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CENTRE (EDL)/2BILL-123/Dossier octobre 2024/"/>
    </mc:Choice>
  </mc:AlternateContent>
  <xr:revisionPtr revIDLastSave="29" documentId="8_{62C91832-925C-46A0-9075-88FC5CE76D2B}" xr6:coauthVersionLast="47" xr6:coauthVersionMax="47" xr10:uidLastSave="{562E3685-B8E7-41E6-9CEC-B8D3FECA8F62}"/>
  <bookViews>
    <workbookView xWindow="382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9" i="6" l="1"/>
  <c r="E81" i="6"/>
  <c r="E82" i="6"/>
  <c r="E80" i="6"/>
  <c r="E48" i="6"/>
  <c r="E50" i="6"/>
  <c r="E51" i="6"/>
  <c r="E49" i="6"/>
  <c r="E17" i="6"/>
  <c r="E18" i="6" l="1"/>
  <c r="E19" i="6"/>
  <c r="E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2" i="6" l="1"/>
  <c r="I20" i="6"/>
  <c r="U31" i="6" s="1"/>
  <c r="I24" i="6"/>
  <c r="U30" i="6"/>
  <c r="V10" i="6"/>
  <c r="P67" i="6"/>
  <c r="H19" i="2"/>
  <c r="D20" i="2"/>
  <c r="G20" i="2" s="1"/>
  <c r="P40" i="6"/>
  <c r="U33" i="6" l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BC31" i="2" l="1" a="1"/>
  <c r="BC31" i="2" s="1"/>
  <c r="BC84" i="2" a="1"/>
  <c r="BC84" i="2" s="1"/>
  <c r="BC32" i="2" a="1"/>
  <c r="BC32" i="2" s="1"/>
  <c r="BC117" i="2" a="1"/>
  <c r="BC117" i="2" s="1"/>
  <c r="BC181" i="2" a="1"/>
  <c r="BC181" i="2" s="1"/>
  <c r="BC65" i="2" a="1"/>
  <c r="BC65" i="2" s="1"/>
  <c r="AH151" i="2" a="1"/>
  <c r="AH151" i="2" s="1"/>
  <c r="AH90" i="2" a="1"/>
  <c r="AH90" i="2" s="1"/>
  <c r="AH62" i="2" a="1"/>
  <c r="AH62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2" i="2" l="1"/>
  <c r="BI139" i="2"/>
  <c r="BI141" i="2"/>
  <c r="BI96" i="2"/>
  <c r="BI41" i="2"/>
  <c r="BI86" i="2"/>
  <c r="BI152" i="2"/>
  <c r="BI156" i="2"/>
  <c r="BI197" i="2"/>
  <c r="BI192" i="2"/>
  <c r="BI48" i="2"/>
  <c r="BI151" i="2"/>
  <c r="BI89" i="2"/>
  <c r="BI99" i="2"/>
  <c r="BI105" i="2"/>
  <c r="BI47" i="2"/>
  <c r="BI56" i="2"/>
  <c r="BI143" i="2"/>
  <c r="BI29" i="2"/>
  <c r="BI50" i="2"/>
  <c r="BI146" i="2"/>
  <c r="BI88" i="2"/>
  <c r="BI36" i="2"/>
  <c r="BI16" i="2"/>
  <c r="BI171" i="2"/>
  <c r="BI177" i="2"/>
  <c r="BI69" i="2"/>
  <c r="BI37" i="2"/>
  <c r="BI28" i="2"/>
  <c r="BI63" i="2"/>
  <c r="BI98" i="2"/>
  <c r="BI25" i="2"/>
  <c r="BI180" i="2"/>
  <c r="BI20" i="2"/>
  <c r="BI70" i="2"/>
  <c r="BI61" i="2"/>
  <c r="BI136" i="2"/>
  <c r="BI201" i="2"/>
  <c r="BI198" i="2"/>
  <c r="BI135" i="2"/>
  <c r="BI126" i="2"/>
  <c r="BI157" i="2"/>
  <c r="BI129" i="2"/>
  <c r="BI53" i="2"/>
  <c r="BI66" i="2"/>
  <c r="BI75" i="2"/>
  <c r="BI167" i="2"/>
  <c r="BI94" i="2"/>
  <c r="BI34" i="2"/>
  <c r="BI150" i="2"/>
  <c r="BI71" i="2"/>
  <c r="BI4" i="2"/>
  <c r="BI112" i="2"/>
  <c r="BI138" i="2"/>
  <c r="BI153" i="2"/>
  <c r="BI130" i="2"/>
  <c r="BI73" i="2"/>
  <c r="BI106" i="2"/>
  <c r="BI125" i="2"/>
  <c r="BI186" i="2"/>
  <c r="BI85" i="2"/>
  <c r="BI124" i="2"/>
  <c r="BI160" i="2"/>
  <c r="BI188" i="2"/>
  <c r="BI12" i="2"/>
  <c r="BI55" i="2"/>
  <c r="BI95" i="2"/>
  <c r="BI45" i="2"/>
  <c r="BI162" i="2"/>
  <c r="BI65" i="2"/>
  <c r="BI165" i="2"/>
  <c r="BI114" i="2"/>
  <c r="BI170" i="2"/>
  <c r="BI196" i="2"/>
  <c r="BI158" i="2"/>
  <c r="BI148" i="2"/>
  <c r="BI184" i="2"/>
  <c r="BI23" i="2"/>
  <c r="BI80" i="2"/>
  <c r="BI59" i="2"/>
  <c r="BI195" i="2"/>
  <c r="BI190" i="2"/>
  <c r="BI84" i="2"/>
  <c r="BI127" i="2"/>
  <c r="BI52" i="2"/>
  <c r="BI199" i="2"/>
  <c r="BI21" i="2"/>
  <c r="BI168" i="2"/>
  <c r="BI169" i="2"/>
  <c r="BI87" i="2"/>
  <c r="BI107" i="2"/>
  <c r="BI79" i="2"/>
  <c r="BI121" i="2"/>
  <c r="BI83" i="2"/>
  <c r="BI8" i="2"/>
  <c r="BI17" i="2"/>
  <c r="BI185" i="2"/>
  <c r="BI102" i="2"/>
  <c r="BI131" i="2"/>
  <c r="BI111" i="2"/>
  <c r="BI5" i="2"/>
  <c r="BI92" i="2"/>
  <c r="BI116" i="2"/>
  <c r="BI32" i="2"/>
  <c r="BI193" i="2"/>
  <c r="BI31" i="2"/>
  <c r="BI134" i="2"/>
  <c r="BI144" i="2"/>
  <c r="BI115" i="2"/>
  <c r="BI175" i="2"/>
  <c r="BI154" i="2"/>
  <c r="BI100" i="2"/>
  <c r="BI64" i="2"/>
  <c r="BI35" i="2"/>
  <c r="BI77" i="2"/>
  <c r="BI13" i="2"/>
  <c r="BI203" i="2"/>
  <c r="BI101" i="2"/>
  <c r="BI161" i="2"/>
  <c r="BI30" i="2"/>
  <c r="BI18" i="2"/>
  <c r="BI187" i="2"/>
  <c r="BI60" i="2"/>
  <c r="BI51" i="2"/>
  <c r="BI49" i="2"/>
  <c r="BI97" i="2"/>
  <c r="BI123" i="2"/>
  <c r="BI200" i="2"/>
  <c r="BI38" i="2"/>
  <c r="BI22" i="2"/>
  <c r="BI119" i="2"/>
  <c r="BI74" i="2"/>
  <c r="BI122" i="2"/>
  <c r="BI78" i="2"/>
  <c r="BI178" i="2"/>
  <c r="BI15" i="2"/>
  <c r="BI91" i="2"/>
  <c r="BI44" i="2"/>
  <c r="BI54" i="2"/>
  <c r="BI181" i="2"/>
  <c r="BI108" i="2"/>
  <c r="BI174" i="2"/>
  <c r="BI113" i="2"/>
  <c r="BI164" i="2"/>
  <c r="BI140" i="2"/>
  <c r="BI3" i="2"/>
  <c r="C8" i="4" s="1"/>
  <c r="E8" i="4" s="1"/>
  <c r="F8" i="4" s="1"/>
  <c r="G8" i="4" s="1"/>
  <c r="L8" i="4" s="1"/>
  <c r="BI40" i="2"/>
  <c r="BI27" i="2"/>
  <c r="BI189" i="2"/>
  <c r="BI14" i="2"/>
  <c r="BI194" i="2"/>
  <c r="BI93" i="2"/>
  <c r="BI11" i="2"/>
  <c r="BI72" i="2"/>
  <c r="BI82" i="2"/>
  <c r="BI137" i="2"/>
  <c r="BI104" i="2"/>
  <c r="BI202" i="2"/>
  <c r="BI24" i="2"/>
  <c r="BI68" i="2"/>
  <c r="BI132" i="2"/>
  <c r="BI128" i="2"/>
  <c r="BI173" i="2"/>
  <c r="BI62" i="2"/>
  <c r="BI191" i="2"/>
  <c r="BI147" i="2"/>
  <c r="BI46" i="2"/>
  <c r="BI33" i="2"/>
  <c r="BI159" i="2"/>
  <c r="BI57" i="2"/>
  <c r="BI103" i="2"/>
  <c r="BI145" i="2"/>
  <c r="BI109" i="2"/>
  <c r="BI155" i="2"/>
  <c r="BI19" i="2"/>
  <c r="BI182" i="2"/>
  <c r="BI120" i="2"/>
  <c r="BI39" i="2"/>
  <c r="BI10" i="2"/>
  <c r="BI166" i="2"/>
  <c r="BI110" i="2"/>
  <c r="BI76" i="2"/>
  <c r="BI179" i="2"/>
  <c r="BI133" i="2"/>
  <c r="BI117" i="2"/>
  <c r="BI81" i="2"/>
  <c r="BI58" i="2"/>
  <c r="BI183" i="2"/>
  <c r="BI26" i="2"/>
  <c r="BI6" i="2"/>
  <c r="BI67" i="2"/>
  <c r="BI42" i="2"/>
  <c r="BI9" i="2"/>
  <c r="BI176" i="2"/>
  <c r="BI118" i="2"/>
  <c r="BI142" i="2"/>
  <c r="BI43" i="2"/>
  <c r="BI7" i="2"/>
  <c r="BI90" i="2"/>
  <c r="BI163" i="2"/>
  <c r="BI14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tc={D9D9FA5D-DBAA-4517-B76A-078C68B9E7E6}</author>
    <author>tc={6066E039-6C50-4F38-A13C-C04ED7748158}</author>
    <author>tc={70D73E2A-5396-4FD7-80C8-3A0246787C55}</author>
    <author>tc={E17544EF-DFB2-4F18-A5E0-0ABEFA61699B}</author>
    <author>tc={70584BC3-5DF2-4A2E-A178-F22040B44A9D}</author>
    <author>tc={6C07E89E-7A8F-45C2-B449-A8D904268D1B}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D9D9FA5D-DBAA-4517-B76A-078C68B9E7E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6066E039-6C50-4F38-A13C-C04ED774815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70D73E2A-5396-4FD7-80C8-3A0246787C5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E17544EF-DFB2-4F18-A5E0-0ABEFA61699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70584BC3-5DF2-4A2E-A178-F22040B44A9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6C07E89E-7A8F-45C2-B449-A8D904268D1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<sst xmlns="http://schemas.openxmlformats.org/spreadsheetml/2006/main" count="1179" uniqueCount="330">
  <si>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</si>
  <si>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</si>
  <si>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</si>
  <si>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</si>
  <si>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</si>
  <si>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</si>
  <si>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</si>
  <si>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</si>
  <si>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</si>
  <si>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</si>
  <si>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</si>
  <si>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</si>
  <si>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</si>
  <si>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</si>
  <si>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</si>
  <si>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</si>
  <si>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</si>
  <si>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</si>
  <si>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</si>
  <si>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</si>
  <si>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</si>
  <si>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</si>
  <si>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</si>
  <si>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</si>
  <si>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</si>
  <si>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</si>
  <si>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</si>
  <si>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</si>
  <si>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</si>
  <si>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</si>
  <si>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</si>
  <si>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</si>
  <si>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</si>
  <si>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</si>
  <si>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</si>
  <si>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</si>
  <si>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</si>
  <si>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</si>
  <si>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</si>
  <si>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</si>
  <si>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</si>
  <si>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</si>
  <si>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</si>
  <si>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</si>
  <si>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</si>
  <si>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</si>
  <si>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</si>
  <si>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</si>
  <si>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</si>
  <si>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</si>
  <si>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</si>
  <si>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</si>
  <si>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</si>
  <si>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</si>
  <si>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</si>
  <si>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</si>
  <si>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</si>
  <si>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</si>
  <si>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</si>
  <si>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</si>
  <si>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</si>
  <si>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</si>
  <si>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</si>
  <si>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</si>
  <si>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</si>
  <si>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</si>
  <si>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</si>
  <si>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</si>
  <si>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</si>
  <si>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</si>
  <si>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</si>
  <si>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</si>
  <si>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</si>
  <si>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</si>
  <si>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</si>
  <si>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</si>
  <si>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</si>
  <si>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</si>
  <si>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</si>
  <si>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</si>
  <si>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</si>
  <si>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</si>
  <si>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</si>
  <si>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</si>
  <si>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</si>
  <si>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</si>
  <si>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</si>
  <si>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</si>
  <si>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</si>
  <si>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</si>
  <si>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</si>
  <si>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</si>
  <si>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</si>
  <si>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</si>
  <si>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</si>
  <si>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</si>
  <si>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</si>
  <si>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</si>
  <si>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</si>
  <si>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</si>
  <si>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</si>
  <si>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</si>
  <si>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</si>
  <si>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</si>
  <si>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</si>
  <si>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</si>
  <si>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</si>
  <si>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</si>
  <si>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</si>
  <si>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</si>
  <si>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</si>
  <si>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</si>
  <si>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</si>
  <si>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</si>
  <si>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</si>
  <si>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</si>
  <si>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</si>
  <si>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</si>
  <si>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</si>
  <si>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</si>
  <si>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</si>
  <si>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</si>
  <si>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</si>
  <si>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</si>
  <si>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</si>
  <si>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</si>
  <si>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</si>
  <si>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</si>
  <si>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</si>
  <si>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</si>
  <si>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</si>
  <si>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</si>
  <si>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</si>
  <si>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</si>
  <si>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</si>
  <si>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</si>
  <si>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</si>
  <si>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</si>
  <si>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</si>
  <si>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</si>
  <si>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</si>
  <si>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</si>
  <si>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</si>
  <si>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</si>
  <si>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</si>
  <si>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</si>
  <si>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</si>
  <si>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</si>
  <si>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</si>
  <si>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</si>
  <si>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</si>
  <si>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</si>
  <si>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</si>
  <si>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</si>
  <si>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</si>
  <si>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</si>
  <si>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</si>
  <si>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</si>
  <si>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</si>
  <si>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</si>
  <si>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</si>
  <si>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</si>
  <si>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</si>
  <si>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</si>
  <si>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</si>
  <si>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</si>
  <si>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</si>
  <si>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</si>
  <si>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</si>
  <si>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</si>
  <si>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</si>
  <si>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</si>
  <si>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</si>
  <si>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</si>
  <si>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</si>
  <si>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</si>
  <si>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</si>
  <si>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</si>
  <si>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</si>
  <si>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</si>
  <si>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</si>
  <si>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</si>
  <si>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</si>
  <si>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</si>
  <si>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</si>
  <si>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</si>
  <si>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</si>
  <si>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</si>
  <si>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</si>
  <si>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</si>
  <si>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</si>
  <si>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</si>
  <si>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</si>
  <si>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</si>
  <si>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</si>
  <si>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</si>
  <si>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</si>
  <si>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</si>
  <si>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</si>
  <si>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</si>
  <si>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</si>
  <si>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</si>
  <si>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</si>
  <si>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</si>
  <si>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</si>
  <si>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</si>
  <si>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</si>
  <si>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</si>
  <si>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</si>
  <si>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</si>
  <si>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</si>
  <si>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</si>
  <si>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</si>
  <si>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</si>
  <si>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</si>
  <si>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</si>
  <si>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</si>
  <si>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</si>
  <si>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</si>
  <si>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</si>
  <si>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</si>
  <si>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</si>
  <si>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</si>
  <si>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</si>
  <si>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</si>
  <si>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</si>
  <si>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</si>
  <si>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</si>
  <si>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</si>
  <si>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</si>
  <si>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</si>
  <si>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</si>
  <si>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</si>
  <si>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</si>
  <si>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</si>
  <si>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</si>
  <si>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</si>
  <si>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</si>
  <si>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</si>
  <si>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</si>
  <si>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</si>
  <si>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</si>
  <si>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</si>
  <si>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</si>
  <si>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</si>
  <si>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</si>
  <si>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</si>
  <si>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</si>
  <si>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</si>
  <si>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</si>
  <si>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</si>
  <si>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</si>
  <si>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</si>
  <si>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</si>
  <si>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</si>
  <si>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</si>
  <si>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</si>
  <si>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</si>
  <si>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</si>
  <si>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</si>
  <si>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</si>
  <si>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</si>
  <si>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</si>
  <si>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</si>
  <si>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</si>
  <si>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</si>
  <si>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</si>
  <si>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</si>
  <si>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</si>
  <si>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</si>
  <si>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</si>
  <si>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</si>
  <si>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</si>
  <si>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</si>
  <si>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</si>
  <si>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</si>
  <si>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</si>
  <si>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</si>
  <si>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</si>
  <si>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</si>
  <si>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</si>
  <si>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</si>
  <si>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</si>
  <si>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</si>
  <si>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</si>
  <si>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</si>
  <si>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</si>
  <si>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</si>
  <si>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</si>
  <si>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</si>
  <si>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</si>
  <si>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</si>
  <si>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</si>
  <si>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</si>
  <si>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</si>
  <si>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</si>
  <si>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</si>
  <si>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</si>
  <si>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</si>
  <si>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</si>
  <si>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</si>
  <si>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</si>
  <si>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</si>
  <si>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</si>
  <si>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</si>
  <si>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</si>
  <si>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</si>
  <si>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</si>
  <si>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</si>
  <si>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</si>
  <si>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</si>
  <si>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</si>
  <si>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</si>
  <si>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</si>
  <si>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</si>
  <si>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</si>
  <si>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</si>
  <si>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</si>
  <si>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</si>
  <si>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</si>
  <si>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</si>
  <si>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</si>
  <si>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</si>
  <si>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</si>
  <si>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</si>
  <si>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</si>
  <si>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</si>
  <si>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</si>
  <si>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</si>
  <si>
    <t>Calabre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</si>
</sst>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indexed="8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6.4133292260059553</c:v>
                </c:pt>
                <c:pt idx="2">
                  <c:v>12.536457709380189</c:v>
                </c:pt>
                <c:pt idx="3">
                  <c:v>18.565865920050392</c:v>
                </c:pt>
                <c:pt idx="4">
                  <c:v>24.53750277399563</c:v>
                </c:pt>
                <c:pt idx="5">
                  <c:v>30.46766149842102</c:v>
                </c:pt>
                <c:pt idx="6">
                  <c:v>36.365636430385564</c:v>
                </c:pt>
                <c:pt idx="7">
                  <c:v>42.237419269620467</c:v>
                </c:pt>
                <c:pt idx="8">
                  <c:v>48.087183471540634</c:v>
                </c:pt>
                <c:pt idx="9">
                  <c:v>53.917996578966665</c:v>
                </c:pt>
                <c:pt idx="10">
                  <c:v>59.732204467914677</c:v>
                </c:pt>
                <c:pt idx="11">
                  <c:v>65.531656689282556</c:v>
                </c:pt>
                <c:pt idx="12">
                  <c:v>71.317847223958452</c:v>
                </c:pt>
                <c:pt idx="13">
                  <c:v>77.09200685716695</c:v>
                </c:pt>
                <c:pt idx="14">
                  <c:v>82.855166266171821</c:v>
                </c:pt>
                <c:pt idx="15">
                  <c:v>88.60820054533707</c:v>
                </c:pt>
                <c:pt idx="16">
                  <c:v>94.351861508694356</c:v>
                </c:pt>
                <c:pt idx="17">
                  <c:v>100.08680168193827</c:v>
                </c:pt>
                <c:pt idx="18">
                  <c:v>105.8135924863695</c:v>
                </c:pt>
                <c:pt idx="19">
                  <c:v>111.53273826611404</c:v>
                </c:pt>
                <c:pt idx="20">
                  <c:v>117.2446872779978</c:v>
                </c:pt>
                <c:pt idx="21">
                  <c:v>122.94984042098405</c:v>
                </c:pt>
                <c:pt idx="22">
                  <c:v>128.64855825574909</c:v>
                </c:pt>
                <c:pt idx="23">
                  <c:v>134.34116671189412</c:v>
                </c:pt>
                <c:pt idx="24">
                  <c:v>140.02796177459118</c:v>
                </c:pt>
                <c:pt idx="25">
                  <c:v>145.70921336811145</c:v>
                </c:pt>
                <c:pt idx="26">
                  <c:v>151.38516860049864</c:v>
                </c:pt>
                <c:pt idx="27">
                  <c:v>157.05605449502048</c:v>
                </c:pt>
                <c:pt idx="28">
                  <c:v>162.72208030558576</c:v>
                </c:pt>
                <c:pt idx="29">
                  <c:v>168.38343949209244</c:v>
                </c:pt>
                <c:pt idx="30">
                  <c:v>174.04031141565838</c:v>
                </c:pt>
                <c:pt idx="31">
                  <c:v>179.69286280147318</c:v>
                </c:pt>
                <c:pt idx="32">
                  <c:v>185.34124900759105</c:v>
                </c:pt>
                <c:pt idx="33">
                  <c:v>190.98561513067068</c:v>
                </c:pt>
                <c:pt idx="34">
                  <c:v>196.62609697391926</c:v>
                </c:pt>
                <c:pt idx="35">
                  <c:v>202.26282189796117</c:v>
                </c:pt>
                <c:pt idx="36">
                  <c:v>207.89590957173127</c:v>
                </c:pt>
                <c:pt idx="37">
                  <c:v>213.52547263759024</c:v>
                </c:pt>
                <c:pt idx="38">
                  <c:v>219.1516173025133</c:v>
                </c:pt>
                <c:pt idx="39">
                  <c:v>224.7744438652976</c:v>
                </c:pt>
                <c:pt idx="40">
                  <c:v>230.3940471881763</c:v>
                </c:pt>
                <c:pt idx="41">
                  <c:v>236.01051711994342</c:v>
                </c:pt>
                <c:pt idx="42">
                  <c:v>241.62393887663529</c:v>
                </c:pt>
                <c:pt idx="43">
                  <c:v>192.6482552696863</c:v>
                </c:pt>
                <c:pt idx="44">
                  <c:v>206.23751123795182</c:v>
                </c:pt>
                <c:pt idx="45">
                  <c:v>219.8060776352111</c:v>
                </c:pt>
                <c:pt idx="46">
                  <c:v>233.35541202267584</c:v>
                </c:pt>
                <c:pt idx="47">
                  <c:v>246.8867887534808</c:v>
                </c:pt>
                <c:pt idx="48">
                  <c:v>260.40133099669362</c:v>
                </c:pt>
                <c:pt idx="49">
                  <c:v>273.9000357570593</c:v>
                </c:pt>
                <c:pt idx="50">
                  <c:v>287.38379369926105</c:v>
                </c:pt>
                <c:pt idx="51">
                  <c:v>249.89865132482677</c:v>
                </c:pt>
                <c:pt idx="52">
                  <c:v>263.67254332348824</c:v>
                </c:pt>
                <c:pt idx="53">
                  <c:v>277.43020831953498</c:v>
                </c:pt>
                <c:pt idx="54">
                  <c:v>291.17256451859203</c:v>
                </c:pt>
                <c:pt idx="55">
                  <c:v>304.9004363472979</c:v>
                </c:pt>
                <c:pt idx="56">
                  <c:v>318.61456791199669</c:v>
                </c:pt>
                <c:pt idx="57">
                  <c:v>332.31563401769057</c:v>
                </c:pt>
                <c:pt idx="58">
                  <c:v>346.00424927391936</c:v>
                </c:pt>
                <c:pt idx="59">
                  <c:v>294.82010245534542</c:v>
                </c:pt>
                <c:pt idx="60">
                  <c:v>308.11171423569823</c:v>
                </c:pt>
                <c:pt idx="61">
                  <c:v>321.39059256735288</c:v>
                </c:pt>
                <c:pt idx="62">
                  <c:v>334.65733776176751</c:v>
                </c:pt>
                <c:pt idx="63">
                  <c:v>347.91249863909246</c:v>
                </c:pt>
                <c:pt idx="64">
                  <c:v>361.15657877984057</c:v>
                </c:pt>
                <c:pt idx="65">
                  <c:v>374.39004181135289</c:v>
                </c:pt>
                <c:pt idx="66">
                  <c:v>387.61331590761893</c:v>
                </c:pt>
                <c:pt idx="67">
                  <c:v>328.87497984775797</c:v>
                </c:pt>
                <c:pt idx="68">
                  <c:v>341.58180489739397</c:v>
                </c:pt>
                <c:pt idx="69">
                  <c:v>354.27823926333485</c:v>
                </c:pt>
                <c:pt idx="70">
                  <c:v>366.96470784936855</c:v>
                </c:pt>
                <c:pt idx="71">
                  <c:v>379.64160377761226</c:v>
                </c:pt>
                <c:pt idx="72">
                  <c:v>392.30929177004873</c:v>
                </c:pt>
                <c:pt idx="73">
                  <c:v>404.96811107043033</c:v>
                </c:pt>
                <c:pt idx="74">
                  <c:v>417.61837798173246</c:v>
                </c:pt>
                <c:pt idx="75">
                  <c:v>362.3040596591477</c:v>
                </c:pt>
                <c:pt idx="76">
                  <c:v>374.71386582744088</c:v>
                </c:pt>
                <c:pt idx="77">
                  <c:v>387.11472026821906</c:v>
                </c:pt>
                <c:pt idx="78">
                  <c:v>399.5069501849423</c:v>
                </c:pt>
                <c:pt idx="79">
                  <c:v>411.89086082351611</c:v>
                </c:pt>
                <c:pt idx="80">
                  <c:v>424.2667375756493</c:v>
                </c:pt>
                <c:pt idx="81">
                  <c:v>436.6348478239729</c:v>
                </c:pt>
                <c:pt idx="82">
                  <c:v>448.9954425671956</c:v>
                </c:pt>
                <c:pt idx="83">
                  <c:v>461.3487578569696</c:v>
                </c:pt>
                <c:pt idx="84">
                  <c:v>473.69501607284701</c:v>
                </c:pt>
                <c:pt idx="85">
                  <c:v>397.91215722502608</c:v>
                </c:pt>
                <c:pt idx="86">
                  <c:v>409.74634558212347</c:v>
                </c:pt>
                <c:pt idx="87">
                  <c:v>421.5731551444415</c:v>
                </c:pt>
                <c:pt idx="88">
                  <c:v>433.39282211262383</c:v>
                </c:pt>
                <c:pt idx="89">
                  <c:v>445.20556875156836</c:v>
                </c:pt>
                <c:pt idx="90">
                  <c:v>457.01160456842371</c:v>
                </c:pt>
                <c:pt idx="91">
                  <c:v>468.81112736251407</c:v>
                </c:pt>
                <c:pt idx="92">
                  <c:v>480.60432416405894</c:v>
                </c:pt>
                <c:pt idx="93">
                  <c:v>492.39137207595832</c:v>
                </c:pt>
                <c:pt idx="94">
                  <c:v>504.17243903078469</c:v>
                </c:pt>
                <c:pt idx="95">
                  <c:v>427.61003253531982</c:v>
                </c:pt>
                <c:pt idx="96">
                  <c:v>439.07849472499817</c:v>
                </c:pt>
                <c:pt idx="97">
                  <c:v>450.54053438477428</c:v>
                </c:pt>
                <c:pt idx="98">
                  <c:v>461.99633795034606</c:v>
                </c:pt>
                <c:pt idx="99">
                  <c:v>473.44608185682137</c:v>
                </c:pt>
                <c:pt idx="100">
                  <c:v>484.88993330917737</c:v>
                </c:pt>
                <c:pt idx="101">
                  <c:v>496.32805097619757</c:v>
                </c:pt>
                <c:pt idx="102">
                  <c:v>507.7605856171179</c:v>
                </c:pt>
                <c:pt idx="103">
                  <c:v>519.18768064889844</c:v>
                </c:pt>
                <c:pt idx="104">
                  <c:v>530.60947266096275</c:v>
                </c:pt>
                <c:pt idx="105">
                  <c:v>456.34109665225498</c:v>
                </c:pt>
                <c:pt idx="106">
                  <c:v>467.63445077189402</c:v>
                </c:pt>
                <c:pt idx="107">
                  <c:v>478.92199388487393</c:v>
                </c:pt>
                <c:pt idx="108">
                  <c:v>490.20388225735604</c:v>
                </c:pt>
                <c:pt idx="109">
                  <c:v>501.48026437590511</c:v>
                </c:pt>
                <c:pt idx="110">
                  <c:v>512.75128150473165</c:v>
                </c:pt>
                <c:pt idx="111">
                  <c:v>524.01706819138963</c:v>
                </c:pt>
                <c:pt idx="112">
                  <c:v>535.27775272673057</c:v>
                </c:pt>
                <c:pt idx="113">
                  <c:v>546.5334575641433</c:v>
                </c:pt>
                <c:pt idx="114">
                  <c:v>557.78429970246725</c:v>
                </c:pt>
                <c:pt idx="115">
                  <c:v>489.53863965793022</c:v>
                </c:pt>
                <c:pt idx="116">
                  <c:v>500.89632761094487</c:v>
                </c:pt>
                <c:pt idx="117">
                  <c:v>512.24856596096311</c:v>
                </c:pt>
                <c:pt idx="118">
                  <c:v>523.59549249644408</c:v>
                </c:pt>
                <c:pt idx="119">
                  <c:v>534.93723854713335</c:v>
                </c:pt>
                <c:pt idx="120">
                  <c:v>546.27392942022868</c:v>
                </c:pt>
                <c:pt idx="121">
                  <c:v>557.60568479846518</c:v>
                </c:pt>
                <c:pt idx="122">
                  <c:v>568.93261910415981</c:v>
                </c:pt>
                <c:pt idx="123">
                  <c:v>580.25484183276569</c:v>
                </c:pt>
                <c:pt idx="124">
                  <c:v>591.57245785904422</c:v>
                </c:pt>
                <c:pt idx="125">
                  <c:v>528.55175001756891</c:v>
                </c:pt>
                <c:pt idx="126">
                  <c:v>540.00191836907311</c:v>
                </c:pt>
                <c:pt idx="127">
                  <c:v>551.44698757408059</c:v>
                </c:pt>
                <c:pt idx="128">
                  <c:v>562.88707836457763</c:v>
                </c:pt>
                <c:pt idx="129">
                  <c:v>574.32230616565948</c:v>
                </c:pt>
                <c:pt idx="130">
                  <c:v>585.75278143205185</c:v>
                </c:pt>
                <c:pt idx="131">
                  <c:v>597.17860995700732</c:v>
                </c:pt>
                <c:pt idx="132">
                  <c:v>608.59989315633834</c:v>
                </c:pt>
                <c:pt idx="133">
                  <c:v>620.01672833002647</c:v>
                </c:pt>
                <c:pt idx="134">
                  <c:v>631.42920890356925</c:v>
                </c:pt>
                <c:pt idx="135">
                  <c:v>565.19576710283252</c:v>
                </c:pt>
                <c:pt idx="136">
                  <c:v>576.75610298916263</c:v>
                </c:pt>
                <c:pt idx="137">
                  <c:v>588.31160433796992</c:v>
                </c:pt>
                <c:pt idx="138">
                  <c:v>599.86237947003792</c:v>
                </c:pt>
                <c:pt idx="139">
                  <c:v>611.40853219545909</c:v>
                </c:pt>
                <c:pt idx="140">
                  <c:v>622.95016208489699</c:v>
                </c:pt>
                <c:pt idx="141">
                  <c:v>634.48736471971256</c:v>
                </c:pt>
                <c:pt idx="142">
                  <c:v>646.02023192295337</c:v>
                </c:pt>
                <c:pt idx="143">
                  <c:v>657.54885197300246</c:v>
                </c:pt>
                <c:pt idx="144">
                  <c:v>669.07330980146787</c:v>
                </c:pt>
                <c:pt idx="145">
                  <c:v>601.65849708437679</c:v>
                </c:pt>
                <c:pt idx="146">
                  <c:v>613.43879211829812</c:v>
                </c:pt>
                <c:pt idx="147">
                  <c:v>625.21439618578745</c:v>
                </c:pt>
                <c:pt idx="148">
                  <c:v>636.98541006213668</c:v>
                </c:pt>
                <c:pt idx="149">
                  <c:v>648.7519304957433</c:v>
                </c:pt>
                <c:pt idx="150">
                  <c:v>660.51405044067269</c:v>
                </c:pt>
                <c:pt idx="151">
                  <c:v>672.27185927180437</c:v>
                </c:pt>
                <c:pt idx="152">
                  <c:v>684.02544298414944</c:v>
                </c:pt>
                <c:pt idx="153">
                  <c:v>695.7748843777639</c:v>
                </c:pt>
                <c:pt idx="154">
                  <c:v>707.52026322953031</c:v>
                </c:pt>
                <c:pt idx="155">
                  <c:v>641.59785094366441</c:v>
                </c:pt>
                <c:pt idx="156">
                  <c:v>653.52936024571716</c:v>
                </c:pt>
                <c:pt idx="157">
                  <c:v>665.45638118561703</c:v>
                </c:pt>
                <c:pt idx="158">
                  <c:v>677.37900551237442</c:v>
                </c:pt>
                <c:pt idx="159">
                  <c:v>689.29732148331743</c:v>
                </c:pt>
                <c:pt idx="160">
                  <c:v>701.21141405631386</c:v>
                </c:pt>
                <c:pt idx="161">
                  <c:v>713.1213650682588</c:v>
                </c:pt>
                <c:pt idx="162">
                  <c:v>725.02725340102563</c:v>
                </c:pt>
                <c:pt idx="163">
                  <c:v>736.92915513595392</c:v>
                </c:pt>
                <c:pt idx="164">
                  <c:v>748.82714369784742</c:v>
                </c:pt>
                <c:pt idx="165">
                  <c:v>676.84813645747329</c:v>
                </c:pt>
                <c:pt idx="166">
                  <c:v>688.91201547636729</c:v>
                </c:pt>
                <c:pt idx="167">
                  <c:v>700.97156465237379</c:v>
                </c:pt>
                <c:pt idx="168">
                  <c:v>713.0268689373587</c:v>
                </c:pt>
                <c:pt idx="169">
                  <c:v>725.0780101778729</c:v>
                </c:pt>
                <c:pt idx="170">
                  <c:v>737.1250672794655</c:v>
                </c:pt>
                <c:pt idx="171">
                  <c:v>749.1681163597068</c:v>
                </c:pt>
                <c:pt idx="172">
                  <c:v>761.20723089086403</c:v>
                </c:pt>
                <c:pt idx="173">
                  <c:v>773.24248183309089</c:v>
                </c:pt>
                <c:pt idx="174">
                  <c:v>785.27393775889823</c:v>
                </c:pt>
                <c:pt idx="175">
                  <c:v>489.21833082634186</c:v>
                </c:pt>
                <c:pt idx="176">
                  <c:v>496.87420685903498</c:v>
                </c:pt>
                <c:pt idx="177">
                  <c:v>504.52758444644269</c:v>
                </c:pt>
                <c:pt idx="178">
                  <c:v>344.91098922491921</c:v>
                </c:pt>
                <c:pt idx="179">
                  <c:v>349.57471993851476</c:v>
                </c:pt>
                <c:pt idx="180">
                  <c:v>354.2370857048416</c:v>
                </c:pt>
                <c:pt idx="181">
                  <c:v>245.36731571943736</c:v>
                </c:pt>
                <c:pt idx="182">
                  <c:v>248.18601920576737</c:v>
                </c:pt>
                <c:pt idx="183">
                  <c:v>251.00399609991334</c:v>
                </c:pt>
                <c:pt idx="184">
                  <c:v>7.9599429739955953E-12</c:v>
                </c:pt>
                <c:pt idx="185">
                  <c:v>7.9599429739955953E-12</c:v>
                </c:pt>
                <c:pt idx="186">
                  <c:v>7.9599429739955953E-12</c:v>
                </c:pt>
                <c:pt idx="187">
                  <c:v>7.9599429739955953E-12</c:v>
                </c:pt>
                <c:pt idx="188">
                  <c:v>7.9599429739955953E-12</c:v>
                </c:pt>
                <c:pt idx="189">
                  <c:v>7.9599429739955953E-12</c:v>
                </c:pt>
                <c:pt idx="190">
                  <c:v>7.9599429739955953E-12</c:v>
                </c:pt>
                <c:pt idx="191">
                  <c:v>7.9599429739955953E-12</c:v>
                </c:pt>
                <c:pt idx="192">
                  <c:v>7.9599429739955953E-12</c:v>
                </c:pt>
                <c:pt idx="193">
                  <c:v>7.9599429739955953E-12</c:v>
                </c:pt>
                <c:pt idx="194">
                  <c:v>7.9599429739955953E-12</c:v>
                </c:pt>
                <c:pt idx="195">
                  <c:v>7.9599429739955953E-12</c:v>
                </c:pt>
                <c:pt idx="196">
                  <c:v>7.9599429739955953E-12</c:v>
                </c:pt>
                <c:pt idx="197">
                  <c:v>7.9599429739955953E-12</c:v>
                </c:pt>
                <c:pt idx="198">
                  <c:v>7.9599429739955953E-12</c:v>
                </c:pt>
                <c:pt idx="199">
                  <c:v>7.9599429739955953E-12</c:v>
                </c:pt>
                <c:pt idx="200">
                  <c:v>7.9599429739955953E-12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D9D9FA5D-DBAA-4517-B76A-078C68B9E7E6}">
    <text>A recopier sur toutes les essences.
Correspond aux frais fixes d’entretien mécanique + répulsif gibier</text>
  </threadedComment>
  <threadedComment ref="E50" dT="2024-11-27T17:08:05.48" personId="{44BC7BF0-8157-4572-8E12-7E0C99523682}" id="{6066E039-6C50-4F38-A13C-C04ED7748158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70D73E2A-5396-4FD7-80C8-3A0246787C55}">
    <text>A recopier sur toutes les essences.
Correspond aux frais fixes d’entretien mécanique + répulsif gibier</text>
  </threadedComment>
  <threadedComment ref="E80" dT="2024-11-27T17:07:34.75" personId="{44BC7BF0-8157-4572-8E12-7E0C99523682}" id="{E17544EF-DFB2-4F18-A5E0-0ABEFA61699B}">
    <text>A recopier sur toutes les essences.
Correspond aux frais fixes d’entretien mécanique + répulsif gibier</text>
  </threadedComment>
  <threadedComment ref="E81" dT="2024-11-27T17:08:05.48" personId="{44BC7BF0-8157-4572-8E12-7E0C99523682}" id="{70584BC3-5DF2-4A2E-A178-F22040B44A9D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6C07E89E-7A8F-45C2-B449-A8D904268D1B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G25" sqref="G25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231</v>
      </c>
      <c r="B5" s="276"/>
      <c r="C5" s="24">
        <v>3.93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0.47328244274809161</v>
      </c>
      <c r="D9" s="33">
        <f t="shared" ref="D9:D18" si="0">C9*$C$5</f>
        <v>1.86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35</v>
      </c>
      <c r="C10" s="32">
        <v>0.4987277353689567</v>
      </c>
      <c r="D10" s="33">
        <f t="shared" si="0"/>
        <v>1.96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329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50</v>
      </c>
      <c r="C11" s="32">
        <v>2.7989821882951654E-2</v>
      </c>
      <c r="D11" s="33">
        <f t="shared" si="0"/>
        <v>0.11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0.99999999999999989</v>
      </c>
      <c r="D19" s="38">
        <f>SUM(D9:D18)</f>
        <v>3.93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17</v>
      </c>
      <c r="B36" s="258">
        <v>122.32</v>
      </c>
      <c r="C36" s="258">
        <v>1</v>
      </c>
      <c r="D36" s="259">
        <v>40.76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7.1952941176470588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1">
        <v>23</v>
      </c>
      <c r="B37" s="262">
        <v>187.68</v>
      </c>
      <c r="C37" s="262">
        <v>2</v>
      </c>
      <c r="D37" s="262">
        <v>57.75</v>
      </c>
      <c r="E37" s="263">
        <v>0.1</v>
      </c>
      <c r="F37" s="263">
        <v>0.8</v>
      </c>
      <c r="G37" s="263">
        <v>0</v>
      </c>
      <c r="H37" s="263">
        <v>0.1</v>
      </c>
      <c r="I37" s="53">
        <f t="shared" ref="I37:I55" si="1">IF(A37&lt;&gt;0,(B37-(B36-D36))/(A37-A36),"")</f>
        <v>17.686666666666667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1">
        <v>29</v>
      </c>
      <c r="B38" s="262">
        <v>241.61</v>
      </c>
      <c r="C38" s="262">
        <v>3</v>
      </c>
      <c r="D38" s="262">
        <v>54.64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18.613333333333333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1">
        <v>36</v>
      </c>
      <c r="B39" s="262">
        <v>311.13</v>
      </c>
      <c r="C39" s="262">
        <v>4</v>
      </c>
      <c r="D39" s="262">
        <v>76.069999999999993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17.737142857142853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1">
        <v>44</v>
      </c>
      <c r="B40" s="262">
        <v>367.35</v>
      </c>
      <c r="C40" s="262">
        <v>5</v>
      </c>
      <c r="D40" s="262">
        <v>77.91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16.536250000000003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1">
        <v>52</v>
      </c>
      <c r="B41" s="262">
        <v>406.59</v>
      </c>
      <c r="C41" s="262">
        <v>6</v>
      </c>
      <c r="D41" s="262">
        <v>75.37</v>
      </c>
      <c r="E41" s="263">
        <v>0.7</v>
      </c>
      <c r="F41" s="263">
        <v>0.3</v>
      </c>
      <c r="G41" s="263">
        <v>0</v>
      </c>
      <c r="H41" s="263">
        <v>0</v>
      </c>
      <c r="I41" s="53">
        <f t="shared" si="1"/>
        <v>14.64374999999999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1">
        <v>60</v>
      </c>
      <c r="B42" s="262">
        <v>436.34</v>
      </c>
      <c r="C42" s="262">
        <v>7</v>
      </c>
      <c r="D42" s="262">
        <v>436.34</v>
      </c>
      <c r="E42" s="263">
        <v>0.7</v>
      </c>
      <c r="F42" s="263">
        <v>0.3</v>
      </c>
      <c r="G42" s="263">
        <v>0</v>
      </c>
      <c r="H42" s="263">
        <v>0</v>
      </c>
      <c r="I42" s="53">
        <f t="shared" si="1"/>
        <v>13.14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22</v>
      </c>
      <c r="B62" s="60">
        <v>129.07</v>
      </c>
      <c r="C62" s="60">
        <v>1</v>
      </c>
      <c r="D62" s="60">
        <v>52.41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5.8668181818181813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27</v>
      </c>
      <c r="B63" s="60">
        <v>155.49</v>
      </c>
      <c r="C63" s="60">
        <v>2</v>
      </c>
      <c r="D63" s="60">
        <v>37.840000000000003</v>
      </c>
      <c r="E63" s="51">
        <v>0.1</v>
      </c>
      <c r="F63" s="51">
        <v>0.8</v>
      </c>
      <c r="G63" s="51">
        <v>0</v>
      </c>
      <c r="H63" s="51">
        <v>0.1</v>
      </c>
      <c r="I63" s="49">
        <f>IF(A63&lt;&gt;0,(B63-(B62-D62))/(A63-A62),"")</f>
        <v>15.766000000000002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33</v>
      </c>
      <c r="B64" s="60">
        <v>217.34</v>
      </c>
      <c r="C64" s="60">
        <v>3</v>
      </c>
      <c r="D64" s="60">
        <v>50.41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16.614999999999998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41</v>
      </c>
      <c r="B65" s="60">
        <v>300.54000000000002</v>
      </c>
      <c r="C65" s="60">
        <v>4</v>
      </c>
      <c r="D65" s="60">
        <v>72.13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16.701250000000002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50</v>
      </c>
      <c r="B66" s="60">
        <v>369.94</v>
      </c>
      <c r="C66" s="60">
        <v>5</v>
      </c>
      <c r="D66" s="60">
        <v>70.2</v>
      </c>
      <c r="E66" s="51">
        <v>0.3</v>
      </c>
      <c r="F66" s="51">
        <v>0.5</v>
      </c>
      <c r="G66" s="51">
        <v>0</v>
      </c>
      <c r="H66" s="51">
        <v>0.2</v>
      </c>
      <c r="I66" s="49">
        <f t="shared" ref="I66:I81" si="2">IF(A66&lt;&gt;0,(B66-(B65-D65))/(A66-A65),"")</f>
        <v>15.725555555555552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60</v>
      </c>
      <c r="B67" s="60">
        <v>440.94</v>
      </c>
      <c r="C67" s="60">
        <v>6</v>
      </c>
      <c r="D67" s="60">
        <v>69.849999999999994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14.12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70</v>
      </c>
      <c r="B68" s="60">
        <v>490.06</v>
      </c>
      <c r="C68" s="60">
        <v>7</v>
      </c>
      <c r="D68" s="60">
        <v>67.88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80</v>
      </c>
      <c r="B69" s="50">
        <v>520</v>
      </c>
      <c r="C69" s="50">
        <v>8</v>
      </c>
      <c r="D69" s="50">
        <v>520</v>
      </c>
      <c r="E69" s="51">
        <v>0.7</v>
      </c>
      <c r="F69" s="51">
        <v>0.3</v>
      </c>
      <c r="G69" s="51">
        <v>0</v>
      </c>
      <c r="H69" s="51">
        <v>0</v>
      </c>
      <c r="I69" s="49">
        <f t="shared" si="2"/>
        <v>9.782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Tilleul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4" sqref="C24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Pin maritime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Pin laricio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Tilleul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300.80663531652721</v>
      </c>
      <c r="T3" s="59">
        <f>IF('Données projet'!E9&gt;30,$R$33-$H$33,LOOKUP('Données projet'!$E$9,$A$3:$A$203,R3:R203)-LOOKUP('Données projet'!$E$9,$A$3:$A$203,$H$3:$H$203))</f>
        <v>306.01967513533549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349.5718186624772</v>
      </c>
      <c r="AO3" s="59">
        <f>IF('Données projet'!E10&gt;30,$AM$33-$H$33,LOOKUP('Données projet'!$E$10,$A$3:$A$203,AM3:AM203)-LOOKUP('Données projet'!$E$10,$A$3:$A$203,$H$3:$H$203))</f>
        <v>258.14152930815959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442.85175349826028</v>
      </c>
      <c r="BJ3" s="59">
        <f>IF('Données projet'!E11&gt;30,$BH$33-$H$33,LOOKUP('Données projet'!$E$11,$A$3:$A$203,BH3:BH203)-LOOKUP('Données projet'!$E$11,$A$3:$A$203,$H$3:$H$203))</f>
        <v>210.70697808232501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7.1952941176470588</v>
      </c>
      <c r="N4" s="13">
        <f>IF('Données projet'!$A$36&gt;35,N3+M4-V3,IF(A4&lt;'Données projet'!$A$36,$K$205^A4,IF(A4='Données projet'!$A$36,'Données projet'!$B$36,N3+M4-V3)))</f>
        <v>1.3267648858502221</v>
      </c>
      <c r="O4" s="13">
        <f>N4*VLOOKUP('Données projet'!$B$9,Paramètres!$A$1:$I$89,3,0)*VLOOKUP('Données projet'!$B$9,Paramètres!$A$1:$I$89,5,0)</f>
        <v>0.79340540173843288</v>
      </c>
      <c r="P4" s="13">
        <f>EXP(-1.0587+0.8836*LN(O4)+0.284)</f>
        <v>0.37561764201183739</v>
      </c>
      <c r="Q4" s="20">
        <f t="shared" ref="Q4:Q34" si="2">(O4+P4)*0.475*44/12</f>
        <v>2.0360484678650539</v>
      </c>
      <c r="R4" s="59">
        <f t="shared" si="0"/>
        <v>259.9249373567539</v>
      </c>
      <c r="S4" s="59">
        <f ca="1">AVERAGE(OFFSET($R$3,0,0,'Données projet'!$E$9+1,1))-AVERAGE(OFFSET($H$3,0,0,'Données projet'!$E$9+1,1))</f>
        <v>300.80663531652721</v>
      </c>
      <c r="T4" s="59">
        <f>$T$3</f>
        <v>306.01967513533549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5.8668181818181813</v>
      </c>
      <c r="AI4" s="13">
        <f>IF('Données projet'!$A$62&gt;35,AI3+AH4-AQ3,IF(A4&lt;'Données projet'!$A$62,$AF$205^A4,IF(A4='Données projet'!$A$62,'Données projet'!$B$62,AI3+AH4-AQ3)))</f>
        <v>1.2472301622014093</v>
      </c>
      <c r="AJ4" s="13">
        <f>AI4*VLOOKUP('Données projet'!$B$10,Paramètres!$A$1:$I$89,3,0)*VLOOKUP('Données projet'!$B$10,Paramètres!$A$1:$I$89,5,0)</f>
        <v>0.74584363699644274</v>
      </c>
      <c r="AK4" s="13">
        <f>EXP(-1.0587+0.8836*LN(AJ4)+0.284)</f>
        <v>0.35565068640491565</v>
      </c>
      <c r="AL4" s="20">
        <f t="shared" ref="AL4:AL67" si="4">(AJ4+AK4)*0.475*44/12</f>
        <v>1.918435946590699</v>
      </c>
      <c r="AM4" s="59">
        <f t="shared" ref="AM4:AM67" si="5">AL4+(AD4+AE4)*44/12</f>
        <v>259.80732483547956</v>
      </c>
      <c r="AN4" s="59">
        <f ca="1">AVERAGE(OFFSET($AM$3,0,0,'Données projet'!$E$10+1,1))-AVERAGE(OFFSET($H$3,0,0,'Données projet'!$E$10+1,1))</f>
        <v>349.5718186624772</v>
      </c>
      <c r="AO4" s="59">
        <f>$AO$3</f>
        <v>258.14152930815959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2.6074954285714287</v>
      </c>
      <c r="BF4" s="13">
        <f>EXP(-1.0587+0.8836*LN(BE4)+0.284)</f>
        <v>1.0747988638721822</v>
      </c>
      <c r="BG4" s="20">
        <f t="shared" ref="BG4:BG67" si="7">(BE4+BF4)*0.475*44/12</f>
        <v>6.4133292260059553</v>
      </c>
      <c r="BH4" s="59">
        <f t="shared" ref="BH4:BH67" si="8">BG4+(AY4+AZ4)*44/12</f>
        <v>264.3022181148948</v>
      </c>
      <c r="BI4" s="59">
        <f ca="1">AVERAGE(OFFSET($BH$3,0,0,'Données projet'!$E$11+1,1))-AVERAGE(OFFSET($H$3,0,0,'Données projet'!$E$11+1,1))</f>
        <v>442.85175349826028</v>
      </c>
      <c r="BJ4" s="59">
        <f>$BJ$3</f>
        <v>210.70697808232501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7.1952941176470588</v>
      </c>
      <c r="N5" s="13">
        <f>IF('Données projet'!$A$36&gt;35,N4+M5-V4,IF(A5&lt;'Données projet'!$A$36,$K$205^A5,IF(A5='Données projet'!$A$36,'Données projet'!$B$36,N4+M5-V4)))</f>
        <v>1.7603050623251528</v>
      </c>
      <c r="O5" s="13">
        <f>N5*VLOOKUP('Données projet'!$B$9,Paramètres!$A$1:$I$89,3,0)*VLOOKUP('Données projet'!$B$9,Paramètres!$A$1:$I$89,5,0)</f>
        <v>1.0526624272704415</v>
      </c>
      <c r="P5" s="13">
        <f t="shared" ref="P5:P68" si="33">EXP(-1.0587+0.8836*LN(O5)+0.284)</f>
        <v>0.48222168139326793</v>
      </c>
      <c r="Q5" s="20">
        <f t="shared" si="2"/>
        <v>2.6732564892559605</v>
      </c>
      <c r="R5" s="59">
        <f t="shared" si="0"/>
        <v>261.78436760036709</v>
      </c>
      <c r="S5" s="59">
        <f ca="1">AVERAGE(OFFSET($R$3,0,0,'Données projet'!$E$9+1,1))-AVERAGE(OFFSET($H$3,0,0,'Données projet'!$E$9+1,1))</f>
        <v>300.80663531652721</v>
      </c>
      <c r="T5" s="59">
        <f t="shared" ref="T5:T68" si="34">$T$3</f>
        <v>306.01967513533549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5.8668181818181813</v>
      </c>
      <c r="AI5" s="13">
        <f>IF('Données projet'!$A$62&gt;35,AI4+AH5-AQ4,IF(A5&lt;'Données projet'!$A$62,$AF$205^A5,IF(A5='Données projet'!$A$62,'Données projet'!$B$62,AI4+AH5-AQ4)))</f>
        <v>1.5555830775049537</v>
      </c>
      <c r="AJ5" s="13">
        <f>AI5*VLOOKUP('Données projet'!$B$10,Paramètres!$A$1:$I$89,3,0)*VLOOKUP('Données projet'!$B$10,Paramètres!$A$1:$I$89,5,0)</f>
        <v>0.93023868034796242</v>
      </c>
      <c r="AK5" s="13">
        <f t="shared" ref="AK5:AK68" si="35">EXP(-1.0587+0.8836*LN(AJ5)+0.284)</f>
        <v>0.43231675887518456</v>
      </c>
      <c r="AL5" s="20">
        <f t="shared" si="4"/>
        <v>2.373117389980314</v>
      </c>
      <c r="AM5" s="59">
        <f t="shared" si="5"/>
        <v>261.48422850109148</v>
      </c>
      <c r="AN5" s="59">
        <f ca="1">AVERAGE(OFFSET($AM$3,0,0,'Données projet'!$E$10+1,1))-AVERAGE(OFFSET($H$3,0,0,'Données projet'!$E$10+1,1))</f>
        <v>349.5718186624772</v>
      </c>
      <c r="AO5" s="59">
        <f t="shared" ref="AO5:AO68" si="36">$AO$3</f>
        <v>258.14152930815959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5.2149908571428574</v>
      </c>
      <c r="BF5" s="13">
        <f t="shared" ref="BF5:BF68" si="37">EXP(-1.0587+0.8836*LN(BE5)+0.284)</f>
        <v>1.982975291783567</v>
      </c>
      <c r="BG5" s="20">
        <f t="shared" si="7"/>
        <v>12.536457709380189</v>
      </c>
      <c r="BH5" s="59">
        <f t="shared" si="8"/>
        <v>271.64756882049136</v>
      </c>
      <c r="BI5" s="59">
        <f ca="1">AVERAGE(OFFSET($BH$3,0,0,'Données projet'!$E$11+1,1))-AVERAGE(OFFSET($H$3,0,0,'Données projet'!$E$11+1,1))</f>
        <v>442.85175349826028</v>
      </c>
      <c r="BJ5" s="59">
        <f t="shared" ref="BJ5:BJ68" si="38">$BJ$3</f>
        <v>210.70697808232501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7.1952941176470588</v>
      </c>
      <c r="N6" s="13">
        <f>IF('Données projet'!$A$36&gt;35,N5+M6-V5,IF(A6&lt;'Données projet'!$A$36,$K$205^A6,IF(A6='Données projet'!$A$36,'Données projet'!$B$36,N5+M6-V5)))</f>
        <v>2.3355109450773996</v>
      </c>
      <c r="O6" s="13">
        <f>N6*VLOOKUP('Données projet'!$B$9,Paramètres!$A$1:$I$89,3,0)*VLOOKUP('Données projet'!$B$9,Paramètres!$A$1:$I$89,5,0)</f>
        <v>1.3966355451562853</v>
      </c>
      <c r="P6" s="13">
        <f t="shared" si="33"/>
        <v>0.61908101217040834</v>
      </c>
      <c r="Q6" s="20">
        <f t="shared" si="2"/>
        <v>3.5107063373439913</v>
      </c>
      <c r="R6" s="59">
        <f t="shared" si="0"/>
        <v>263.84403967067732</v>
      </c>
      <c r="S6" s="59">
        <f ca="1">AVERAGE(OFFSET($R$3,0,0,'Données projet'!$E$9+1,1))-AVERAGE(OFFSET($H$3,0,0,'Données projet'!$E$9+1,1))</f>
        <v>300.80663531652721</v>
      </c>
      <c r="T6" s="59">
        <f t="shared" si="34"/>
        <v>306.01967513533549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5.8668181818181813</v>
      </c>
      <c r="AI6" s="13">
        <f>IF('Données projet'!$A$62&gt;35,AI5+AH6-AQ5,IF(A6&lt;'Données projet'!$A$62,$AF$205^A6,IF(A6='Données projet'!$A$62,'Données projet'!$B$62,AI5+AH6-AQ5)))</f>
        <v>1.9401701340742707</v>
      </c>
      <c r="AJ6" s="13">
        <f>AI6*VLOOKUP('Données projet'!$B$10,Paramètres!$A$1:$I$89,3,0)*VLOOKUP('Données projet'!$B$10,Paramètres!$A$1:$I$89,5,0)</f>
        <v>1.1602217401764139</v>
      </c>
      <c r="AK6" s="13">
        <f t="shared" si="35"/>
        <v>0.52550940332379237</v>
      </c>
      <c r="AL6" s="20">
        <f t="shared" si="4"/>
        <v>2.9359817415961924</v>
      </c>
      <c r="AM6" s="59">
        <f t="shared" si="5"/>
        <v>263.26931507492952</v>
      </c>
      <c r="AN6" s="59">
        <f ca="1">AVERAGE(OFFSET($AM$3,0,0,'Données projet'!$E$10+1,1))-AVERAGE(OFFSET($H$3,0,0,'Données projet'!$E$10+1,1))</f>
        <v>349.5718186624772</v>
      </c>
      <c r="AO6" s="59">
        <f t="shared" si="36"/>
        <v>258.14152930815959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7.8224862857142856</v>
      </c>
      <c r="BF6" s="13">
        <f t="shared" si="37"/>
        <v>2.8373410368026852</v>
      </c>
      <c r="BG6" s="20">
        <f t="shared" si="7"/>
        <v>18.565865920050392</v>
      </c>
      <c r="BH6" s="59">
        <f t="shared" si="8"/>
        <v>278.8991992533837</v>
      </c>
      <c r="BI6" s="59">
        <f ca="1">AVERAGE(OFFSET($BH$3,0,0,'Données projet'!$E$11+1,1))-AVERAGE(OFFSET($H$3,0,0,'Données projet'!$E$11+1,1))</f>
        <v>442.85175349826028</v>
      </c>
      <c r="BJ6" s="59">
        <f t="shared" si="38"/>
        <v>210.70697808232501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7.1952941176470588</v>
      </c>
      <c r="N7" s="13">
        <f>IF('Données projet'!$A$36&gt;35,N6+M7-V6,IF(A7&lt;'Données projet'!$A$36,$K$205^A7,IF(A7='Données projet'!$A$36,'Données projet'!$B$36,N6+M7-V6)))</f>
        <v>3.09867391244756</v>
      </c>
      <c r="O7" s="13">
        <f>N7*VLOOKUP('Données projet'!$B$9,Paramètres!$A$1:$I$89,3,0)*VLOOKUP('Données projet'!$B$9,Paramètres!$A$1:$I$89,5,0)</f>
        <v>1.8530069996436409</v>
      </c>
      <c r="P7" s="13">
        <f t="shared" si="33"/>
        <v>0.79478238830446668</v>
      </c>
      <c r="Q7" s="20">
        <f t="shared" si="2"/>
        <v>4.6115665173429541</v>
      </c>
      <c r="R7" s="59">
        <f t="shared" si="0"/>
        <v>266.16712207289851</v>
      </c>
      <c r="S7" s="59">
        <f ca="1">AVERAGE(OFFSET($R$3,0,0,'Données projet'!$E$9+1,1))-AVERAGE(OFFSET($H$3,0,0,'Données projet'!$E$9+1,1))</f>
        <v>300.80663531652721</v>
      </c>
      <c r="T7" s="59">
        <f t="shared" si="34"/>
        <v>306.01967513533549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5.8668181818181813</v>
      </c>
      <c r="AI7" s="13">
        <f>IF('Données projet'!$A$62&gt;35,AI6+AH7-AQ6,IF(A7&lt;'Données projet'!$A$62,$AF$205^A7,IF(A7='Données projet'!$A$62,'Données projet'!$B$62,AI6+AH7-AQ6)))</f>
        <v>2.419838711019783</v>
      </c>
      <c r="AJ7" s="13">
        <f>AI7*VLOOKUP('Données projet'!$B$10,Paramètres!$A$1:$I$89,3,0)*VLOOKUP('Données projet'!$B$10,Paramètres!$A$1:$I$89,5,0)</f>
        <v>1.4470635491898303</v>
      </c>
      <c r="AK7" s="13">
        <f t="shared" si="35"/>
        <v>0.63879118103182142</v>
      </c>
      <c r="AL7" s="20">
        <f t="shared" si="4"/>
        <v>3.6328636551360431</v>
      </c>
      <c r="AM7" s="59">
        <f t="shared" si="5"/>
        <v>265.18841921069156</v>
      </c>
      <c r="AN7" s="59">
        <f ca="1">AVERAGE(OFFSET($AM$3,0,0,'Données projet'!$E$10+1,1))-AVERAGE(OFFSET($H$3,0,0,'Données projet'!$E$10+1,1))</f>
        <v>349.5718186624772</v>
      </c>
      <c r="AO7" s="59">
        <f t="shared" si="36"/>
        <v>258.14152930815959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10.429981714285715</v>
      </c>
      <c r="BF7" s="13">
        <f t="shared" si="37"/>
        <v>3.6585366248505338</v>
      </c>
      <c r="BG7" s="20">
        <f t="shared" si="7"/>
        <v>24.53750277399563</v>
      </c>
      <c r="BH7" s="59">
        <f t="shared" si="8"/>
        <v>286.09305832955118</v>
      </c>
      <c r="BI7" s="59">
        <f ca="1">AVERAGE(OFFSET($BH$3,0,0,'Données projet'!$E$11+1,1))-AVERAGE(OFFSET($H$3,0,0,'Données projet'!$E$11+1,1))</f>
        <v>442.85175349826028</v>
      </c>
      <c r="BJ7" s="59">
        <f t="shared" si="38"/>
        <v>210.70697808232501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7.1952941176470588</v>
      </c>
      <c r="N8" s="13">
        <f>IF('Données projet'!$A$36&gt;35,N7+M8-V7,IF(A8&lt;'Données projet'!$A$36,$K$205^A8,IF(A8='Données projet'!$A$36,'Données projet'!$B$36,N7+M8-V7)))</f>
        <v>4.1112117397355483</v>
      </c>
      <c r="O8" s="13">
        <f>N8*VLOOKUP('Données projet'!$B$9,Paramètres!$A$1:$I$89,3,0)*VLOOKUP('Données projet'!$B$9,Paramètres!$A$1:$I$89,5,0)</f>
        <v>2.4585046203618579</v>
      </c>
      <c r="P8" s="13">
        <f t="shared" si="33"/>
        <v>1.0203495703161323</v>
      </c>
      <c r="Q8" s="20">
        <f t="shared" si="2"/>
        <v>6.0590043820974993</v>
      </c>
      <c r="R8" s="59">
        <f t="shared" si="0"/>
        <v>268.83678215987527</v>
      </c>
      <c r="S8" s="59">
        <f ca="1">AVERAGE(OFFSET($R$3,0,0,'Données projet'!$E$9+1,1))-AVERAGE(OFFSET($H$3,0,0,'Données projet'!$E$9+1,1))</f>
        <v>300.80663531652721</v>
      </c>
      <c r="T8" s="59">
        <f t="shared" si="34"/>
        <v>306.01967513533549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5.8668181818181813</v>
      </c>
      <c r="AI8" s="13">
        <f>IF('Données projet'!$A$62&gt;35,AI7+AH8-AQ7,IF(A8&lt;'Données projet'!$A$62,$AF$205^A8,IF(A8='Données projet'!$A$62,'Données projet'!$B$62,AI7+AH8-AQ7)))</f>
        <v>3.0180958280464529</v>
      </c>
      <c r="AJ8" s="13">
        <f>AI8*VLOOKUP('Données projet'!$B$10,Paramètres!$A$1:$I$89,3,0)*VLOOKUP('Données projet'!$B$10,Paramètres!$A$1:$I$89,5,0)</f>
        <v>1.804821305171779</v>
      </c>
      <c r="AK8" s="13">
        <f t="shared" si="35"/>
        <v>0.77649261912941803</v>
      </c>
      <c r="AL8" s="20">
        <f t="shared" si="4"/>
        <v>4.4957884181579182</v>
      </c>
      <c r="AM8" s="59">
        <f t="shared" si="5"/>
        <v>267.2735661959357</v>
      </c>
      <c r="AN8" s="59">
        <f ca="1">AVERAGE(OFFSET($AM$3,0,0,'Données projet'!$E$10+1,1))-AVERAGE(OFFSET($H$3,0,0,'Données projet'!$E$10+1,1))</f>
        <v>349.5718186624772</v>
      </c>
      <c r="AO8" s="59">
        <f t="shared" si="36"/>
        <v>258.14152930815959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13.037477142857142</v>
      </c>
      <c r="BF8" s="13">
        <f t="shared" si="37"/>
        <v>4.4559170189156907</v>
      </c>
      <c r="BG8" s="20">
        <f t="shared" si="7"/>
        <v>30.46766149842102</v>
      </c>
      <c r="BH8" s="59">
        <f t="shared" si="8"/>
        <v>293.24543927619879</v>
      </c>
      <c r="BI8" s="59">
        <f ca="1">AVERAGE(OFFSET($BH$3,0,0,'Données projet'!$E$11+1,1))-AVERAGE(OFFSET($H$3,0,0,'Données projet'!$E$11+1,1))</f>
        <v>442.85175349826028</v>
      </c>
      <c r="BJ8" s="59">
        <f t="shared" si="38"/>
        <v>210.70697808232501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7.1952941176470588</v>
      </c>
      <c r="N9" s="13">
        <f>IF('Données projet'!$A$36&gt;35,N8+M9-V8,IF(A9&lt;'Données projet'!$A$36,$K$205^A9,IF(A9='Données projet'!$A$36,'Données projet'!$B$36,N8+M9-V8)))</f>
        <v>5.4546113745763272</v>
      </c>
      <c r="O9" s="13">
        <f>N9*VLOOKUP('Données projet'!$B$9,Paramètres!$A$1:$I$89,3,0)*VLOOKUP('Données projet'!$B$9,Paramètres!$A$1:$I$89,5,0)</f>
        <v>3.2618576019966441</v>
      </c>
      <c r="P9" s="13">
        <f t="shared" si="33"/>
        <v>1.3099349720938758</v>
      </c>
      <c r="Q9" s="20">
        <f t="shared" si="2"/>
        <v>7.962538733207654</v>
      </c>
      <c r="R9" s="59">
        <f t="shared" si="0"/>
        <v>271.96253873320768</v>
      </c>
      <c r="S9" s="59">
        <f ca="1">AVERAGE(OFFSET($R$3,0,0,'Données projet'!$E$9+1,1))-AVERAGE(OFFSET($H$3,0,0,'Données projet'!$E$9+1,1))</f>
        <v>300.80663531652721</v>
      </c>
      <c r="T9" s="59">
        <f t="shared" si="34"/>
        <v>306.01967513533549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5.8668181818181813</v>
      </c>
      <c r="AI9" s="13">
        <f>IF('Données projet'!$A$62&gt;35,AI8+AH9-AQ8,IF(A9&lt;'Données projet'!$A$62,$AF$205^A9,IF(A9='Données projet'!$A$62,'Données projet'!$B$62,AI8+AH9-AQ8)))</f>
        <v>3.7642601491537744</v>
      </c>
      <c r="AJ9" s="13">
        <f>AI9*VLOOKUP('Données projet'!$B$10,Paramètres!$A$1:$I$89,3,0)*VLOOKUP('Données projet'!$B$10,Paramètres!$A$1:$I$89,5,0)</f>
        <v>2.251027569193957</v>
      </c>
      <c r="AK9" s="13">
        <f t="shared" si="35"/>
        <v>0.94387775765556148</v>
      </c>
      <c r="AL9" s="20">
        <f t="shared" si="4"/>
        <v>5.5644601109295779</v>
      </c>
      <c r="AM9" s="59">
        <f t="shared" si="5"/>
        <v>269.56446011092959</v>
      </c>
      <c r="AN9" s="59">
        <f ca="1">AVERAGE(OFFSET($AM$3,0,0,'Données projet'!$E$10+1,1))-AVERAGE(OFFSET($H$3,0,0,'Données projet'!$E$10+1,1))</f>
        <v>349.5718186624772</v>
      </c>
      <c r="AO9" s="59">
        <f t="shared" si="36"/>
        <v>258.14152930815959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15.644972571428568</v>
      </c>
      <c r="BF9" s="13">
        <f t="shared" si="37"/>
        <v>5.234818680467451</v>
      </c>
      <c r="BG9" s="20">
        <f t="shared" si="7"/>
        <v>36.365636430385564</v>
      </c>
      <c r="BH9" s="59">
        <f t="shared" si="8"/>
        <v>300.36563643038556</v>
      </c>
      <c r="BI9" s="59">
        <f ca="1">AVERAGE(OFFSET($BH$3,0,0,'Données projet'!$E$11+1,1))-AVERAGE(OFFSET($H$3,0,0,'Données projet'!$E$11+1,1))</f>
        <v>442.85175349826028</v>
      </c>
      <c r="BJ9" s="59">
        <f t="shared" si="38"/>
        <v>210.70697808232501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7.1952941176470588</v>
      </c>
      <c r="N10" s="13">
        <f>IF('Données projet'!$A$36&gt;35,N9+M10-V9,IF(A10&lt;'Données projet'!$A$36,$K$205^A10,IF(A10='Données projet'!$A$36,'Données projet'!$B$36,N9+M10-V9)))</f>
        <v>7.2369868377470841</v>
      </c>
      <c r="O10" s="13">
        <f>N10*VLOOKUP('Données projet'!$B$9,Paramètres!$A$1:$I$89,3,0)*VLOOKUP('Données projet'!$B$9,Paramètres!$A$1:$I$89,5,0)</f>
        <v>4.3277181289727569</v>
      </c>
      <c r="P10" s="13">
        <f t="shared" si="33"/>
        <v>1.6817076039762937</v>
      </c>
      <c r="Q10" s="20">
        <f t="shared" si="2"/>
        <v>10.466416484886262</v>
      </c>
      <c r="R10" s="59">
        <f t="shared" si="0"/>
        <v>275.68863870710851</v>
      </c>
      <c r="S10" s="59">
        <f ca="1">AVERAGE(OFFSET($R$3,0,0,'Données projet'!$E$9+1,1))-AVERAGE(OFFSET($H$3,0,0,'Données projet'!$E$9+1,1))</f>
        <v>300.80663531652721</v>
      </c>
      <c r="T10" s="59">
        <f t="shared" si="34"/>
        <v>306.01967513533549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5.8668181818181813</v>
      </c>
      <c r="AI10" s="13">
        <f>IF('Données projet'!$A$62&gt;35,AI9+AH10-AQ9,IF(A10&lt;'Données projet'!$A$62,$AF$205^A10,IF(A10='Données projet'!$A$62,'Données projet'!$B$62,AI9+AH10-AQ9)))</f>
        <v>4.6948987963973625</v>
      </c>
      <c r="AJ10" s="13">
        <f>AI10*VLOOKUP('Données projet'!$B$10,Paramètres!$A$1:$I$89,3,0)*VLOOKUP('Données projet'!$B$10,Paramètres!$A$1:$I$89,5,0)</f>
        <v>2.8075494802456231</v>
      </c>
      <c r="AK10" s="13">
        <f t="shared" si="35"/>
        <v>1.1473453828778812</v>
      </c>
      <c r="AL10" s="20">
        <f t="shared" si="4"/>
        <v>6.8881085532734367</v>
      </c>
      <c r="AM10" s="59">
        <f t="shared" si="5"/>
        <v>272.11033077549564</v>
      </c>
      <c r="AN10" s="59">
        <f ca="1">AVERAGE(OFFSET($AM$3,0,0,'Données projet'!$E$10+1,1))-AVERAGE(OFFSET($H$3,0,0,'Données projet'!$E$10+1,1))</f>
        <v>349.5718186624772</v>
      </c>
      <c r="AO10" s="59">
        <f t="shared" si="36"/>
        <v>258.14152930815959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18.252467999999997</v>
      </c>
      <c r="BF10" s="13">
        <f t="shared" si="37"/>
        <v>5.9986818198777838</v>
      </c>
      <c r="BG10" s="20">
        <f t="shared" si="7"/>
        <v>42.237419269620467</v>
      </c>
      <c r="BH10" s="59">
        <f t="shared" si="8"/>
        <v>307.45964149184272</v>
      </c>
      <c r="BI10" s="59">
        <f ca="1">AVERAGE(OFFSET($BH$3,0,0,'Données projet'!$E$11+1,1))-AVERAGE(OFFSET($H$3,0,0,'Données projet'!$E$11+1,1))</f>
        <v>442.85175349826028</v>
      </c>
      <c r="BJ10" s="59">
        <f t="shared" si="38"/>
        <v>210.70697808232501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7.1952941176470588</v>
      </c>
      <c r="N11" s="13">
        <f>IF('Données projet'!$A$36&gt;35,N10+M11-V10,IF(A11&lt;'Données projet'!$A$36,$K$205^A11,IF(A11='Données projet'!$A$36,'Données projet'!$B$36,N10+M11-V10)))</f>
        <v>9.6017800156830688</v>
      </c>
      <c r="O11" s="13">
        <f>N11*VLOOKUP('Données projet'!$B$9,Paramètres!$A$1:$I$89,3,0)*VLOOKUP('Données projet'!$B$9,Paramètres!$A$1:$I$89,5,0)</f>
        <v>5.7418644493784763</v>
      </c>
      <c r="P11" s="13">
        <f t="shared" si="33"/>
        <v>2.1589930229521412</v>
      </c>
      <c r="Q11" s="20">
        <f t="shared" si="2"/>
        <v>13.760660097642491</v>
      </c>
      <c r="R11" s="59">
        <f t="shared" si="0"/>
        <v>280.20510454208693</v>
      </c>
      <c r="S11" s="59">
        <f ca="1">AVERAGE(OFFSET($R$3,0,0,'Données projet'!$E$9+1,1))-AVERAGE(OFFSET($H$3,0,0,'Données projet'!$E$9+1,1))</f>
        <v>300.80663531652721</v>
      </c>
      <c r="T11" s="59">
        <f t="shared" si="34"/>
        <v>306.01967513533549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5.8668181818181813</v>
      </c>
      <c r="AI11" s="13">
        <f>IF('Données projet'!$A$62&gt;35,AI10+AH11-AQ10,IF(A11&lt;'Données projet'!$A$62,$AF$205^A11,IF(A11='Données projet'!$A$62,'Données projet'!$B$62,AI10+AH11-AQ10)))</f>
        <v>5.8556193873498845</v>
      </c>
      <c r="AJ11" s="13">
        <f>AI11*VLOOKUP('Données projet'!$B$10,Paramètres!$A$1:$I$89,3,0)*VLOOKUP('Données projet'!$B$10,Paramètres!$A$1:$I$89,5,0)</f>
        <v>3.5016603936352309</v>
      </c>
      <c r="AK11" s="13">
        <f t="shared" si="35"/>
        <v>1.3946736396044743</v>
      </c>
      <c r="AL11" s="20">
        <f t="shared" si="4"/>
        <v>8.5277817745591538</v>
      </c>
      <c r="AM11" s="59">
        <f t="shared" si="5"/>
        <v>274.97222621900363</v>
      </c>
      <c r="AN11" s="59">
        <f ca="1">AVERAGE(OFFSET($AM$3,0,0,'Données projet'!$E$10+1,1))-AVERAGE(OFFSET($H$3,0,0,'Données projet'!$E$10+1,1))</f>
        <v>349.5718186624772</v>
      </c>
      <c r="AO11" s="59">
        <f t="shared" si="36"/>
        <v>258.14152930815959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20.859963428571422</v>
      </c>
      <c r="BF11" s="13">
        <f t="shared" si="37"/>
        <v>6.7499026794901864</v>
      </c>
      <c r="BG11" s="20">
        <f t="shared" si="7"/>
        <v>48.087183471540634</v>
      </c>
      <c r="BH11" s="59">
        <f t="shared" si="8"/>
        <v>314.5316279159851</v>
      </c>
      <c r="BI11" s="59">
        <f ca="1">AVERAGE(OFFSET($BH$3,0,0,'Données projet'!$E$11+1,1))-AVERAGE(OFFSET($H$3,0,0,'Données projet'!$E$11+1,1))</f>
        <v>442.85175349826028</v>
      </c>
      <c r="BJ11" s="59">
        <f t="shared" si="38"/>
        <v>210.70697808232501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7.1952941176470588</v>
      </c>
      <c r="N12" s="13">
        <f>IF('Données projet'!$A$36&gt;35,N11+M12-V11,IF(A12&lt;'Données projet'!$A$36,$K$205^A12,IF(A12='Données projet'!$A$36,'Données projet'!$B$36,N11+M12-V11)))</f>
        <v>12.739304566466691</v>
      </c>
      <c r="O12" s="13">
        <f>N12*VLOOKUP('Données projet'!$B$9,Paramètres!$A$1:$I$89,3,0)*VLOOKUP('Données projet'!$B$9,Paramètres!$A$1:$I$89,5,0)</f>
        <v>7.6181041307470823</v>
      </c>
      <c r="P12" s="13">
        <f t="shared" si="33"/>
        <v>2.7717368121157255</v>
      </c>
      <c r="Q12" s="20">
        <f t="shared" si="2"/>
        <v>18.095639642152722</v>
      </c>
      <c r="R12" s="59">
        <f t="shared" si="0"/>
        <v>285.7623063088194</v>
      </c>
      <c r="S12" s="59">
        <f ca="1">AVERAGE(OFFSET($R$3,0,0,'Données projet'!$E$9+1,1))-AVERAGE(OFFSET($H$3,0,0,'Données projet'!$E$9+1,1))</f>
        <v>300.80663531652721</v>
      </c>
      <c r="T12" s="59">
        <f t="shared" si="34"/>
        <v>306.01967513533549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5.8668181818181813</v>
      </c>
      <c r="AI12" s="13">
        <f>IF('Données projet'!$A$62&gt;35,AI11+AH12-AQ11,IF(A12&lt;'Données projet'!$A$62,$AF$205^A12,IF(A12='Données projet'!$A$62,'Données projet'!$B$62,AI11+AH12-AQ11)))</f>
        <v>7.3033051182741131</v>
      </c>
      <c r="AJ12" s="13">
        <f>AI12*VLOOKUP('Données projet'!$B$10,Paramètres!$A$1:$I$89,3,0)*VLOOKUP('Données projet'!$B$10,Paramètres!$A$1:$I$89,5,0)</f>
        <v>4.36737646072792</v>
      </c>
      <c r="AK12" s="13">
        <f t="shared" si="35"/>
        <v>1.6953173735084623</v>
      </c>
      <c r="AL12" s="20">
        <f t="shared" si="4"/>
        <v>10.559191761295033</v>
      </c>
      <c r="AM12" s="59">
        <f t="shared" si="5"/>
        <v>278.22585842796173</v>
      </c>
      <c r="AN12" s="59">
        <f ca="1">AVERAGE(OFFSET($AM$3,0,0,'Données projet'!$E$10+1,1))-AVERAGE(OFFSET($H$3,0,0,'Données projet'!$E$10+1,1))</f>
        <v>349.5718186624772</v>
      </c>
      <c r="AO12" s="59">
        <f t="shared" si="36"/>
        <v>258.14152930815959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23.467458857142852</v>
      </c>
      <c r="BF12" s="13">
        <f t="shared" si="37"/>
        <v>7.4902425279097828</v>
      </c>
      <c r="BG12" s="20">
        <f t="shared" si="7"/>
        <v>53.917996578966665</v>
      </c>
      <c r="BH12" s="59">
        <f t="shared" si="8"/>
        <v>321.58466324563335</v>
      </c>
      <c r="BI12" s="59">
        <f ca="1">AVERAGE(OFFSET($BH$3,0,0,'Données projet'!$E$11+1,1))-AVERAGE(OFFSET($H$3,0,0,'Données projet'!$E$11+1,1))</f>
        <v>442.85175349826028</v>
      </c>
      <c r="BJ12" s="59">
        <f t="shared" si="38"/>
        <v>210.70697808232501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7.1952941176470588</v>
      </c>
      <c r="N13" s="13">
        <f>IF('Données projet'!$A$36&gt;35,N12+M13-V12,IF(A13&lt;'Données projet'!$A$36,$K$205^A13,IF(A13='Données projet'!$A$36,'Données projet'!$B$36,N12+M13-V12)))</f>
        <v>16.902061968939393</v>
      </c>
      <c r="O13" s="13">
        <f>N13*VLOOKUP('Données projet'!$B$9,Paramètres!$A$1:$I$89,3,0)*VLOOKUP('Données projet'!$B$9,Paramètres!$A$1:$I$89,5,0)</f>
        <v>10.107433057425759</v>
      </c>
      <c r="P13" s="13">
        <f t="shared" si="33"/>
        <v>3.5583834102125023</v>
      </c>
      <c r="Q13" s="20">
        <f t="shared" si="2"/>
        <v>23.80129701446997</v>
      </c>
      <c r="R13" s="59">
        <f t="shared" si="0"/>
        <v>292.69018590335884</v>
      </c>
      <c r="S13" s="59">
        <f ca="1">AVERAGE(OFFSET($R$3,0,0,'Données projet'!$E$9+1,1))-AVERAGE(OFFSET($H$3,0,0,'Données projet'!$E$9+1,1))</f>
        <v>300.80663531652721</v>
      </c>
      <c r="T13" s="59">
        <f t="shared" si="34"/>
        <v>306.01967513533549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5.8668181818181813</v>
      </c>
      <c r="AI13" s="13">
        <f>IF('Données projet'!$A$62&gt;35,AI12+AH13-AQ12,IF(A13&lt;'Données projet'!$A$62,$AF$205^A13,IF(A13='Données projet'!$A$62,'Données projet'!$B$62,AI12+AH13-AQ12)))</f>
        <v>9.1089024272714045</v>
      </c>
      <c r="AJ13" s="13">
        <f>AI13*VLOOKUP('Données projet'!$B$10,Paramètres!$A$1:$I$89,3,0)*VLOOKUP('Données projet'!$B$10,Paramètres!$A$1:$I$89,5,0)</f>
        <v>5.4471236515083001</v>
      </c>
      <c r="AK13" s="13">
        <f t="shared" si="35"/>
        <v>2.0607695702449207</v>
      </c>
      <c r="AL13" s="20">
        <f t="shared" si="4"/>
        <v>13.076247361220192</v>
      </c>
      <c r="AM13" s="59">
        <f t="shared" si="5"/>
        <v>281.96513625010903</v>
      </c>
      <c r="AN13" s="59">
        <f ca="1">AVERAGE(OFFSET($AM$3,0,0,'Données projet'!$E$10+1,1))-AVERAGE(OFFSET($H$3,0,0,'Données projet'!$E$10+1,1))</f>
        <v>349.5718186624772</v>
      </c>
      <c r="AO13" s="59">
        <f t="shared" si="36"/>
        <v>258.14152930815959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26.074954285714277</v>
      </c>
      <c r="BF13" s="13">
        <f t="shared" si="37"/>
        <v>8.221048279595589</v>
      </c>
      <c r="BG13" s="20">
        <f t="shared" si="7"/>
        <v>59.732204467914677</v>
      </c>
      <c r="BH13" s="59">
        <f t="shared" si="8"/>
        <v>328.62109335680356</v>
      </c>
      <c r="BI13" s="59">
        <f ca="1">AVERAGE(OFFSET($BH$3,0,0,'Données projet'!$E$11+1,1))-AVERAGE(OFFSET($H$3,0,0,'Données projet'!$E$11+1,1))</f>
        <v>442.85175349826028</v>
      </c>
      <c r="BJ13" s="59">
        <f t="shared" si="38"/>
        <v>210.70697808232501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7.1952941176470588</v>
      </c>
      <c r="N14" s="13">
        <f>IF('Données projet'!$A$36&gt;35,N13+M14-V13,IF(A14&lt;'Données projet'!$A$36,$K$205^A14,IF(A14='Données projet'!$A$36,'Données projet'!$B$36,N13+M14-V13)))</f>
        <v>22.425062318853254</v>
      </c>
      <c r="O14" s="13">
        <f>N14*VLOOKUP('Données projet'!$B$9,Paramètres!$A$1:$I$89,3,0)*VLOOKUP('Données projet'!$B$9,Paramètres!$A$1:$I$89,5,0)</f>
        <v>13.410187266674248</v>
      </c>
      <c r="P14" s="13">
        <f t="shared" si="33"/>
        <v>4.5682881717800319</v>
      </c>
      <c r="Q14" s="20">
        <f t="shared" si="2"/>
        <v>31.312511388641202</v>
      </c>
      <c r="R14" s="59">
        <f t="shared" si="0"/>
        <v>301.42362249975235</v>
      </c>
      <c r="S14" s="59">
        <f ca="1">AVERAGE(OFFSET($R$3,0,0,'Données projet'!$E$9+1,1))-AVERAGE(OFFSET($H$3,0,0,'Données projet'!$E$9+1,1))</f>
        <v>300.80663531652721</v>
      </c>
      <c r="T14" s="59">
        <f t="shared" si="34"/>
        <v>306.01967513533549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5.8668181818181813</v>
      </c>
      <c r="AI14" s="13">
        <f>IF('Données projet'!$A$62&gt;35,AI13+AH14-AQ13,IF(A14&lt;'Données projet'!$A$62,$AF$205^A14,IF(A14='Données projet'!$A$62,'Données projet'!$B$62,AI13+AH14-AQ13)))</f>
        <v>11.360897851842525</v>
      </c>
      <c r="AJ14" s="13">
        <f>AI14*VLOOKUP('Données projet'!$B$10,Paramètres!$A$1:$I$89,3,0)*VLOOKUP('Données projet'!$B$10,Paramètres!$A$1:$I$89,5,0)</f>
        <v>6.7938169154018313</v>
      </c>
      <c r="AK14" s="13">
        <f t="shared" si="35"/>
        <v>2.50500070842708</v>
      </c>
      <c r="AL14" s="20">
        <f t="shared" si="4"/>
        <v>16.195440694835355</v>
      </c>
      <c r="AM14" s="59">
        <f t="shared" si="5"/>
        <v>286.30655180594647</v>
      </c>
      <c r="AN14" s="59">
        <f ca="1">AVERAGE(OFFSET($AM$3,0,0,'Données projet'!$E$10+1,1))-AVERAGE(OFFSET($H$3,0,0,'Données projet'!$E$10+1,1))</f>
        <v>349.5718186624772</v>
      </c>
      <c r="AO14" s="59">
        <f t="shared" si="36"/>
        <v>258.14152930815959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28.682449714285706</v>
      </c>
      <c r="BF14" s="13">
        <f t="shared" si="37"/>
        <v>8.9433818776468605</v>
      </c>
      <c r="BG14" s="20">
        <f t="shared" si="7"/>
        <v>65.531656689282556</v>
      </c>
      <c r="BH14" s="59">
        <f t="shared" si="8"/>
        <v>335.6427678003937</v>
      </c>
      <c r="BI14" s="59">
        <f ca="1">AVERAGE(OFFSET($BH$3,0,0,'Données projet'!$E$11+1,1))-AVERAGE(OFFSET($H$3,0,0,'Données projet'!$E$11+1,1))</f>
        <v>442.85175349826028</v>
      </c>
      <c r="BJ14" s="59">
        <f t="shared" si="38"/>
        <v>210.70697808232501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7.1952941176470588</v>
      </c>
      <c r="N15" s="13">
        <f>IF('Données projet'!$A$36&gt;35,N14+M15-V14,IF(A15&lt;'Données projet'!$A$36,$K$205^A15,IF(A15='Données projet'!$A$36,'Données projet'!$B$36,N14+M15-V14)))</f>
        <v>29.752785247657449</v>
      </c>
      <c r="O15" s="13">
        <f>N15*VLOOKUP('Données projet'!$B$9,Paramètres!$A$1:$I$89,3,0)*VLOOKUP('Données projet'!$B$9,Paramètres!$A$1:$I$89,5,0)</f>
        <v>17.792165578099155</v>
      </c>
      <c r="P15" s="13">
        <f t="shared" si="33"/>
        <v>5.8648139940544119</v>
      </c>
      <c r="Q15" s="20">
        <f t="shared" si="2"/>
        <v>41.202572754834129</v>
      </c>
      <c r="R15" s="59">
        <f t="shared" si="0"/>
        <v>312.53590608816745</v>
      </c>
      <c r="S15" s="59">
        <f ca="1">AVERAGE(OFFSET($R$3,0,0,'Données projet'!$E$9+1,1))-AVERAGE(OFFSET($H$3,0,0,'Données projet'!$E$9+1,1))</f>
        <v>300.80663531652721</v>
      </c>
      <c r="T15" s="59">
        <f t="shared" si="34"/>
        <v>306.01967513533549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5.8668181818181813</v>
      </c>
      <c r="AI15" s="13">
        <f>IF('Données projet'!$A$62&gt;35,AI14+AH15-AQ14,IF(A15&lt;'Données projet'!$A$62,$AF$205^A15,IF(A15='Données projet'!$A$62,'Données projet'!$B$62,AI14+AH15-AQ14)))</f>
        <v>14.169654470507195</v>
      </c>
      <c r="AJ15" s="13">
        <f>AI15*VLOOKUP('Données projet'!$B$10,Paramètres!$A$1:$I$89,3,0)*VLOOKUP('Données projet'!$B$10,Paramètres!$A$1:$I$89,5,0)</f>
        <v>8.4734533733633022</v>
      </c>
      <c r="AK15" s="13">
        <f t="shared" si="35"/>
        <v>3.044992822013763</v>
      </c>
      <c r="AL15" s="20">
        <f t="shared" si="4"/>
        <v>20.06129379028172</v>
      </c>
      <c r="AM15" s="59">
        <f t="shared" si="5"/>
        <v>291.39462712361501</v>
      </c>
      <c r="AN15" s="59">
        <f ca="1">AVERAGE(OFFSET($AM$3,0,0,'Données projet'!$E$10+1,1))-AVERAGE(OFFSET($H$3,0,0,'Données projet'!$E$10+1,1))</f>
        <v>349.5718186624772</v>
      </c>
      <c r="AO15" s="59">
        <f t="shared" si="36"/>
        <v>258.14152930815959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31.289945142857132</v>
      </c>
      <c r="BF15" s="13">
        <f t="shared" si="37"/>
        <v>9.6581011101333694</v>
      </c>
      <c r="BG15" s="20">
        <f t="shared" si="7"/>
        <v>71.317847223958452</v>
      </c>
      <c r="BH15" s="59">
        <f t="shared" si="8"/>
        <v>342.65118055729175</v>
      </c>
      <c r="BI15" s="59">
        <f ca="1">AVERAGE(OFFSET($BH$3,0,0,'Données projet'!$E$11+1,1))-AVERAGE(OFFSET($H$3,0,0,'Données projet'!$E$11+1,1))</f>
        <v>442.85175349826028</v>
      </c>
      <c r="BJ15" s="59">
        <f t="shared" si="38"/>
        <v>210.70697808232501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7.1952941176470588</v>
      </c>
      <c r="N16" s="13">
        <f>IF('Données projet'!$A$36&gt;35,N15+M16-V15,IF(A16&lt;'Données projet'!$A$36,$K$205^A16,IF(A16='Données projet'!$A$36,'Données projet'!$B$36,N15+M16-V15)))</f>
        <v>39.474950722834407</v>
      </c>
      <c r="O16" s="13">
        <f>N16*VLOOKUP('Données projet'!$B$9,Paramètres!$A$1:$I$89,3,0)*VLOOKUP('Données projet'!$B$9,Paramètres!$A$1:$I$89,5,0)</f>
        <v>23.606020532254977</v>
      </c>
      <c r="P16" s="13">
        <f t="shared" si="33"/>
        <v>7.5293067975293804</v>
      </c>
      <c r="Q16" s="20">
        <f t="shared" si="2"/>
        <v>54.227361766041078</v>
      </c>
      <c r="R16" s="59">
        <f t="shared" si="0"/>
        <v>326.78291732159664</v>
      </c>
      <c r="S16" s="59">
        <f ca="1">AVERAGE(OFFSET($R$3,0,0,'Données projet'!$E$9+1,1))-AVERAGE(OFFSET($H$3,0,0,'Données projet'!$E$9+1,1))</f>
        <v>300.80663531652721</v>
      </c>
      <c r="T16" s="59">
        <f t="shared" si="34"/>
        <v>306.01967513533549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5.8668181818181813</v>
      </c>
      <c r="AI16" s="13">
        <f>IF('Données projet'!$A$62&gt;35,AI15+AH16-AQ15,IF(A16&lt;'Données projet'!$A$62,$AF$205^A16,IF(A16='Données projet'!$A$62,'Données projet'!$B$62,AI15+AH16-AQ15)))</f>
        <v>17.672820443588613</v>
      </c>
      <c r="AJ16" s="13">
        <f>AI16*VLOOKUP('Données projet'!$B$10,Paramètres!$A$1:$I$89,3,0)*VLOOKUP('Données projet'!$B$10,Paramètres!$A$1:$I$89,5,0)</f>
        <v>10.56834662526599</v>
      </c>
      <c r="AK16" s="13">
        <f t="shared" si="35"/>
        <v>3.7013886882041378</v>
      </c>
      <c r="AL16" s="20">
        <f t="shared" si="4"/>
        <v>24.853122337627141</v>
      </c>
      <c r="AM16" s="59">
        <f t="shared" si="5"/>
        <v>297.4086778931827</v>
      </c>
      <c r="AN16" s="59">
        <f ca="1">AVERAGE(OFFSET($AM$3,0,0,'Données projet'!$E$10+1,1))-AVERAGE(OFFSET($H$3,0,0,'Données projet'!$E$10+1,1))</f>
        <v>349.5718186624772</v>
      </c>
      <c r="AO16" s="59">
        <f t="shared" si="36"/>
        <v>258.14152930815959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33.897440571428561</v>
      </c>
      <c r="BF16" s="13">
        <f t="shared" si="37"/>
        <v>10.365912647997442</v>
      </c>
      <c r="BG16" s="20">
        <f t="shared" si="7"/>
        <v>77.09200685716695</v>
      </c>
      <c r="BH16" s="59">
        <f t="shared" si="8"/>
        <v>349.64756241272249</v>
      </c>
      <c r="BI16" s="59">
        <f ca="1">AVERAGE(OFFSET($BH$3,0,0,'Données projet'!$E$11+1,1))-AVERAGE(OFFSET($H$3,0,0,'Données projet'!$E$11+1,1))</f>
        <v>442.85175349826028</v>
      </c>
      <c r="BJ16" s="59">
        <f t="shared" si="38"/>
        <v>210.70697808232501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7.1952941176470588</v>
      </c>
      <c r="N17" s="13">
        <f>IF('Données projet'!$A$36&gt;35,N16+M17-V16,IF(A17&lt;'Données projet'!$A$36,$K$205^A17,IF(A17='Données projet'!$A$36,'Données projet'!$B$36,N16+M17-V16)))</f>
        <v>52.373978489724536</v>
      </c>
      <c r="O17" s="13">
        <f>N17*VLOOKUP('Données projet'!$B$9,Paramètres!$A$1:$I$89,3,0)*VLOOKUP('Données projet'!$B$9,Paramètres!$A$1:$I$89,5,0)</f>
        <v>31.319639136855276</v>
      </c>
      <c r="P17" s="13">
        <f t="shared" si="33"/>
        <v>9.6661992876148126</v>
      </c>
      <c r="Q17" s="20">
        <f t="shared" si="2"/>
        <v>71.383668589285392</v>
      </c>
      <c r="R17" s="59">
        <f t="shared" si="0"/>
        <v>345.16144636706315</v>
      </c>
      <c r="S17" s="59">
        <f ca="1">AVERAGE(OFFSET($R$3,0,0,'Données projet'!$E$9+1,1))-AVERAGE(OFFSET($H$3,0,0,'Données projet'!$E$9+1,1))</f>
        <v>300.80663531652721</v>
      </c>
      <c r="T17" s="59">
        <f t="shared" si="34"/>
        <v>306.01967513533549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5.8668181818181813</v>
      </c>
      <c r="AI17" s="13">
        <f>IF('Données projet'!$A$62&gt;35,AI16+AH17-AQ16,IF(A17&lt;'Données projet'!$A$62,$AF$205^A17,IF(A17='Données projet'!$A$62,'Données projet'!$B$62,AI16+AH17-AQ16)))</f>
        <v>22.042074708413409</v>
      </c>
      <c r="AJ17" s="13">
        <f>AI17*VLOOKUP('Données projet'!$B$10,Paramètres!$A$1:$I$89,3,0)*VLOOKUP('Données projet'!$B$10,Paramètres!$A$1:$I$89,5,0)</f>
        <v>13.181160675631221</v>
      </c>
      <c r="AK17" s="13">
        <f t="shared" si="35"/>
        <v>4.4992809579449391</v>
      </c>
      <c r="AL17" s="20">
        <f t="shared" si="4"/>
        <v>30.793435845145144</v>
      </c>
      <c r="AM17" s="59">
        <f t="shared" si="5"/>
        <v>304.57121362292293</v>
      </c>
      <c r="AN17" s="59">
        <f ca="1">AVERAGE(OFFSET($AM$3,0,0,'Données projet'!$E$10+1,1))-AVERAGE(OFFSET($H$3,0,0,'Données projet'!$E$10+1,1))</f>
        <v>349.5718186624772</v>
      </c>
      <c r="AO17" s="59">
        <f t="shared" si="36"/>
        <v>258.14152930815959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36.504935999999987</v>
      </c>
      <c r="BF17" s="13">
        <f t="shared" si="37"/>
        <v>11.06740826765847</v>
      </c>
      <c r="BG17" s="20">
        <f t="shared" si="7"/>
        <v>82.855166266171821</v>
      </c>
      <c r="BH17" s="59">
        <f t="shared" si="8"/>
        <v>356.63294404394958</v>
      </c>
      <c r="BI17" s="59">
        <f ca="1">AVERAGE(OFFSET($BH$3,0,0,'Données projet'!$E$11+1,1))-AVERAGE(OFFSET($H$3,0,0,'Données projet'!$E$11+1,1))</f>
        <v>442.85175349826028</v>
      </c>
      <c r="BJ17" s="59">
        <f t="shared" si="38"/>
        <v>210.70697808232501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7.1952941176470588</v>
      </c>
      <c r="N18" s="13">
        <f>IF('Données projet'!$A$36&gt;35,N17+M18-V17,IF(A18&lt;'Données projet'!$A$36,$K$205^A18,IF(A18='Données projet'!$A$36,'Données projet'!$B$36,N17+M18-V17)))</f>
        <v>69.487955592441367</v>
      </c>
      <c r="O18" s="13">
        <f>N18*VLOOKUP('Données projet'!$B$9,Paramètres!$A$1:$I$89,3,0)*VLOOKUP('Données projet'!$B$9,Paramètres!$A$1:$I$89,5,0)</f>
        <v>41.553797444279937</v>
      </c>
      <c r="P18" s="13">
        <f t="shared" si="33"/>
        <v>12.409563214842624</v>
      </c>
      <c r="Q18" s="20">
        <f t="shared" si="2"/>
        <v>93.986186481305097</v>
      </c>
      <c r="R18" s="59">
        <f t="shared" si="0"/>
        <v>368.98618648130508</v>
      </c>
      <c r="S18" s="59">
        <f ca="1">AVERAGE(OFFSET($R$3,0,0,'Données projet'!$E$9+1,1))-AVERAGE(OFFSET($H$3,0,0,'Données projet'!$E$9+1,1))</f>
        <v>300.80663531652721</v>
      </c>
      <c r="T18" s="59">
        <f t="shared" si="34"/>
        <v>306.01967513533549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5.8668181818181813</v>
      </c>
      <c r="AI18" s="13">
        <f>IF('Données projet'!$A$62&gt;35,AI17+AH18-AQ17,IF(A18&lt;'Données projet'!$A$62,$AF$205^A18,IF(A18='Données projet'!$A$62,'Données projet'!$B$62,AI17+AH18-AQ17)))</f>
        <v>27.491540413830034</v>
      </c>
      <c r="AJ18" s="13">
        <f>AI18*VLOOKUP('Données projet'!$B$10,Paramètres!$A$1:$I$89,3,0)*VLOOKUP('Données projet'!$B$10,Paramètres!$A$1:$I$89,5,0)</f>
        <v>16.439941167470362</v>
      </c>
      <c r="AK18" s="13">
        <f t="shared" si="35"/>
        <v>5.4691713958708279</v>
      </c>
      <c r="AL18" s="20">
        <f t="shared" si="4"/>
        <v>38.158371047819237</v>
      </c>
      <c r="AM18" s="59">
        <f t="shared" si="5"/>
        <v>313.15837104781923</v>
      </c>
      <c r="AN18" s="59">
        <f ca="1">AVERAGE(OFFSET($AM$3,0,0,'Données projet'!$E$10+1,1))-AVERAGE(OFFSET($H$3,0,0,'Données projet'!$E$10+1,1))</f>
        <v>349.5718186624772</v>
      </c>
      <c r="AO18" s="59">
        <f t="shared" si="36"/>
        <v>258.14152930815959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39.112431428571419</v>
      </c>
      <c r="BF18" s="13">
        <f t="shared" si="37"/>
        <v>11.763090415641251</v>
      </c>
      <c r="BG18" s="20">
        <f t="shared" si="7"/>
        <v>88.60820054533707</v>
      </c>
      <c r="BH18" s="59">
        <f t="shared" si="8"/>
        <v>363.60820054533707</v>
      </c>
      <c r="BI18" s="59">
        <f ca="1">AVERAGE(OFFSET($BH$3,0,0,'Données projet'!$E$11+1,1))-AVERAGE(OFFSET($H$3,0,0,'Données projet'!$E$11+1,1))</f>
        <v>442.85175349826028</v>
      </c>
      <c r="BJ18" s="59">
        <f t="shared" si="38"/>
        <v>210.70697808232501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7.1952941176470588</v>
      </c>
      <c r="N19" s="13">
        <f>IF('Données projet'!$A$36&gt;35,N18+M19-V18,IF(A19&lt;'Données projet'!$A$36,$K$205^A19,IF(A19='Données projet'!$A$36,'Données projet'!$B$36,N18+M19-V18)))</f>
        <v>92.194179469570756</v>
      </c>
      <c r="O19" s="13">
        <f>N19*VLOOKUP('Données projet'!$B$9,Paramètres!$A$1:$I$89,3,0)*VLOOKUP('Données projet'!$B$9,Paramètres!$A$1:$I$89,5,0)</f>
        <v>55.13211932280332</v>
      </c>
      <c r="P19" s="13">
        <f t="shared" si="33"/>
        <v>15.931521231978957</v>
      </c>
      <c r="Q19" s="20">
        <f t="shared" si="2"/>
        <v>123.76917396624582</v>
      </c>
      <c r="R19" s="59">
        <f t="shared" si="0"/>
        <v>399.99139618846806</v>
      </c>
      <c r="S19" s="59">
        <f ca="1">AVERAGE(OFFSET($R$3,0,0,'Données projet'!$E$9+1,1))-AVERAGE(OFFSET($H$3,0,0,'Données projet'!$E$9+1,1))</f>
        <v>300.80663531652721</v>
      </c>
      <c r="T19" s="59">
        <f t="shared" si="34"/>
        <v>306.01967513533549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5.8668181818181813</v>
      </c>
      <c r="AI19" s="13">
        <f>IF('Données projet'!$A$62&gt;35,AI18+AH19-AQ18,IF(A19&lt;'Données projet'!$A$62,$AF$205^A19,IF(A19='Données projet'!$A$62,'Données projet'!$B$62,AI18+AH19-AQ18)))</f>
        <v>34.288278409507839</v>
      </c>
      <c r="AJ19" s="13">
        <f>AI19*VLOOKUP('Données projet'!$B$10,Paramètres!$A$1:$I$89,3,0)*VLOOKUP('Données projet'!$B$10,Paramètres!$A$1:$I$89,5,0)</f>
        <v>20.50439048888569</v>
      </c>
      <c r="AK19" s="13">
        <f t="shared" si="35"/>
        <v>6.6481368994289252</v>
      </c>
      <c r="AL19" s="20">
        <f t="shared" si="4"/>
        <v>47.290651867981289</v>
      </c>
      <c r="AM19" s="59">
        <f t="shared" si="5"/>
        <v>323.51287409020352</v>
      </c>
      <c r="AN19" s="59">
        <f ca="1">AVERAGE(OFFSET($AM$3,0,0,'Données projet'!$E$10+1,1))-AVERAGE(OFFSET($H$3,0,0,'Données projet'!$E$10+1,1))</f>
        <v>349.5718186624772</v>
      </c>
      <c r="AO19" s="59">
        <f t="shared" si="36"/>
        <v>258.14152930815959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41.719926857142838</v>
      </c>
      <c r="BF19" s="13">
        <f t="shared" si="37"/>
        <v>12.453390755504644</v>
      </c>
      <c r="BG19" s="20">
        <f t="shared" si="7"/>
        <v>94.351861508694356</v>
      </c>
      <c r="BH19" s="59">
        <f t="shared" si="8"/>
        <v>370.57408373091658</v>
      </c>
      <c r="BI19" s="59">
        <f ca="1">AVERAGE(OFFSET($BH$3,0,0,'Données projet'!$E$11+1,1))-AVERAGE(OFFSET($H$3,0,0,'Données projet'!$E$11+1,1))</f>
        <v>442.85175349826028</v>
      </c>
      <c r="BJ19" s="59">
        <f t="shared" si="38"/>
        <v>210.70697808232501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122.32</v>
      </c>
      <c r="L20" s="12">
        <f>VLOOKUP(A20,'Données projet'!$A$35:$I$55,9,0)</f>
        <v>7.1952941176470588</v>
      </c>
      <c r="M20" s="12">
        <f t="array" ref="M20">INDEX(L:L,MIN(IF(ISNUMBER(L20:L216),ROW(L20:L216),"")))</f>
        <v>7.1952941176470588</v>
      </c>
      <c r="N20" s="13">
        <f>IF('Données projet'!$A$36&gt;35,N19+M20-V19,IF(A20&lt;'Données projet'!$A$36,$K$205^A20,IF(A20='Données projet'!$A$36,'Données projet'!$B$36,N19+M20-V19)))</f>
        <v>122.32</v>
      </c>
      <c r="O20" s="13">
        <f>N20*VLOOKUP('Données projet'!$B$9,Paramètres!$A$1:$I$89,3,0)*VLOOKUP('Données projet'!$B$9,Paramètres!$A$1:$I$89,5,0)</f>
        <v>73.147360000000006</v>
      </c>
      <c r="P20" s="13">
        <f t="shared" si="33"/>
        <v>20.453046120222783</v>
      </c>
      <c r="Q20" s="20">
        <f t="shared" si="2"/>
        <v>163.02070732605469</v>
      </c>
      <c r="R20" s="59">
        <f t="shared" si="0"/>
        <v>440.46515177049912</v>
      </c>
      <c r="S20" s="59">
        <f ca="1">AVERAGE(OFFSET($R$3,0,0,'Données projet'!$E$9+1,1))-AVERAGE(OFFSET($H$3,0,0,'Données projet'!$E$9+1,1))</f>
        <v>300.80663531652721</v>
      </c>
      <c r="T20" s="59">
        <f t="shared" si="34"/>
        <v>306.01967513533549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40.76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14.49315281448583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14.49315281448583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5.8668181818181813</v>
      </c>
      <c r="AI20" s="13">
        <f>IF('Données projet'!$A$62&gt;35,AI19+AH20-AQ19,IF(A20&lt;'Données projet'!$A$62,$AF$205^A20,IF(A20='Données projet'!$A$62,'Données projet'!$B$62,AI19+AH20-AQ19)))</f>
        <v>42.765375042297542</v>
      </c>
      <c r="AJ20" s="13">
        <f>AI20*VLOOKUP('Données projet'!$B$10,Paramètres!$A$1:$I$89,3,0)*VLOOKUP('Données projet'!$B$10,Paramètres!$A$1:$I$89,5,0)</f>
        <v>25.573694275293931</v>
      </c>
      <c r="AK20" s="13">
        <f t="shared" si="35"/>
        <v>8.0812468716773616</v>
      </c>
      <c r="AL20" s="20">
        <f t="shared" si="4"/>
        <v>58.615689164308343</v>
      </c>
      <c r="AM20" s="59">
        <f t="shared" si="5"/>
        <v>336.06013360875278</v>
      </c>
      <c r="AN20" s="59">
        <f ca="1">AVERAGE(OFFSET($AM$3,0,0,'Données projet'!$E$10+1,1))-AVERAGE(OFFSET($H$3,0,0,'Données projet'!$E$10+1,1))</f>
        <v>349.5718186624772</v>
      </c>
      <c r="AO20" s="59">
        <f t="shared" si="36"/>
        <v>258.14152930815959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44.32742228571427</v>
      </c>
      <c r="BF20" s="13">
        <f t="shared" si="37"/>
        <v>13.138683943149809</v>
      </c>
      <c r="BG20" s="20">
        <f t="shared" si="7"/>
        <v>100.08680168193827</v>
      </c>
      <c r="BH20" s="59">
        <f t="shared" si="8"/>
        <v>377.53124612638271</v>
      </c>
      <c r="BI20" s="59">
        <f ca="1">AVERAGE(OFFSET($BH$3,0,0,'Données projet'!$E$11+1,1))-AVERAGE(OFFSET($H$3,0,0,'Données projet'!$E$11+1,1))</f>
        <v>442.85175349826028</v>
      </c>
      <c r="BJ20" s="59">
        <f t="shared" si="38"/>
        <v>210.70697808232501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17.686666666666667</v>
      </c>
      <c r="N21" s="13">
        <f>IF('Données projet'!$A$36&gt;35,N20+M21-V20,IF(A21&lt;'Données projet'!$A$36,$K$205^A21,IF(A21='Données projet'!$A$36,'Données projet'!$B$36,N20+M21-V20)))</f>
        <v>99.24666666666667</v>
      </c>
      <c r="O21" s="13">
        <f>N21*VLOOKUP('Données projet'!$B$9,Paramètres!$A$1:$I$89,3,0)*VLOOKUP('Données projet'!$B$9,Paramètres!$A$1:$I$89,5,0)</f>
        <v>59.34950666666667</v>
      </c>
      <c r="P21" s="13">
        <f t="shared" si="33"/>
        <v>17.003699693551216</v>
      </c>
      <c r="Q21" s="20">
        <f t="shared" si="2"/>
        <v>132.98183441071282</v>
      </c>
      <c r="R21" s="59">
        <f t="shared" si="0"/>
        <v>411.64850107737948</v>
      </c>
      <c r="S21" s="59">
        <f ca="1">AVERAGE(OFFSET($R$3,0,0,'Données projet'!$E$9+1,1))-AVERAGE(OFFSET($H$3,0,0,'Données projet'!$E$9+1,1))</f>
        <v>300.80663531652721</v>
      </c>
      <c r="T21" s="59">
        <f t="shared" si="34"/>
        <v>306.01967513533549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14.096836788611933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14.096836788611933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5.8668181818181813</v>
      </c>
      <c r="AI21" s="13">
        <f>IF('Données projet'!$A$62&gt;35,AI20+AH21-AQ20,IF(A21&lt;'Données projet'!$A$62,$AF$205^A21,IF(A21='Données projet'!$A$62,'Données projet'!$B$62,AI20+AH21-AQ20)))</f>
        <v>53.338265650608868</v>
      </c>
      <c r="AJ21" s="13">
        <f>AI21*VLOOKUP('Données projet'!$B$10,Paramètres!$A$1:$I$89,3,0)*VLOOKUP('Données projet'!$B$10,Paramètres!$A$1:$I$89,5,0)</f>
        <v>31.896282859064108</v>
      </c>
      <c r="AK21" s="13">
        <f t="shared" si="35"/>
        <v>9.8232861309767845</v>
      </c>
      <c r="AL21" s="20">
        <f t="shared" si="4"/>
        <v>72.661582657654549</v>
      </c>
      <c r="AM21" s="59">
        <f t="shared" si="5"/>
        <v>351.32824932432123</v>
      </c>
      <c r="AN21" s="59">
        <f ca="1">AVERAGE(OFFSET($AM$3,0,0,'Données projet'!$E$10+1,1))-AVERAGE(OFFSET($H$3,0,0,'Données projet'!$E$10+1,1))</f>
        <v>349.5718186624772</v>
      </c>
      <c r="AO21" s="59">
        <f t="shared" si="36"/>
        <v>258.14152930815959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46.934917714285703</v>
      </c>
      <c r="BF21" s="13">
        <f t="shared" si="37"/>
        <v>13.819298067361865</v>
      </c>
      <c r="BG21" s="20">
        <f t="shared" si="7"/>
        <v>105.8135924863695</v>
      </c>
      <c r="BH21" s="59">
        <f t="shared" si="8"/>
        <v>384.48025915303617</v>
      </c>
      <c r="BI21" s="59">
        <f ca="1">AVERAGE(OFFSET($BH$3,0,0,'Données projet'!$E$11+1,1))-AVERAGE(OFFSET($H$3,0,0,'Données projet'!$E$11+1,1))</f>
        <v>442.85175349826028</v>
      </c>
      <c r="BJ21" s="59">
        <f t="shared" si="38"/>
        <v>210.70697808232501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17.686666666666667</v>
      </c>
      <c r="N22" s="13">
        <f>IF('Données projet'!$A$36&gt;35,N21+M22-V21,IF(A22&lt;'Données projet'!$A$36,$K$205^A22,IF(A22='Données projet'!$A$36,'Données projet'!$B$36,N21+M22-V21)))</f>
        <v>116.93333333333334</v>
      </c>
      <c r="O22" s="13">
        <f>N22*VLOOKUP('Données projet'!$B$9,Paramètres!$A$1:$I$89,3,0)*VLOOKUP('Données projet'!$B$9,Paramètres!$A$1:$I$89,5,0)</f>
        <v>69.92613333333334</v>
      </c>
      <c r="P22" s="13">
        <f t="shared" si="33"/>
        <v>19.655112747639016</v>
      </c>
      <c r="Q22" s="20">
        <f t="shared" si="2"/>
        <v>156.02067025769352</v>
      </c>
      <c r="R22" s="59">
        <f t="shared" si="0"/>
        <v>435.90955914658241</v>
      </c>
      <c r="S22" s="59">
        <f ca="1">AVERAGE(OFFSET($R$3,0,0,'Données projet'!$E$9+1,1))-AVERAGE(OFFSET($H$3,0,0,'Données projet'!$E$9+1,1))</f>
        <v>300.80663531652721</v>
      </c>
      <c r="T22" s="59">
        <f t="shared" si="34"/>
        <v>306.01967513533549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13.711358045306911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13.711358045306911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5.8668181818181813</v>
      </c>
      <c r="AI22" s="13">
        <f>IF('Données projet'!$A$62&gt;35,AI21+AH22-AQ21,IF(A22&lt;'Données projet'!$A$62,$AF$205^A22,IF(A22='Données projet'!$A$62,'Données projet'!$B$62,AI21+AH22-AQ21)))</f>
        <v>66.525093718950743</v>
      </c>
      <c r="AJ22" s="13">
        <f>AI22*VLOOKUP('Données projet'!$B$10,Paramètres!$A$1:$I$89,3,0)*VLOOKUP('Données projet'!$B$10,Paramètres!$A$1:$I$89,5,0)</f>
        <v>39.782006043932547</v>
      </c>
      <c r="AK22" s="13">
        <f t="shared" si="35"/>
        <v>11.940849220834615</v>
      </c>
      <c r="AL22" s="20">
        <f t="shared" si="4"/>
        <v>90.083972919469474</v>
      </c>
      <c r="AM22" s="59">
        <f t="shared" si="5"/>
        <v>369.97286180835835</v>
      </c>
      <c r="AN22" s="59">
        <f ca="1">AVERAGE(OFFSET($AM$3,0,0,'Données projet'!$E$10+1,1))-AVERAGE(OFFSET($H$3,0,0,'Données projet'!$E$10+1,1))</f>
        <v>349.5718186624772</v>
      </c>
      <c r="AO22" s="59">
        <f t="shared" si="36"/>
        <v>258.14152930815959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49.542413142857136</v>
      </c>
      <c r="BF22" s="13">
        <f t="shared" si="37"/>
        <v>14.495522703715517</v>
      </c>
      <c r="BG22" s="20">
        <f t="shared" si="7"/>
        <v>111.53273826611404</v>
      </c>
      <c r="BH22" s="59">
        <f t="shared" si="8"/>
        <v>391.42162715500291</v>
      </c>
      <c r="BI22" s="59">
        <f ca="1">AVERAGE(OFFSET($BH$3,0,0,'Données projet'!$E$11+1,1))-AVERAGE(OFFSET($H$3,0,0,'Données projet'!$E$11+1,1))</f>
        <v>442.85175349826028</v>
      </c>
      <c r="BJ22" s="59">
        <f t="shared" si="38"/>
        <v>210.70697808232501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17.686666666666667</v>
      </c>
      <c r="N23" s="13">
        <f>IF('Données projet'!$A$36&gt;35,N22+M23-V22,IF(A23&lt;'Données projet'!$A$36,$K$205^A23,IF(A23='Données projet'!$A$36,'Données projet'!$B$36,N22+M23-V22)))</f>
        <v>134.62</v>
      </c>
      <c r="O23" s="13">
        <f>N23*VLOOKUP('Données projet'!$B$9,Paramètres!$A$1:$I$89,3,0)*VLOOKUP('Données projet'!$B$9,Paramètres!$A$1:$I$89,5,0)</f>
        <v>80.502760000000009</v>
      </c>
      <c r="P23" s="13">
        <f t="shared" si="33"/>
        <v>22.260066705482632</v>
      </c>
      <c r="Q23" s="20">
        <f t="shared" si="2"/>
        <v>178.97858984538223</v>
      </c>
      <c r="R23" s="59">
        <f t="shared" si="0"/>
        <v>460.0897009564934</v>
      </c>
      <c r="S23" s="59">
        <f ca="1">AVERAGE(OFFSET($R$3,0,0,'Données projet'!$E$9+1,1))-AVERAGE(OFFSET($H$3,0,0,'Données projet'!$E$9+1,1))</f>
        <v>300.80663531652721</v>
      </c>
      <c r="T23" s="59">
        <f t="shared" si="34"/>
        <v>306.01967513533549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13.336420238509012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13.336420238509012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5.8668181818181813</v>
      </c>
      <c r="AI23" s="13">
        <f>IF('Données projet'!$A$62&gt;35,AI22+AH23-AQ22,IF(A23&lt;'Données projet'!$A$62,$AF$205^A23,IF(A23='Données projet'!$A$62,'Données projet'!$B$62,AI22+AH23-AQ22)))</f>
        <v>82.972103429550899</v>
      </c>
      <c r="AJ23" s="13">
        <f>AI23*VLOOKUP('Données projet'!$B$10,Paramètres!$A$1:$I$89,3,0)*VLOOKUP('Données projet'!$B$10,Paramètres!$A$1:$I$89,5,0)</f>
        <v>49.617317850871444</v>
      </c>
      <c r="AK23" s="13">
        <f t="shared" si="35"/>
        <v>14.514886181018609</v>
      </c>
      <c r="AL23" s="20">
        <f t="shared" si="4"/>
        <v>111.69692202220851</v>
      </c>
      <c r="AM23" s="59">
        <f t="shared" si="5"/>
        <v>392.80803313331967</v>
      </c>
      <c r="AN23" s="59">
        <f ca="1">AVERAGE(OFFSET($AM$3,0,0,'Données projet'!$E$10+1,1))-AVERAGE(OFFSET($H$3,0,0,'Données projet'!$E$10+1,1))</f>
        <v>349.5718186624772</v>
      </c>
      <c r="AO23" s="59">
        <f t="shared" si="36"/>
        <v>258.14152930815959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52.149908571428568</v>
      </c>
      <c r="BF23" s="13">
        <f t="shared" si="37"/>
        <v>15.167615224551032</v>
      </c>
      <c r="BG23" s="20">
        <f t="shared" si="7"/>
        <v>117.2446872779978</v>
      </c>
      <c r="BH23" s="59">
        <f t="shared" si="8"/>
        <v>398.35579838910894</v>
      </c>
      <c r="BI23" s="59">
        <f ca="1">AVERAGE(OFFSET($BH$3,0,0,'Données projet'!$E$11+1,1))-AVERAGE(OFFSET($H$3,0,0,'Données projet'!$E$11+1,1))</f>
        <v>442.85175349826028</v>
      </c>
      <c r="BJ23" s="59">
        <f t="shared" si="38"/>
        <v>210.70697808232501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17.686666666666667</v>
      </c>
      <c r="N24" s="13">
        <f>IF('Données projet'!$A$36&gt;35,N23+M24-V23,IF(A24&lt;'Données projet'!$A$36,$K$205^A24,IF(A24='Données projet'!$A$36,'Données projet'!$B$36,N23+M24-V23)))</f>
        <v>152.30666666666667</v>
      </c>
      <c r="O24" s="13">
        <f>N24*VLOOKUP('Données projet'!$B$9,Paramètres!$A$1:$I$89,3,0)*VLOOKUP('Données projet'!$B$9,Paramètres!$A$1:$I$89,5,0)</f>
        <v>91.079386666666679</v>
      </c>
      <c r="P24" s="13">
        <f t="shared" si="33"/>
        <v>24.825366166504242</v>
      </c>
      <c r="Q24" s="20">
        <f t="shared" si="2"/>
        <v>201.8674445177727</v>
      </c>
      <c r="R24" s="59">
        <f t="shared" si="0"/>
        <v>484.20077785110601</v>
      </c>
      <c r="S24" s="59">
        <f ca="1">AVERAGE(OFFSET($R$3,0,0,'Données projet'!$E$9+1,1))-AVERAGE(OFFSET($H$3,0,0,'Données projet'!$E$9+1,1))</f>
        <v>300.80663531652721</v>
      </c>
      <c r="T24" s="59">
        <f t="shared" si="34"/>
        <v>306.01967513533549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12.971735125755124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12.971735125755124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5.8668181818181813</v>
      </c>
      <c r="AI24" s="13">
        <f>IF('Données projet'!$A$62&gt;35,AI23+AH24-AQ23,IF(A24&lt;'Données projet'!$A$62,$AF$205^A24,IF(A24='Données projet'!$A$62,'Données projet'!$B$62,AI23+AH24-AQ23)))</f>
        <v>103.48531001863087</v>
      </c>
      <c r="AJ24" s="13">
        <f>AI24*VLOOKUP('Données projet'!$B$10,Paramètres!$A$1:$I$89,3,0)*VLOOKUP('Données projet'!$B$10,Paramètres!$A$1:$I$89,5,0)</f>
        <v>61.884215391141261</v>
      </c>
      <c r="AK24" s="13">
        <f t="shared" si="35"/>
        <v>17.643797099482939</v>
      </c>
      <c r="AL24" s="20">
        <f t="shared" si="4"/>
        <v>138.51128842117049</v>
      </c>
      <c r="AM24" s="59">
        <f t="shared" si="5"/>
        <v>420.84462175450381</v>
      </c>
      <c r="AN24" s="59">
        <f ca="1">AVERAGE(OFFSET($AM$3,0,0,'Données projet'!$E$10+1,1))-AVERAGE(OFFSET($H$3,0,0,'Données projet'!$E$10+1,1))</f>
        <v>349.5718186624772</v>
      </c>
      <c r="AO24" s="59">
        <f t="shared" si="36"/>
        <v>258.14152930815959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54.757403999999994</v>
      </c>
      <c r="BF24" s="13">
        <f t="shared" si="37"/>
        <v>15.835805811091323</v>
      </c>
      <c r="BG24" s="20">
        <f t="shared" si="7"/>
        <v>122.94984042098405</v>
      </c>
      <c r="BH24" s="59">
        <f t="shared" si="8"/>
        <v>405.28317375431737</v>
      </c>
      <c r="BI24" s="59">
        <f ca="1">AVERAGE(OFFSET($BH$3,0,0,'Données projet'!$E$11+1,1))-AVERAGE(OFFSET($H$3,0,0,'Données projet'!$E$11+1,1))</f>
        <v>442.85175349826028</v>
      </c>
      <c r="BJ24" s="59">
        <f t="shared" si="38"/>
        <v>210.70697808232501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17.686666666666667</v>
      </c>
      <c r="N25" s="13">
        <f>IF('Données projet'!$A$36&gt;35,N24+M25-V24,IF(A25&lt;'Données projet'!$A$36,$K$205^A25,IF(A25='Données projet'!$A$36,'Données projet'!$B$36,N24+M25-V24)))</f>
        <v>169.99333333333334</v>
      </c>
      <c r="O25" s="13">
        <f>N25*VLOOKUP('Données projet'!$B$9,Paramètres!$A$1:$I$89,3,0)*VLOOKUP('Données projet'!$B$9,Paramètres!$A$1:$I$89,5,0)</f>
        <v>101.65601333333333</v>
      </c>
      <c r="P25" s="13">
        <f t="shared" si="33"/>
        <v>27.356141971554642</v>
      </c>
      <c r="Q25" s="20">
        <f t="shared" si="2"/>
        <v>224.6961704893466</v>
      </c>
      <c r="R25" s="59">
        <f t="shared" si="0"/>
        <v>508.25172604490217</v>
      </c>
      <c r="S25" s="59">
        <f ca="1">AVERAGE(OFFSET($R$3,0,0,'Données projet'!$E$9+1,1))-AVERAGE(OFFSET($H$3,0,0,'Données projet'!$E$9+1,1))</f>
        <v>300.80663531652721</v>
      </c>
      <c r="T25" s="59">
        <f t="shared" si="34"/>
        <v>306.01967513533549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12.617022346587447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12.617022346587447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129.07</v>
      </c>
      <c r="AG25" s="12">
        <f>VLOOKUP(A25,'Données projet'!$A$61:$I$81,9,0)</f>
        <v>5.8668181818181813</v>
      </c>
      <c r="AH25" s="12">
        <f t="array" ref="AH25">INDEX(AG:AG,MIN(IF(ISNUMBER(AG25:AG221),ROW(AG25:AG221),"")))</f>
        <v>5.8668181818181813</v>
      </c>
      <c r="AI25" s="13">
        <f>IF('Données projet'!$A$62&gt;35,AI24+AH25-AQ24,IF(A25&lt;'Données projet'!$A$62,$AF$205^A25,IF(A25='Données projet'!$A$62,'Données projet'!$B$62,AI24+AH25-AQ24)))</f>
        <v>129.07</v>
      </c>
      <c r="AJ25" s="13">
        <f>AI25*VLOOKUP('Données projet'!$B$10,Paramètres!$A$1:$I$89,3,0)*VLOOKUP('Données projet'!$B$10,Paramètres!$A$1:$I$89,5,0)</f>
        <v>77.183859999999996</v>
      </c>
      <c r="AK25" s="13">
        <f t="shared" si="35"/>
        <v>21.447193743401183</v>
      </c>
      <c r="AL25" s="20">
        <f t="shared" si="4"/>
        <v>171.78241860309038</v>
      </c>
      <c r="AM25" s="59">
        <f t="shared" si="5"/>
        <v>455.33797415864592</v>
      </c>
      <c r="AN25" s="59">
        <f ca="1">AVERAGE(OFFSET($AM$3,0,0,'Données projet'!$E$10+1,1))-AVERAGE(OFFSET($H$3,0,0,'Données projet'!$E$10+1,1))</f>
        <v>349.5718186624772</v>
      </c>
      <c r="AO25" s="59">
        <f t="shared" si="36"/>
        <v>258.14152930815959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52.41</v>
      </c>
      <c r="AR25" s="16">
        <f>IF(ISNA(VLOOKUP(A25,'Données projet'!$A$61:$I$81,5,0)),0%,VLOOKUP(A25,'Données projet'!$A$61:$I$81,5,0)*VLOOKUP('Données projet'!$B$10,Paramètres!$A$1:$I$89,7,0))</f>
        <v>4.5000000000000005E-2</v>
      </c>
      <c r="AS25" s="16">
        <f>IF(ISNA(VLOOKUP(A25,'Données projet'!$A$61:$I$81,6,0)),0%,VLOOKUP(A25,'Données projet'!$A$61:$I$81,6,0)*VLOOKUP('Données projet'!$B$10,Paramètres!$A$1:$I$89,7,0))</f>
        <v>0.36000000000000004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1.8709242920789675</v>
      </c>
      <c r="AV25" s="21">
        <f>EXP(-LN(2)/25)*AV24+(1-EXP(-LN(2)/25))/(LN(2)/25)*Calculateur!AQ25*Calculateur!AS25*VLOOKUP('Données projet'!$B$10,Paramètres!$A$1:$I$89,3,0)*0.475*44/12</f>
        <v>14.908462002104068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16.779386294183034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57.364899428571427</v>
      </c>
      <c r="BF25" s="13">
        <f t="shared" si="37"/>
        <v>16.500301483820401</v>
      </c>
      <c r="BG25" s="20">
        <f t="shared" si="7"/>
        <v>128.64855825574909</v>
      </c>
      <c r="BH25" s="59">
        <f t="shared" si="8"/>
        <v>412.20411381130464</v>
      </c>
      <c r="BI25" s="59">
        <f ca="1">AVERAGE(OFFSET($BH$3,0,0,'Données projet'!$E$11+1,1))-AVERAGE(OFFSET($H$3,0,0,'Données projet'!$E$11+1,1))</f>
        <v>442.85175349826028</v>
      </c>
      <c r="BJ25" s="59">
        <f t="shared" si="38"/>
        <v>210.70697808232501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187.68</v>
      </c>
      <c r="L26" s="12">
        <f>VLOOKUP(A26,'Données projet'!$A$35:$I$55,9,0)</f>
        <v>17.686666666666667</v>
      </c>
      <c r="M26" s="12">
        <f t="array" ref="M26">INDEX(L:L,MIN(IF(ISNUMBER(L26:L222),ROW(L26:L222),"")))</f>
        <v>17.686666666666667</v>
      </c>
      <c r="N26" s="13">
        <f>IF('Données projet'!$A$36&gt;35,N25+M26-V25,IF(A26&lt;'Données projet'!$A$36,$K$205^A26,IF(A26='Données projet'!$A$36,'Données projet'!$B$36,N25+M26-V25)))</f>
        <v>187.68</v>
      </c>
      <c r="O26" s="13">
        <f>N26*VLOOKUP('Données projet'!$B$9,Paramètres!$A$1:$I$89,3,0)*VLOOKUP('Données projet'!$B$9,Paramètres!$A$1:$I$89,5,0)</f>
        <v>112.23264000000002</v>
      </c>
      <c r="P26" s="13">
        <f t="shared" si="33"/>
        <v>29.85639523393861</v>
      </c>
      <c r="Q26" s="20">
        <f t="shared" si="2"/>
        <v>247.47173636577645</v>
      </c>
      <c r="R26" s="59">
        <f t="shared" si="0"/>
        <v>532.24951414355428</v>
      </c>
      <c r="S26" s="59">
        <f ca="1">AVERAGE(OFFSET($R$3,0,0,'Données projet'!$E$9+1,1))-AVERAGE(OFFSET($H$3,0,0,'Données projet'!$E$9+1,1))</f>
        <v>300.80663531652721</v>
      </c>
      <c r="T26" s="59">
        <f t="shared" si="34"/>
        <v>306.01967513533549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57.75</v>
      </c>
      <c r="W26" s="16">
        <f>IF(ISNA(VLOOKUP(A26,'Données projet'!$A$35:$I$55,5,0)),0%,VLOOKUP(A26,'Données projet'!$A$35:$I$55,5,0)*VLOOKUP('Données projet'!$B$9,Paramètres!$A$1:$I$89,7,0))</f>
        <v>4.5000000000000005E-2</v>
      </c>
      <c r="X26" s="16">
        <f>IF(ISNA(VLOOKUP(A26,'Données projet'!$A$35:$I$55,6,0)),0%,VLOOKUP(A26,'Données projet'!$A$35:$I$55,6,0)*VLOOKUP('Données projet'!$B$9,Paramètres!$A$1:$I$89,7,0))</f>
        <v>0.36000000000000004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2.0615508083869565</v>
      </c>
      <c r="AA26" s="21">
        <f>EXP(-LN(2)/25)*AA25+(1-EXP(-LN(2)/25))/(LN(2)/25)*Calculateur!V26*Calculateur!X26*VLOOKUP('Données projet'!$B$9,Paramètres!$A$1:$I$89,3,0)*0.475*44/12</f>
        <v>28.699478785754813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30.761029594141771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15.766000000000002</v>
      </c>
      <c r="AI26" s="13">
        <f>IF('Données projet'!$A$62&gt;35,AI25+AH26-AQ25,IF(A26&lt;'Données projet'!$A$62,$AF$205^A26,IF(A26='Données projet'!$A$62,'Données projet'!$B$62,AI25+AH26-AQ25)))</f>
        <v>92.425999999999988</v>
      </c>
      <c r="AJ26" s="13">
        <f>AI26*VLOOKUP('Données projet'!$B$10,Paramètres!$A$1:$I$89,3,0)*VLOOKUP('Données projet'!$B$10,Paramètres!$A$1:$I$89,5,0)</f>
        <v>55.27074799999999</v>
      </c>
      <c r="AK26" s="13">
        <f t="shared" si="35"/>
        <v>15.966912640281619</v>
      </c>
      <c r="AL26" s="20">
        <f t="shared" si="4"/>
        <v>124.07225894849046</v>
      </c>
      <c r="AM26" s="59">
        <f t="shared" si="5"/>
        <v>408.85003672626823</v>
      </c>
      <c r="AN26" s="59">
        <f ca="1">AVERAGE(OFFSET($AM$3,0,0,'Données projet'!$E$10+1,1))-AVERAGE(OFFSET($H$3,0,0,'Données projet'!$E$10+1,1))</f>
        <v>349.5718186624772</v>
      </c>
      <c r="AO26" s="59">
        <f t="shared" si="36"/>
        <v>258.14152930815959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1.8342366078624377</v>
      </c>
      <c r="AV26" s="21">
        <f>EXP(-LN(2)/25)*AV25+(1-EXP(-LN(2)/25))/(LN(2)/25)*Calculateur!AQ26*Calculateur!AS26*VLOOKUP('Données projet'!$B$10,Paramètres!$A$1:$I$89,3,0)*0.475*44/12</f>
        <v>14.500789324654589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16.335025932517027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59.972394857142866</v>
      </c>
      <c r="BF26" s="13">
        <f t="shared" si="37"/>
        <v>17.161289379351366</v>
      </c>
      <c r="BG26" s="20">
        <f t="shared" si="7"/>
        <v>134.34116671189412</v>
      </c>
      <c r="BH26" s="59">
        <f t="shared" si="8"/>
        <v>419.11894448967189</v>
      </c>
      <c r="BI26" s="59">
        <f ca="1">AVERAGE(OFFSET($BH$3,0,0,'Données projet'!$E$11+1,1))-AVERAGE(OFFSET($H$3,0,0,'Données projet'!$E$11+1,1))</f>
        <v>442.85175349826028</v>
      </c>
      <c r="BJ26" s="59">
        <f t="shared" si="38"/>
        <v>210.70697808232501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18.613333333333333</v>
      </c>
      <c r="N27" s="13">
        <f>IF('Données projet'!$A$36&gt;35,N26+M27-V26,IF(A27&lt;'Données projet'!$A$36,$K$205^A27,IF(A27='Données projet'!$A$36,'Données projet'!$B$36,N26+M27-V26)))</f>
        <v>148.54333333333335</v>
      </c>
      <c r="O27" s="13">
        <f>N27*VLOOKUP('Données projet'!$B$9,Paramètres!$A$1:$I$89,3,0)*VLOOKUP('Données projet'!$B$9,Paramètres!$A$1:$I$89,5,0)</f>
        <v>88.828913333333347</v>
      </c>
      <c r="P27" s="13">
        <f t="shared" si="33"/>
        <v>24.282572155728136</v>
      </c>
      <c r="Q27" s="20">
        <f t="shared" si="2"/>
        <v>197.00250389344876</v>
      </c>
      <c r="R27" s="59">
        <f t="shared" si="0"/>
        <v>483.00250389344876</v>
      </c>
      <c r="S27" s="59">
        <f ca="1">AVERAGE(OFFSET($R$3,0,0,'Données projet'!$E$9+1,1))-AVERAGE(OFFSET($H$3,0,0,'Données projet'!$E$9+1,1))</f>
        <v>300.80663531652721</v>
      </c>
      <c r="T27" s="59">
        <f t="shared" si="34"/>
        <v>306.01967513533549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2.0211250544563213</v>
      </c>
      <c r="AA27" s="21">
        <f>EXP(-LN(2)/25)*AA26+(1-EXP(-LN(2)/25))/(LN(2)/25)*Calculateur!V27*Calculateur!X27*VLOOKUP('Données projet'!$B$9,Paramètres!$A$1:$I$89,3,0)*0.475*44/12</f>
        <v>27.914690029118351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29.935815083574671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15.766000000000002</v>
      </c>
      <c r="AI27" s="13">
        <f>IF('Données projet'!$A$62&gt;35,AI26+AH27-AQ26,IF(A27&lt;'Données projet'!$A$62,$AF$205^A27,IF(A27='Données projet'!$A$62,'Données projet'!$B$62,AI26+AH27-AQ26)))</f>
        <v>108.19199999999999</v>
      </c>
      <c r="AJ27" s="13">
        <f>AI27*VLOOKUP('Données projet'!$B$10,Paramètres!$A$1:$I$89,3,0)*VLOOKUP('Données projet'!$B$10,Paramètres!$A$1:$I$89,5,0)</f>
        <v>64.698815999999994</v>
      </c>
      <c r="AK27" s="13">
        <f t="shared" si="35"/>
        <v>18.351013925322782</v>
      </c>
      <c r="AL27" s="20">
        <f t="shared" si="4"/>
        <v>144.64512045327049</v>
      </c>
      <c r="AM27" s="59">
        <f t="shared" si="5"/>
        <v>430.64512045327047</v>
      </c>
      <c r="AN27" s="59">
        <f ca="1">AVERAGE(OFFSET($AM$3,0,0,'Données projet'!$E$10+1,1))-AVERAGE(OFFSET($H$3,0,0,'Données projet'!$E$10+1,1))</f>
        <v>349.5718186624772</v>
      </c>
      <c r="AO27" s="59">
        <f t="shared" si="36"/>
        <v>258.14152930815959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1.7982683467561162</v>
      </c>
      <c r="AV27" s="21">
        <f>EXP(-LN(2)/25)*AV26+(1-EXP(-LN(2)/25))/(LN(2)/25)*Calculateur!AQ27*Calculateur!AS27*VLOOKUP('Données projet'!$B$10,Paramètres!$A$1:$I$89,3,0)*0.475*44/12</f>
        <v>14.10426447800854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15.902532824764656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62.579890285714299</v>
      </c>
      <c r="BF27" s="13">
        <f t="shared" si="37"/>
        <v>17.818939441323689</v>
      </c>
      <c r="BG27" s="20">
        <f t="shared" si="7"/>
        <v>140.02796177459118</v>
      </c>
      <c r="BH27" s="59">
        <f t="shared" si="8"/>
        <v>426.02796177459118</v>
      </c>
      <c r="BI27" s="59">
        <f ca="1">AVERAGE(OFFSET($BH$3,0,0,'Données projet'!$E$11+1,1))-AVERAGE(OFFSET($H$3,0,0,'Données projet'!$E$11+1,1))</f>
        <v>442.85175349826028</v>
      </c>
      <c r="BJ27" s="59">
        <f t="shared" si="38"/>
        <v>210.70697808232501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18.613333333333333</v>
      </c>
      <c r="N28" s="13">
        <f>IF('Données projet'!$A$36&gt;35,N27+M28-V27,IF(A28&lt;'Données projet'!$A$36,$K$205^A28,IF(A28='Données projet'!$A$36,'Données projet'!$B$36,N27+M28-V27)))</f>
        <v>167.15666666666669</v>
      </c>
      <c r="O28" s="13">
        <f>N28*VLOOKUP('Données projet'!$B$9,Paramètres!$A$1:$I$89,3,0)*VLOOKUP('Données projet'!$B$9,Paramètres!$A$1:$I$89,5,0)</f>
        <v>99.959686666666684</v>
      </c>
      <c r="P28" s="13">
        <f t="shared" si="33"/>
        <v>26.952393227223038</v>
      </c>
      <c r="Q28" s="20">
        <f t="shared" si="2"/>
        <v>221.03853914852459</v>
      </c>
      <c r="R28" s="59">
        <f t="shared" si="0"/>
        <v>508.26076137074682</v>
      </c>
      <c r="S28" s="59">
        <f ca="1">AVERAGE(OFFSET($R$3,0,0,'Données projet'!$E$9+1,1))-AVERAGE(OFFSET($H$3,0,0,'Données projet'!$E$9+1,1))</f>
        <v>300.80663531652721</v>
      </c>
      <c r="T28" s="59">
        <f t="shared" si="34"/>
        <v>306.01967513533549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1.9814920249029906</v>
      </c>
      <c r="AA28" s="21">
        <f>EXP(-LN(2)/25)*AA27+(1-EXP(-LN(2)/25))/(LN(2)/25)*Calculateur!V28*Calculateur!X28*VLOOKUP('Données projet'!$B$9,Paramètres!$A$1:$I$89,3,0)*0.475*44/12</f>
        <v>27.15136136230236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29.132853387205351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15.766000000000002</v>
      </c>
      <c r="AI28" s="13">
        <f>IF('Données projet'!$A$62&gt;35,AI27+AH28-AQ27,IF(A28&lt;'Données projet'!$A$62,$AF$205^A28,IF(A28='Données projet'!$A$62,'Données projet'!$B$62,AI27+AH28-AQ27)))</f>
        <v>123.958</v>
      </c>
      <c r="AJ28" s="13">
        <f>AI28*VLOOKUP('Données projet'!$B$10,Paramètres!$A$1:$I$89,3,0)*VLOOKUP('Données projet'!$B$10,Paramètres!$A$1:$I$89,5,0)</f>
        <v>74.126884000000004</v>
      </c>
      <c r="AK28" s="13">
        <f t="shared" si="35"/>
        <v>20.694866668390631</v>
      </c>
      <c r="AL28" s="20">
        <f t="shared" si="4"/>
        <v>165.1478824141137</v>
      </c>
      <c r="AM28" s="59">
        <f t="shared" si="5"/>
        <v>452.3701046363359</v>
      </c>
      <c r="AN28" s="59">
        <f ca="1">AVERAGE(OFFSET($AM$3,0,0,'Données projet'!$E$10+1,1))-AVERAGE(OFFSET($H$3,0,0,'Données projet'!$E$10+1,1))</f>
        <v>349.5718186624772</v>
      </c>
      <c r="AO28" s="59">
        <f t="shared" si="36"/>
        <v>258.14152930815959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1.7630054013116168</v>
      </c>
      <c r="AV28" s="21">
        <f>EXP(-LN(2)/25)*AV27+(1-EXP(-LN(2)/25))/(LN(2)/25)*Calculateur!AQ28*Calculateur!AS28*VLOOKUP('Données projet'!$B$10,Paramètres!$A$1:$I$89,3,0)*0.475*44/12</f>
        <v>13.718582624146363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15.481588025457979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65.187385714285725</v>
      </c>
      <c r="BF28" s="13">
        <f t="shared" si="37"/>
        <v>18.473406650180198</v>
      </c>
      <c r="BG28" s="20">
        <f t="shared" si="7"/>
        <v>145.70921336811145</v>
      </c>
      <c r="BH28" s="59">
        <f t="shared" si="8"/>
        <v>432.93143559033365</v>
      </c>
      <c r="BI28" s="59">
        <f ca="1">AVERAGE(OFFSET($BH$3,0,0,'Données projet'!$E$11+1,1))-AVERAGE(OFFSET($H$3,0,0,'Données projet'!$E$11+1,1))</f>
        <v>442.85175349826028</v>
      </c>
      <c r="BJ28" s="59">
        <f t="shared" si="38"/>
        <v>210.70697808232501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18.613333333333333</v>
      </c>
      <c r="N29" s="13">
        <f>IF('Données projet'!$A$36&gt;35,N28+M29-V28,IF(A29&lt;'Données projet'!$A$36,$K$205^A29,IF(A29='Données projet'!$A$36,'Données projet'!$B$36,N28+M29-V28)))</f>
        <v>185.77000000000004</v>
      </c>
      <c r="O29" s="13">
        <f>N29*VLOOKUP('Données projet'!$B$9,Paramètres!$A$1:$I$89,3,0)*VLOOKUP('Données projet'!$B$9,Paramètres!$A$1:$I$89,5,0)</f>
        <v>111.09046000000004</v>
      </c>
      <c r="P29" s="13">
        <f t="shared" si="33"/>
        <v>29.587757766677999</v>
      </c>
      <c r="Q29" s="20">
        <f t="shared" si="2"/>
        <v>245.01456261029759</v>
      </c>
      <c r="R29" s="59">
        <f t="shared" si="0"/>
        <v>533.45900705474207</v>
      </c>
      <c r="S29" s="59">
        <f ca="1">AVERAGE(OFFSET($R$3,0,0,'Données projet'!$E$9+1,1))-AVERAGE(OFFSET($H$3,0,0,'Données projet'!$E$9+1,1))</f>
        <v>300.80663531652721</v>
      </c>
      <c r="T29" s="59">
        <f t="shared" si="34"/>
        <v>306.01967513533549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1.9426361748854397</v>
      </c>
      <c r="AA29" s="21">
        <f>EXP(-LN(2)/25)*AA28+(1-EXP(-LN(2)/25))/(LN(2)/25)*Calculateur!V29*Calculateur!X29*VLOOKUP('Données projet'!$B$9,Paramètres!$A$1:$I$89,3,0)*0.475*44/12</f>
        <v>26.408905958022164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28.351542132907603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15.766000000000002</v>
      </c>
      <c r="AI29" s="13">
        <f>IF('Données projet'!$A$62&gt;35,AI28+AH29-AQ28,IF(A29&lt;'Données projet'!$A$62,$AF$205^A29,IF(A29='Données projet'!$A$62,'Données projet'!$B$62,AI28+AH29-AQ28)))</f>
        <v>139.72399999999999</v>
      </c>
      <c r="AJ29" s="13">
        <f>AI29*VLOOKUP('Données projet'!$B$10,Paramètres!$A$1:$I$89,3,0)*VLOOKUP('Données projet'!$B$10,Paramètres!$A$1:$I$89,5,0)</f>
        <v>83.554952</v>
      </c>
      <c r="AK29" s="13">
        <f t="shared" si="35"/>
        <v>23.004176736574664</v>
      </c>
      <c r="AL29" s="20">
        <f t="shared" si="4"/>
        <v>185.59048254953419</v>
      </c>
      <c r="AM29" s="59">
        <f t="shared" si="5"/>
        <v>474.03492699397862</v>
      </c>
      <c r="AN29" s="59">
        <f ca="1">AVERAGE(OFFSET($AM$3,0,0,'Données projet'!$E$10+1,1))-AVERAGE(OFFSET($H$3,0,0,'Données projet'!$E$10+1,1))</f>
        <v>349.5718186624772</v>
      </c>
      <c r="AO29" s="59">
        <f t="shared" si="36"/>
        <v>258.14152930815959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1.728433940719011</v>
      </c>
      <c r="AV29" s="21">
        <f>EXP(-LN(2)/25)*AV28+(1-EXP(-LN(2)/25))/(LN(2)/25)*Calculateur!AQ29*Calculateur!AS29*VLOOKUP('Données projet'!$B$10,Paramètres!$A$1:$I$89,3,0)*0.475*44/12</f>
        <v>13.343447260860174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15.071881201579185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67.79488114285715</v>
      </c>
      <c r="BF29" s="13">
        <f t="shared" si="37"/>
        <v>19.124832886137288</v>
      </c>
      <c r="BG29" s="20">
        <f t="shared" si="7"/>
        <v>151.38516860049864</v>
      </c>
      <c r="BH29" s="59">
        <f t="shared" si="8"/>
        <v>439.82961304494313</v>
      </c>
      <c r="BI29" s="59">
        <f ca="1">AVERAGE(OFFSET($BH$3,0,0,'Données projet'!$E$11+1,1))-AVERAGE(OFFSET($H$3,0,0,'Données projet'!$E$11+1,1))</f>
        <v>442.85175349826028</v>
      </c>
      <c r="BJ29" s="59">
        <f t="shared" si="38"/>
        <v>210.70697808232501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18.613333333333333</v>
      </c>
      <c r="N30" s="13">
        <f>IF('Données projet'!$A$36&gt;35,N29+M30-V29,IF(A30&lt;'Données projet'!$A$36,$K$205^A30,IF(A30='Données projet'!$A$36,'Données projet'!$B$36,N29+M30-V29)))</f>
        <v>204.38333333333338</v>
      </c>
      <c r="O30" s="13">
        <f>N30*VLOOKUP('Données projet'!$B$9,Paramètres!$A$1:$I$89,3,0)*VLOOKUP('Données projet'!$B$9,Paramètres!$A$1:$I$89,5,0)</f>
        <v>122.22123333333337</v>
      </c>
      <c r="P30" s="13">
        <f t="shared" si="33"/>
        <v>32.192511187778997</v>
      </c>
      <c r="Q30" s="20">
        <f t="shared" si="2"/>
        <v>268.937271707604</v>
      </c>
      <c r="R30" s="59">
        <f t="shared" si="0"/>
        <v>558.60393837427068</v>
      </c>
      <c r="S30" s="59">
        <f ca="1">AVERAGE(OFFSET($R$3,0,0,'Données projet'!$E$9+1,1))-AVERAGE(OFFSET($H$3,0,0,'Données projet'!$E$9+1,1))</f>
        <v>300.80663531652721</v>
      </c>
      <c r="T30" s="59">
        <f t="shared" si="34"/>
        <v>306.01967513533549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1.9045422643870047</v>
      </c>
      <c r="AA30" s="21">
        <f>EXP(-LN(2)/25)*AA29+(1-EXP(-LN(2)/25))/(LN(2)/25)*Calculateur!V30*Calculateur!X30*VLOOKUP('Données projet'!$B$9,Paramètres!$A$1:$I$89,3,0)*0.475*44/12</f>
        <v>25.686753035816043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27.591295300203047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155.49</v>
      </c>
      <c r="AG30" s="12">
        <f>VLOOKUP(A30,'Données projet'!$A$61:$I$81,9,0)</f>
        <v>15.766000000000002</v>
      </c>
      <c r="AH30" s="12">
        <f t="array" ref="AH30">INDEX(AG:AG,MIN(IF(ISNUMBER(AG30:AG226),ROW(AG30:AG226),"")))</f>
        <v>15.766000000000002</v>
      </c>
      <c r="AI30" s="13">
        <f>IF('Données projet'!$A$62&gt;35,AI29+AH30-AQ29,IF(A30&lt;'Données projet'!$A$62,$AF$205^A30,IF(A30='Données projet'!$A$62,'Données projet'!$B$62,AI29+AH30-AQ29)))</f>
        <v>155.48999999999998</v>
      </c>
      <c r="AJ30" s="13">
        <f>AI30*VLOOKUP('Données projet'!$B$10,Paramètres!$A$1:$I$89,3,0)*VLOOKUP('Données projet'!$B$10,Paramètres!$A$1:$I$89,5,0)</f>
        <v>92.983019999999996</v>
      </c>
      <c r="AK30" s="13">
        <f t="shared" si="35"/>
        <v>25.283286610692237</v>
      </c>
      <c r="AL30" s="20">
        <f t="shared" si="4"/>
        <v>205.98048401362226</v>
      </c>
      <c r="AM30" s="59">
        <f t="shared" si="5"/>
        <v>495.64715068028897</v>
      </c>
      <c r="AN30" s="59">
        <f ca="1">AVERAGE(OFFSET($AM$3,0,0,'Données projet'!$E$10+1,1))-AVERAGE(OFFSET($H$3,0,0,'Données projet'!$E$10+1,1))</f>
        <v>349.5718186624772</v>
      </c>
      <c r="AO30" s="59">
        <f t="shared" si="36"/>
        <v>258.14152930815959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37.840000000000003</v>
      </c>
      <c r="AR30" s="16">
        <f>IF(ISNA(VLOOKUP(A30,'Données projet'!$A$61:$I$81,5,0)),0%,VLOOKUP(A30,'Données projet'!$A$61:$I$81,5,0)*VLOOKUP('Données projet'!$B$10,Paramètres!$A$1:$I$89,7,0))</f>
        <v>4.5000000000000005E-2</v>
      </c>
      <c r="AS30" s="16">
        <f>IF(ISNA(VLOOKUP(A30,'Données projet'!$A$61:$I$81,6,0)),0%,VLOOKUP(A30,'Données projet'!$A$61:$I$81,6,0)*VLOOKUP('Données projet'!$B$10,Paramètres!$A$1:$I$89,7,0))</f>
        <v>0.36000000000000004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3.0453470303061421</v>
      </c>
      <c r="AV30" s="21">
        <f>EXP(-LN(2)/25)*AV29+(1-EXP(-LN(2)/25))/(LN(2)/25)*Calculateur!AQ30*Calculateur!AS30*VLOOKUP('Données projet'!$B$10,Paramètres!$A$1:$I$89,3,0)*0.475*44/12</f>
        <v>23.742473870162744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26.787820900468887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70.40237657142859</v>
      </c>
      <c r="BF30" s="13">
        <f t="shared" si="37"/>
        <v>19.773348497482683</v>
      </c>
      <c r="BG30" s="20">
        <f t="shared" si="7"/>
        <v>157.05605449502048</v>
      </c>
      <c r="BH30" s="59">
        <f t="shared" si="8"/>
        <v>446.72272116168716</v>
      </c>
      <c r="BI30" s="59">
        <f ca="1">AVERAGE(OFFSET($BH$3,0,0,'Données projet'!$E$11+1,1))-AVERAGE(OFFSET($H$3,0,0,'Données projet'!$E$11+1,1))</f>
        <v>442.85175349826028</v>
      </c>
      <c r="BJ30" s="59">
        <f t="shared" si="38"/>
        <v>210.70697808232501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18.613333333333333</v>
      </c>
      <c r="N31" s="13">
        <f>IF('Données projet'!$A$36&gt;35,N30+M31-V30,IF(A31&lt;'Données projet'!$A$36,$K$205^A31,IF(A31='Données projet'!$A$36,'Données projet'!$B$36,N30+M31-V30)))</f>
        <v>222.99666666666673</v>
      </c>
      <c r="O31" s="13">
        <f>N31*VLOOKUP('Données projet'!$B$9,Paramètres!$A$1:$I$89,3,0)*VLOOKUP('Données projet'!$B$9,Paramètres!$A$1:$I$89,5,0)</f>
        <v>133.35200666666671</v>
      </c>
      <c r="P31" s="13">
        <f t="shared" si="33"/>
        <v>34.769758316414304</v>
      </c>
      <c r="Q31" s="20">
        <f t="shared" si="2"/>
        <v>292.81207401219939</v>
      </c>
      <c r="R31" s="59">
        <f t="shared" si="0"/>
        <v>583.70096290108825</v>
      </c>
      <c r="S31" s="59">
        <f ca="1">AVERAGE(OFFSET($R$3,0,0,'Données projet'!$E$9+1,1))-AVERAGE(OFFSET($H$3,0,0,'Données projet'!$E$9+1,1))</f>
        <v>300.80663531652721</v>
      </c>
      <c r="T31" s="59">
        <f t="shared" si="34"/>
        <v>306.01967513533549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1.8671953522384528</v>
      </c>
      <c r="AA31" s="21">
        <f>EXP(-LN(2)/25)*AA30+(1-EXP(-LN(2)/25))/(LN(2)/25)*Calculateur!V31*Calculateur!X31*VLOOKUP('Données projet'!$B$9,Paramètres!$A$1:$I$89,3,0)*0.475*44/12</f>
        <v>24.984347423244017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26.851542775482471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16.614999999999998</v>
      </c>
      <c r="AI31" s="13">
        <f>IF('Données projet'!$A$62&gt;35,AI30+AH31-AQ30,IF(A31&lt;'Données projet'!$A$62,$AF$205^A31,IF(A31='Données projet'!$A$62,'Données projet'!$B$62,AI30+AH31-AQ30)))</f>
        <v>134.26499999999999</v>
      </c>
      <c r="AJ31" s="13">
        <f>AI31*VLOOKUP('Données projet'!$B$10,Paramètres!$A$1:$I$89,3,0)*VLOOKUP('Données projet'!$B$10,Paramètres!$A$1:$I$89,5,0)</f>
        <v>80.290469999999999</v>
      </c>
      <c r="AK31" s="13">
        <f t="shared" si="35"/>
        <v>22.208190565938402</v>
      </c>
      <c r="AL31" s="20">
        <f t="shared" si="4"/>
        <v>178.51850048567601</v>
      </c>
      <c r="AM31" s="59">
        <f t="shared" si="5"/>
        <v>469.4073893745649</v>
      </c>
      <c r="AN31" s="59">
        <f ca="1">AVERAGE(OFFSET($AM$3,0,0,'Données projet'!$E$10+1,1))-AVERAGE(OFFSET($H$3,0,0,'Données projet'!$E$10+1,1))</f>
        <v>349.5718186624772</v>
      </c>
      <c r="AO31" s="59">
        <f t="shared" si="36"/>
        <v>258.14152930815959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2.9856296325201162</v>
      </c>
      <c r="AV31" s="21">
        <f>EXP(-LN(2)/25)*AV30+(1-EXP(-LN(2)/25))/(LN(2)/25)*Calculateur!AQ31*Calculateur!AS31*VLOOKUP('Données projet'!$B$10,Paramètres!$A$1:$I$89,3,0)*0.475*44/12</f>
        <v>23.093234673620707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26.078864306140822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73.00987200000003</v>
      </c>
      <c r="BF31" s="13">
        <f t="shared" si="37"/>
        <v>20.419073630001385</v>
      </c>
      <c r="BG31" s="20">
        <f t="shared" si="7"/>
        <v>162.72208030558576</v>
      </c>
      <c r="BH31" s="59">
        <f t="shared" si="8"/>
        <v>453.61096919447459</v>
      </c>
      <c r="BI31" s="59">
        <f ca="1">AVERAGE(OFFSET($BH$3,0,0,'Données projet'!$E$11+1,1))-AVERAGE(OFFSET($H$3,0,0,'Données projet'!$E$11+1,1))</f>
        <v>442.85175349826028</v>
      </c>
      <c r="BJ31" s="59">
        <f t="shared" si="38"/>
        <v>210.70697808232501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241.61</v>
      </c>
      <c r="L32" s="12">
        <f>VLOOKUP(A32,'Données projet'!$A$35:$I$55,9,0)</f>
        <v>18.613333333333333</v>
      </c>
      <c r="M32" s="12">
        <f t="array" ref="M32">INDEX(L:L,MIN(IF(ISNUMBER(L32:L228),ROW(L32:L228),"")))</f>
        <v>18.613333333333333</v>
      </c>
      <c r="N32" s="13">
        <f>IF('Données projet'!$A$36&gt;35,N31+M32-V31,IF(A32&lt;'Données projet'!$A$36,$K$205^A32,IF(A32='Données projet'!$A$36,'Données projet'!$B$36,N31+M32-V31)))</f>
        <v>241.61000000000007</v>
      </c>
      <c r="O32" s="13">
        <f>N32*VLOOKUP('Données projet'!$B$9,Paramètres!$A$1:$I$89,3,0)*VLOOKUP('Données projet'!$B$9,Paramètres!$A$1:$I$89,5,0)</f>
        <v>144.48278000000005</v>
      </c>
      <c r="P32" s="13">
        <f t="shared" si="33"/>
        <v>37.322056105193219</v>
      </c>
      <c r="Q32" s="20">
        <f t="shared" si="2"/>
        <v>316.6434228832116</v>
      </c>
      <c r="R32" s="59">
        <f t="shared" si="0"/>
        <v>608.75453399432274</v>
      </c>
      <c r="S32" s="59">
        <f ca="1">AVERAGE(OFFSET($R$3,0,0,'Données projet'!$E$9+1,1))-AVERAGE(OFFSET($H$3,0,0,'Données projet'!$E$9+1,1))</f>
        <v>300.80663531652721</v>
      </c>
      <c r="T32" s="59">
        <f t="shared" si="34"/>
        <v>306.01967513533549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54.64</v>
      </c>
      <c r="W32" s="16">
        <f>IF(ISNA(VLOOKUP(A32,'Données projet'!$A$35:$I$55,5,0)),0%,VLOOKUP(A32,'Données projet'!$A$35:$I$55,5,0)*VLOOKUP('Données projet'!$B$9,Paramètres!$A$1:$I$89,7,0))</f>
        <v>4.5000000000000005E-2</v>
      </c>
      <c r="X32" s="16">
        <f>IF(ISNA(VLOOKUP(A32,'Données projet'!$A$35:$I$55,6,0)),0%,VLOOKUP(A32,'Données projet'!$A$35:$I$55,6,0)*VLOOKUP('Données projet'!$B$9,Paramètres!$A$1:$I$89,7,0))</f>
        <v>0.36000000000000004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3.7811112867125427</v>
      </c>
      <c r="AA32" s="21">
        <f>EXP(-LN(2)/25)*AA31+(1-EXP(-LN(2)/25))/(LN(2)/25)*Calculateur!V32*Calculateur!X32*VLOOKUP('Données projet'!$B$9,Paramètres!$A$1:$I$89,3,0)*0.475*44/12</f>
        <v>39.843953246524457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43.625064533237001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16.614999999999998</v>
      </c>
      <c r="AI32" s="13">
        <f>IF('Données projet'!$A$62&gt;35,AI31+AH32-AQ31,IF(A32&lt;'Données projet'!$A$62,$AF$205^A32,IF(A32='Données projet'!$A$62,'Données projet'!$B$62,AI31+AH32-AQ31)))</f>
        <v>150.88</v>
      </c>
      <c r="AJ32" s="13">
        <f>AI32*VLOOKUP('Données projet'!$B$10,Paramètres!$A$1:$I$89,3,0)*VLOOKUP('Données projet'!$B$10,Paramètres!$A$1:$I$89,5,0)</f>
        <v>90.22623999999999</v>
      </c>
      <c r="AK32" s="13">
        <f t="shared" si="35"/>
        <v>24.619780658757083</v>
      </c>
      <c r="AL32" s="20">
        <f t="shared" si="4"/>
        <v>200.02348598066854</v>
      </c>
      <c r="AM32" s="59">
        <f t="shared" si="5"/>
        <v>492.13459709177971</v>
      </c>
      <c r="AN32" s="59">
        <f ca="1">AVERAGE(OFFSET($AM$3,0,0,'Données projet'!$E$10+1,1))-AVERAGE(OFFSET($H$3,0,0,'Données projet'!$E$10+1,1))</f>
        <v>349.5718186624772</v>
      </c>
      <c r="AO32" s="59">
        <f t="shared" si="36"/>
        <v>258.14152930815959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2.9270832564806581</v>
      </c>
      <c r="AV32" s="21">
        <f>EXP(-LN(2)/25)*AV31+(1-EXP(-LN(2)/25))/(LN(2)/25)*Calculateur!AQ32*Calculateur!AS32*VLOOKUP('Données projet'!$B$10,Paramètres!$A$1:$I$89,3,0)*0.475*44/12</f>
        <v>22.461748957050116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25.388832213530772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75.617367428571455</v>
      </c>
      <c r="BF32" s="13">
        <f t="shared" si="37"/>
        <v>21.062119361146681</v>
      </c>
      <c r="BG32" s="20">
        <f t="shared" si="7"/>
        <v>168.38343949209244</v>
      </c>
      <c r="BH32" s="59">
        <f t="shared" si="8"/>
        <v>460.49455060320361</v>
      </c>
      <c r="BI32" s="59">
        <f ca="1">AVERAGE(OFFSET($BH$3,0,0,'Données projet'!$E$11+1,1))-AVERAGE(OFFSET($H$3,0,0,'Données projet'!$E$11+1,1))</f>
        <v>442.85175349826028</v>
      </c>
      <c r="BJ32" s="59">
        <f t="shared" si="38"/>
        <v>210.70697808232501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17.737142857142853</v>
      </c>
      <c r="N33" s="13">
        <f>IF('Données projet'!$A$36&gt;35,N32+M33-V32,IF(A33&lt;'Données projet'!$A$36,$K$205^A33,IF(A33='Données projet'!$A$36,'Données projet'!$B$36,N32+M33-V32)))</f>
        <v>204.70714285714291</v>
      </c>
      <c r="O33" s="13">
        <f>N33*VLOOKUP('Données projet'!$B$9,Paramètres!$A$1:$I$89,3,0)*VLOOKUP('Données projet'!$B$9,Paramètres!$A$1:$I$89,5,0)</f>
        <v>122.41487142857147</v>
      </c>
      <c r="P33" s="13">
        <f t="shared" si="33"/>
        <v>32.237573625209684</v>
      </c>
      <c r="Q33" s="20">
        <f t="shared" si="2"/>
        <v>269.35300846866886</v>
      </c>
      <c r="R33" s="59">
        <f t="shared" si="0"/>
        <v>562.68634180200218</v>
      </c>
      <c r="S33" s="59">
        <f ca="1">AVERAGE(OFFSET($R$3,0,0,'Données projet'!$E$9+1,1))-AVERAGE(OFFSET($H$3,0,0,'Données projet'!$E$9+1,1))</f>
        <v>300.80663531652721</v>
      </c>
      <c r="T33" s="59">
        <f t="shared" si="34"/>
        <v>306.01967513533549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3.7069660006302714</v>
      </c>
      <c r="AA33" s="21">
        <f>EXP(-LN(2)/25)*AA32+(1-EXP(-LN(2)/25))/(LN(2)/25)*Calculateur!V33*Calculateur!X33*VLOOKUP('Données projet'!$B$9,Paramètres!$A$1:$I$89,3,0)*0.475*44/12</f>
        <v>38.75441824969581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42.461384250326084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16.614999999999998</v>
      </c>
      <c r="AI33" s="13">
        <f>IF('Données projet'!$A$62&gt;35,AI32+AH33-AQ32,IF(A33&lt;'Données projet'!$A$62,$AF$205^A33,IF(A33='Données projet'!$A$62,'Données projet'!$B$62,AI32+AH33-AQ32)))</f>
        <v>167.495</v>
      </c>
      <c r="AJ33" s="13">
        <f>AI33*VLOOKUP('Données projet'!$B$10,Paramètres!$A$1:$I$89,3,0)*VLOOKUP('Données projet'!$B$10,Paramètres!$A$1:$I$89,5,0)</f>
        <v>100.16201000000001</v>
      </c>
      <c r="AK33" s="13">
        <f t="shared" si="35"/>
        <v>27.000590559708886</v>
      </c>
      <c r="AL33" s="20">
        <f t="shared" si="4"/>
        <v>221.47486264149299</v>
      </c>
      <c r="AM33" s="59">
        <f t="shared" si="5"/>
        <v>514.80819597482628</v>
      </c>
      <c r="AN33" s="59">
        <f ca="1">AVERAGE(OFFSET($AM$3,0,0,'Données projet'!$E$10+1,1))-AVERAGE(OFFSET($H$3,0,0,'Données projet'!$E$10+1,1))</f>
        <v>349.5718186624772</v>
      </c>
      <c r="AO33" s="59">
        <f t="shared" si="36"/>
        <v>258.14152930815959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2.8696849391655705</v>
      </c>
      <c r="AV33" s="21">
        <f>EXP(-LN(2)/25)*AV32+(1-EXP(-LN(2)/25))/(LN(2)/25)*Calculateur!AQ33*Calculateur!AS33*VLOOKUP('Données projet'!$B$10,Paramètres!$A$1:$I$89,3,0)*0.475*44/12</f>
        <v>21.847531250607538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24.717216189773108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78.224862857142881</v>
      </c>
      <c r="BF33" s="13">
        <f t="shared" si="37"/>
        <v>21.702588673378685</v>
      </c>
      <c r="BG33" s="20">
        <f t="shared" si="7"/>
        <v>174.04031141565838</v>
      </c>
      <c r="BH33" s="59">
        <f t="shared" si="8"/>
        <v>467.37364474899169</v>
      </c>
      <c r="BI33" s="59">
        <f ca="1">AVERAGE(OFFSET($BH$3,0,0,'Données projet'!$E$11+1,1))-AVERAGE(OFFSET($H$3,0,0,'Données projet'!$E$11+1,1))</f>
        <v>442.85175349826028</v>
      </c>
      <c r="BJ33" s="59">
        <f t="shared" si="38"/>
        <v>210.70697808232501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17.737142857142853</v>
      </c>
      <c r="N34" s="13">
        <f>IF('Données projet'!$A$36&gt;35,N33+M34-V33,IF(A34&lt;'Données projet'!$A$36,$K$205^A34,IF(A34='Données projet'!$A$36,'Données projet'!$B$36,N33+M34-V33)))</f>
        <v>222.44428571428577</v>
      </c>
      <c r="O34" s="13">
        <f>N34*VLOOKUP('Données projet'!$B$9,Paramètres!$A$1:$I$89,3,0)*VLOOKUP('Données projet'!$B$9,Paramètres!$A$1:$I$89,5,0)</f>
        <v>133.02168285714291</v>
      </c>
      <c r="P34" s="13">
        <f t="shared" si="33"/>
        <v>34.693645048951552</v>
      </c>
      <c r="Q34" s="20">
        <f t="shared" si="2"/>
        <v>292.10419610311448</v>
      </c>
      <c r="R34" s="59">
        <f t="shared" si="0"/>
        <v>585.43752943644779</v>
      </c>
      <c r="S34" s="59">
        <f ca="1">AVERAGE(OFFSET($R$3,0,0,'Données projet'!$E$9+1,1))-AVERAGE(OFFSET($H$3,0,0,'Données projet'!$E$9+1,1))</f>
        <v>300.80663531652721</v>
      </c>
      <c r="T34" s="59">
        <f t="shared" si="34"/>
        <v>306.01967513533549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3.6342746583839145</v>
      </c>
      <c r="AA34" s="21">
        <f>EXP(-LN(2)/25)*AA33+(1-EXP(-LN(2)/25))/(LN(2)/25)*Calculateur!V34*Calculateur!X34*VLOOKUP('Données projet'!$B$9,Paramètres!$A$1:$I$89,3,0)*0.475*44/12</f>
        <v>37.694676644651594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41.32895130303551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16.614999999999998</v>
      </c>
      <c r="AI34" s="13">
        <f>IF('Données projet'!$A$62&gt;35,AI33+AH34-AQ33,IF(A34&lt;'Données projet'!$A$62,$AF$205^A34,IF(A34='Données projet'!$A$62,'Données projet'!$B$62,AI33+AH34-AQ33)))</f>
        <v>184.11</v>
      </c>
      <c r="AJ34" s="13">
        <f>AI34*VLOOKUP('Données projet'!$B$10,Paramètres!$A$1:$I$89,3,0)*VLOOKUP('Données projet'!$B$10,Paramètres!$A$1:$I$89,5,0)</f>
        <v>110.09778000000001</v>
      </c>
      <c r="AK34" s="13">
        <f t="shared" si="35"/>
        <v>29.354021111763256</v>
      </c>
      <c r="AL34" s="20">
        <f t="shared" si="4"/>
        <v>242.87855360298769</v>
      </c>
      <c r="AM34" s="59">
        <f t="shared" si="5"/>
        <v>536.21188693632098</v>
      </c>
      <c r="AN34" s="59">
        <f ca="1">AVERAGE(OFFSET($AM$3,0,0,'Données projet'!$E$10+1,1))-AVERAGE(OFFSET($H$3,0,0,'Données projet'!$E$10+1,1))</f>
        <v>349.5718186624772</v>
      </c>
      <c r="AO34" s="59">
        <f t="shared" si="36"/>
        <v>258.14152930815959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2.8134121678435156</v>
      </c>
      <c r="AV34" s="21">
        <f>EXP(-LN(2)/25)*AV33+(1-EXP(-LN(2)/25))/(LN(2)/25)*Calculateur!AQ34*Calculateur!AS34*VLOOKUP('Données projet'!$B$10,Paramètres!$A$1:$I$89,3,0)*0.475*44/12</f>
        <v>21.25010935964794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24.063521527491456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80.832358285714321</v>
      </c>
      <c r="BF34" s="13">
        <f t="shared" si="37"/>
        <v>22.34057729407888</v>
      </c>
      <c r="BG34" s="20">
        <f t="shared" si="7"/>
        <v>179.69286280147318</v>
      </c>
      <c r="BH34" s="59">
        <f t="shared" si="8"/>
        <v>473.02619613480647</v>
      </c>
      <c r="BI34" s="59">
        <f ca="1">AVERAGE(OFFSET($BH$3,0,0,'Données projet'!$E$11+1,1))-AVERAGE(OFFSET($H$3,0,0,'Données projet'!$E$11+1,1))</f>
        <v>442.85175349826028</v>
      </c>
      <c r="BJ34" s="59">
        <f t="shared" si="38"/>
        <v>210.70697808232501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17.737142857142853</v>
      </c>
      <c r="N35" s="13">
        <f>IF('Données projet'!$A$36&gt;35,N34+M35-V34,IF(A35&lt;'Données projet'!$A$36,$K$205^A35,IF(A35='Données projet'!$A$36,'Données projet'!$B$36,N34+M35-V34)))</f>
        <v>240.18142857142863</v>
      </c>
      <c r="O35" s="13">
        <f>N35*VLOOKUP('Données projet'!$B$9,Paramètres!$A$1:$I$89,3,0)*VLOOKUP('Données projet'!$B$9,Paramètres!$A$1:$I$89,5,0)</f>
        <v>143.62849428571434</v>
      </c>
      <c r="P35" s="13">
        <f t="shared" si="33"/>
        <v>37.127000660847131</v>
      </c>
      <c r="Q35" s="20">
        <f t="shared" ref="Q35:Q66" si="53">(O35+P35)*0.475*44/12</f>
        <v>314.81582036526123</v>
      </c>
      <c r="R35" s="59">
        <f t="shared" si="0"/>
        <v>608.14915369859455</v>
      </c>
      <c r="S35" s="59">
        <f ca="1">AVERAGE(OFFSET($R$3,0,0,'Données projet'!$E$9+1,1))-AVERAGE(OFFSET($H$3,0,0,'Données projet'!$E$9+1,1))</f>
        <v>300.80663531652721</v>
      </c>
      <c r="T35" s="59">
        <f t="shared" si="34"/>
        <v>306.01967513533549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3.5630087490216678</v>
      </c>
      <c r="AA35" s="21">
        <f>EXP(-LN(2)/25)*AA34+(1-EXP(-LN(2)/25))/(LN(2)/25)*Calculateur!V35*Calculateur!X35*VLOOKUP('Données projet'!$B$9,Paramètres!$A$1:$I$89,3,0)*0.475*44/12</f>
        <v>36.663913729526705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40.226922478548374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16.614999999999998</v>
      </c>
      <c r="AI35" s="13">
        <f>IF('Données projet'!$A$62&gt;35,AI34+AH35-AQ34,IF(A35&lt;'Données projet'!$A$62,$AF$205^A35,IF(A35='Données projet'!$A$62,'Données projet'!$B$62,AI34+AH35-AQ34)))</f>
        <v>200.72500000000002</v>
      </c>
      <c r="AJ35" s="13">
        <f>AI35*VLOOKUP('Données projet'!$B$10,Paramètres!$A$1:$I$89,3,0)*VLOOKUP('Données projet'!$B$10,Paramètres!$A$1:$I$89,5,0)</f>
        <v>120.03355000000002</v>
      </c>
      <c r="AK35" s="13">
        <f t="shared" si="35"/>
        <v>31.68282415335652</v>
      </c>
      <c r="AL35" s="20">
        <f t="shared" si="4"/>
        <v>264.23935165042923</v>
      </c>
      <c r="AM35" s="59">
        <f t="shared" si="5"/>
        <v>557.57268498376254</v>
      </c>
      <c r="AN35" s="59">
        <f ca="1">AVERAGE(OFFSET($AM$3,0,0,'Données projet'!$E$10+1,1))-AVERAGE(OFFSET($H$3,0,0,'Données projet'!$E$10+1,1))</f>
        <v>349.5718186624772</v>
      </c>
      <c r="AO35" s="59">
        <f t="shared" si="36"/>
        <v>258.14152930815959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2.7582428712440845</v>
      </c>
      <c r="AV35" s="21">
        <f>EXP(-LN(2)/25)*AV34+(1-EXP(-LN(2)/25))/(LN(2)/25)*Calculateur!AQ35*Calculateur!AS35*VLOOKUP('Données projet'!$B$10,Paramètres!$A$1:$I$89,3,0)*0.475*44/12</f>
        <v>20.669024001713684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23.42726687295777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83.439853714285746</v>
      </c>
      <c r="BF35" s="13">
        <f t="shared" si="37"/>
        <v>22.976174424044025</v>
      </c>
      <c r="BG35" s="20">
        <f t="shared" si="7"/>
        <v>185.34124900759105</v>
      </c>
      <c r="BH35" s="59">
        <f t="shared" si="8"/>
        <v>478.67458234092436</v>
      </c>
      <c r="BI35" s="59">
        <f ca="1">AVERAGE(OFFSET($BH$3,0,0,'Données projet'!$E$11+1,1))-AVERAGE(OFFSET($H$3,0,0,'Données projet'!$E$11+1,1))</f>
        <v>442.85175349826028</v>
      </c>
      <c r="BJ35" s="59">
        <f t="shared" si="38"/>
        <v>210.70697808232501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17.737142857142853</v>
      </c>
      <c r="N36" s="13">
        <f>IF('Données projet'!$A$36&gt;35,N35+M36-V35,IF(A36&lt;'Données projet'!$A$36,$K$205^A36,IF(A36='Données projet'!$A$36,'Données projet'!$B$36,N35+M36-V35)))</f>
        <v>257.91857142857145</v>
      </c>
      <c r="O36" s="13">
        <f>N36*VLOOKUP('Données projet'!$B$9,Paramètres!$A$1:$I$89,3,0)*VLOOKUP('Données projet'!$B$9,Paramètres!$A$1:$I$89,5,0)</f>
        <v>154.23530571428574</v>
      </c>
      <c r="P36" s="13">
        <f t="shared" si="33"/>
        <v>39.539508761330566</v>
      </c>
      <c r="Q36" s="20">
        <f t="shared" si="53"/>
        <v>337.49113521169841</v>
      </c>
      <c r="R36" s="59">
        <f t="shared" si="0"/>
        <v>630.82446854503178</v>
      </c>
      <c r="S36" s="59">
        <f ca="1">AVERAGE(OFFSET($R$3,0,0,'Données projet'!$E$9+1,1))-AVERAGE(OFFSET($H$3,0,0,'Données projet'!$E$9+1,1))</f>
        <v>300.80663531652721</v>
      </c>
      <c r="T36" s="59">
        <f t="shared" si="34"/>
        <v>306.01967513533549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3.4931403206741019</v>
      </c>
      <c r="AA36" s="21">
        <f>EXP(-LN(2)/25)*AA35+(1-EXP(-LN(2)/25))/(LN(2)/25)*Calculateur!V36*Calculateur!X36*VLOOKUP('Données projet'!$B$9,Paramètres!$A$1:$I$89,3,0)*0.475*44/12</f>
        <v>35.661337080521371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39.154477401195471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217.34</v>
      </c>
      <c r="AG36" s="12">
        <f>VLOOKUP(A36,'Données projet'!$A$61:$I$81,9,0)</f>
        <v>16.614999999999998</v>
      </c>
      <c r="AH36" s="12">
        <f t="array" ref="AH36">INDEX(AG:AG,MIN(IF(ISNUMBER(AG36:AG232),ROW(AG36:AG232),"")))</f>
        <v>16.614999999999998</v>
      </c>
      <c r="AI36" s="13">
        <f>IF('Données projet'!$A$62&gt;35,AI35+AH36-AQ35,IF(A36&lt;'Données projet'!$A$62,$AF$205^A36,IF(A36='Données projet'!$A$62,'Données projet'!$B$62,AI35+AH36-AQ35)))</f>
        <v>217.34000000000003</v>
      </c>
      <c r="AJ36" s="13">
        <f>AI36*VLOOKUP('Données projet'!$B$10,Paramètres!$A$1:$I$89,3,0)*VLOOKUP('Données projet'!$B$10,Paramètres!$A$1:$I$89,5,0)</f>
        <v>129.96932000000001</v>
      </c>
      <c r="AK36" s="13">
        <f t="shared" si="35"/>
        <v>33.989269987755954</v>
      </c>
      <c r="AL36" s="20">
        <f t="shared" si="4"/>
        <v>285.56121089534162</v>
      </c>
      <c r="AM36" s="59">
        <f t="shared" si="5"/>
        <v>578.89454422867493</v>
      </c>
      <c r="AN36" s="59">
        <f ca="1">AVERAGE(OFFSET($AM$3,0,0,'Données projet'!$E$10+1,1))-AVERAGE(OFFSET($H$3,0,0,'Données projet'!$E$10+1,1))</f>
        <v>349.5718186624772</v>
      </c>
      <c r="AO36" s="59">
        <f t="shared" si="36"/>
        <v>258.14152930815959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50.41</v>
      </c>
      <c r="AR36" s="16">
        <f>IF(ISNA(VLOOKUP(A36,'Données projet'!$A$61:$I$81,5,0)),0%,VLOOKUP(A36,'Données projet'!$A$61:$I$81,5,0)*VLOOKUP('Données projet'!$B$10,Paramètres!$A$1:$I$89,7,0))</f>
        <v>0.13500000000000001</v>
      </c>
      <c r="AS36" s="16">
        <f>IF(ISNA(VLOOKUP(A36,'Données projet'!$A$61:$I$81,6,0)),0%,VLOOKUP(A36,'Données projet'!$A$61:$I$81,6,0)*VLOOKUP('Données projet'!$B$10,Paramètres!$A$1:$I$89,7,0))</f>
        <v>0.22500000000000001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8.1027411901626536</v>
      </c>
      <c r="AV36" s="21">
        <f>EXP(-LN(2)/25)*AV35+(1-EXP(-LN(2)/25))/(LN(2)/25)*Calculateur!AQ36*Calculateur!AS36*VLOOKUP('Données projet'!$B$10,Paramètres!$A$1:$I$89,3,0)*0.475*44/12</f>
        <v>29.066044270160475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37.168785460323129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86.047349142857186</v>
      </c>
      <c r="BF36" s="13">
        <f t="shared" si="37"/>
        <v>23.609463372360441</v>
      </c>
      <c r="BG36" s="20">
        <f t="shared" si="7"/>
        <v>190.98561513067068</v>
      </c>
      <c r="BH36" s="59">
        <f t="shared" si="8"/>
        <v>484.318948464004</v>
      </c>
      <c r="BI36" s="59">
        <f ca="1">AVERAGE(OFFSET($BH$3,0,0,'Données projet'!$E$11+1,1))-AVERAGE(OFFSET($H$3,0,0,'Données projet'!$E$11+1,1))</f>
        <v>442.85175349826028</v>
      </c>
      <c r="BJ36" s="59">
        <f t="shared" si="38"/>
        <v>210.70697808232501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17.737142857142853</v>
      </c>
      <c r="N37" s="13">
        <f>IF('Données projet'!$A$36&gt;35,N36+M37-V36,IF(A37&lt;'Données projet'!$A$36,$K$205^A37,IF(A37='Données projet'!$A$36,'Données projet'!$B$36,N36+M37-V36)))</f>
        <v>275.65571428571428</v>
      </c>
      <c r="O37" s="13">
        <f>N37*VLOOKUP('Données projet'!$B$9,Paramètres!$A$1:$I$89,3,0)*VLOOKUP('Données projet'!$B$9,Paramètres!$A$1:$I$89,5,0)</f>
        <v>164.84211714285715</v>
      </c>
      <c r="P37" s="13">
        <f t="shared" si="33"/>
        <v>41.932766136496305</v>
      </c>
      <c r="Q37" s="20">
        <f t="shared" si="53"/>
        <v>360.13292171154058</v>
      </c>
      <c r="R37" s="59">
        <f t="shared" si="0"/>
        <v>653.46625504487383</v>
      </c>
      <c r="S37" s="59">
        <f ca="1">AVERAGE(OFFSET($R$3,0,0,'Données projet'!$E$9+1,1))-AVERAGE(OFFSET($H$3,0,0,'Données projet'!$E$9+1,1))</f>
        <v>300.80663531652721</v>
      </c>
      <c r="T37" s="59">
        <f t="shared" si="34"/>
        <v>306.01967513533549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3.4246419695908985</v>
      </c>
      <c r="AA37" s="21">
        <f>EXP(-LN(2)/25)*AA36+(1-EXP(-LN(2)/25))/(LN(2)/25)*Calculateur!V37*Calculateur!X37*VLOOKUP('Données projet'!$B$9,Paramètres!$A$1:$I$89,3,0)*0.475*44/12</f>
        <v>34.686175942706299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38.1108179122972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16.701250000000002</v>
      </c>
      <c r="AI37" s="13">
        <f>IF('Données projet'!$A$62&gt;35,AI36+AH37-AQ36,IF(A37&lt;'Données projet'!$A$62,$AF$205^A37,IF(A37='Données projet'!$A$62,'Données projet'!$B$62,AI36+AH37-AQ36)))</f>
        <v>183.63125000000005</v>
      </c>
      <c r="AJ37" s="13">
        <f>AI37*VLOOKUP('Données projet'!$B$10,Paramètres!$A$1:$I$89,3,0)*VLOOKUP('Données projet'!$B$10,Paramètres!$A$1:$I$89,5,0)</f>
        <v>109.81148750000004</v>
      </c>
      <c r="AK37" s="13">
        <f t="shared" si="35"/>
        <v>29.286565124423376</v>
      </c>
      <c r="AL37" s="20">
        <f t="shared" si="4"/>
        <v>242.26244165420408</v>
      </c>
      <c r="AM37" s="59">
        <f t="shared" si="5"/>
        <v>535.59577498753742</v>
      </c>
      <c r="AN37" s="59">
        <f ca="1">AVERAGE(OFFSET($AM$3,0,0,'Données projet'!$E$10+1,1))-AVERAGE(OFFSET($H$3,0,0,'Données projet'!$E$10+1,1))</f>
        <v>349.5718186624772</v>
      </c>
      <c r="AO37" s="59">
        <f t="shared" si="36"/>
        <v>258.14152930815959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7.9438513776076896</v>
      </c>
      <c r="AV37" s="21">
        <f>EXP(-LN(2)/25)*AV36+(1-EXP(-LN(2)/25))/(LN(2)/25)*Calculateur!AQ37*Calculateur!AS37*VLOOKUP('Données projet'!$B$10,Paramètres!$A$1:$I$89,3,0)*0.475*44/12</f>
        <v>28.271231761076098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36.215083138683788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88.654844571428612</v>
      </c>
      <c r="BF37" s="13">
        <f t="shared" si="37"/>
        <v>24.240522112161401</v>
      </c>
      <c r="BG37" s="20">
        <f t="shared" si="7"/>
        <v>196.62609697391926</v>
      </c>
      <c r="BH37" s="59">
        <f t="shared" si="8"/>
        <v>489.95943030725255</v>
      </c>
      <c r="BI37" s="59">
        <f ca="1">AVERAGE(OFFSET($BH$3,0,0,'Données projet'!$E$11+1,1))-AVERAGE(OFFSET($H$3,0,0,'Données projet'!$E$11+1,1))</f>
        <v>442.85175349826028</v>
      </c>
      <c r="BJ37" s="59">
        <f t="shared" si="38"/>
        <v>210.70697808232501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17.737142857142853</v>
      </c>
      <c r="N38" s="13">
        <f>IF('Données projet'!$A$36&gt;35,N37+M38-V37,IF(A38&lt;'Données projet'!$A$36,$K$205^A38,IF(A38='Données projet'!$A$36,'Données projet'!$B$36,N37+M38-V37)))</f>
        <v>293.39285714285711</v>
      </c>
      <c r="O38" s="13">
        <f>N38*VLOOKUP('Données projet'!$B$9,Paramètres!$A$1:$I$89,3,0)*VLOOKUP('Données projet'!$B$9,Paramètres!$A$1:$I$89,5,0)</f>
        <v>175.44892857142858</v>
      </c>
      <c r="P38" s="13">
        <f t="shared" si="33"/>
        <v>44.308152462369684</v>
      </c>
      <c r="Q38" s="20">
        <f t="shared" si="53"/>
        <v>382.7435828005319</v>
      </c>
      <c r="R38" s="59">
        <f t="shared" si="0"/>
        <v>676.07691613386521</v>
      </c>
      <c r="S38" s="59">
        <f ca="1">AVERAGE(OFFSET($R$3,0,0,'Données projet'!$E$9+1,1))-AVERAGE(OFFSET($H$3,0,0,'Données projet'!$E$9+1,1))</f>
        <v>300.80663531652721</v>
      </c>
      <c r="T38" s="59">
        <f t="shared" si="34"/>
        <v>306.01967513533549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3.3574868293925682</v>
      </c>
      <c r="AA38" s="21">
        <f>EXP(-LN(2)/25)*AA37+(1-EXP(-LN(2)/25))/(LN(2)/25)*Calculateur!V38*Calculateur!X38*VLOOKUP('Données projet'!$B$9,Paramètres!$A$1:$I$89,3,0)*0.475*44/12</f>
        <v>33.737680637486278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37.095167466878848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16.701250000000002</v>
      </c>
      <c r="AI38" s="13">
        <f>IF('Données projet'!$A$62&gt;35,AI37+AH38-AQ37,IF(A38&lt;'Données projet'!$A$62,$AF$205^A38,IF(A38='Données projet'!$A$62,'Données projet'!$B$62,AI37+AH38-AQ37)))</f>
        <v>200.33250000000004</v>
      </c>
      <c r="AJ38" s="13">
        <f>AI38*VLOOKUP('Données projet'!$B$10,Paramètres!$A$1:$I$89,3,0)*VLOOKUP('Données projet'!$B$10,Paramètres!$A$1:$I$89,5,0)</f>
        <v>119.79883500000003</v>
      </c>
      <c r="AK38" s="13">
        <f t="shared" si="35"/>
        <v>31.628076280921128</v>
      </c>
      <c r="AL38" s="20">
        <f t="shared" si="4"/>
        <v>263.73520381427102</v>
      </c>
      <c r="AM38" s="59">
        <f t="shared" si="5"/>
        <v>557.06853714760427</v>
      </c>
      <c r="AN38" s="59">
        <f ca="1">AVERAGE(OFFSET($AM$3,0,0,'Données projet'!$E$10+1,1))-AVERAGE(OFFSET($H$3,0,0,'Données projet'!$E$10+1,1))</f>
        <v>349.5718186624772</v>
      </c>
      <c r="AO38" s="59">
        <f t="shared" si="36"/>
        <v>258.14152930815959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7.7880772973637127</v>
      </c>
      <c r="AV38" s="21">
        <f>EXP(-LN(2)/25)*AV37+(1-EXP(-LN(2)/25))/(LN(2)/25)*Calculateur!AQ38*Calculateur!AS38*VLOOKUP('Données projet'!$B$10,Paramètres!$A$1:$I$89,3,0)*0.475*44/12</f>
        <v>27.498153441850008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35.286230739213721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91.262340000000052</v>
      </c>
      <c r="BF38" s="13">
        <f t="shared" si="37"/>
        <v>24.869423769164257</v>
      </c>
      <c r="BG38" s="20">
        <f t="shared" si="7"/>
        <v>202.26282189796117</v>
      </c>
      <c r="BH38" s="59">
        <f t="shared" si="8"/>
        <v>495.59615523129446</v>
      </c>
      <c r="BI38" s="59">
        <f ca="1">AVERAGE(OFFSET($BH$3,0,0,'Données projet'!$E$11+1,1))-AVERAGE(OFFSET($H$3,0,0,'Données projet'!$E$11+1,1))</f>
        <v>442.85175349826028</v>
      </c>
      <c r="BJ38" s="59">
        <f t="shared" si="38"/>
        <v>210.70697808232501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311.13</v>
      </c>
      <c r="L39" s="12">
        <f>VLOOKUP(A39,'Données projet'!$A$35:$I$55,9,0)</f>
        <v>17.737142857142853</v>
      </c>
      <c r="M39" s="12">
        <f t="array" ref="M39">INDEX(L:L,MIN(IF(ISNUMBER(L39:L235),ROW(L39:L235),"")))</f>
        <v>17.737142857142853</v>
      </c>
      <c r="N39" s="13">
        <f>IF('Données projet'!$A$36&gt;35,N38+M39-V38,IF(A39&lt;'Données projet'!$A$36,$K$205^A39,IF(A39='Données projet'!$A$36,'Données projet'!$B$36,N38+M39-V38)))</f>
        <v>311.12999999999994</v>
      </c>
      <c r="O39" s="13">
        <f>N39*VLOOKUP('Données projet'!$B$9,Paramètres!$A$1:$I$89,3,0)*VLOOKUP('Données projet'!$B$9,Paramètres!$A$1:$I$89,5,0)</f>
        <v>186.05573999999996</v>
      </c>
      <c r="P39" s="13">
        <f t="shared" si="33"/>
        <v>46.66687117215772</v>
      </c>
      <c r="Q39" s="20">
        <f t="shared" si="53"/>
        <v>405.32521445817457</v>
      </c>
      <c r="R39" s="59">
        <f t="shared" si="0"/>
        <v>698.65854779150789</v>
      </c>
      <c r="S39" s="59">
        <f ca="1">AVERAGE(OFFSET($R$3,0,0,'Données projet'!$E$9+1,1))-AVERAGE(OFFSET($H$3,0,0,'Données projet'!$E$9+1,1))</f>
        <v>300.80663531652721</v>
      </c>
      <c r="T39" s="59">
        <f t="shared" si="34"/>
        <v>306.01967513533549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76.069999999999993</v>
      </c>
      <c r="W39" s="16">
        <f>IF(ISNA(VLOOKUP(A39,'Données projet'!$A$35:$I$55,5,0)),0%,VLOOKUP(A39,'Données projet'!$A$35:$I$55,5,0)*VLOOKUP('Données projet'!$B$9,Paramètres!$A$1:$I$89,7,0))</f>
        <v>0.13500000000000001</v>
      </c>
      <c r="X39" s="16">
        <f>IF(ISNA(VLOOKUP(A39,'Données projet'!$A$35:$I$55,6,0)),0%,VLOOKUP(A39,'Données projet'!$A$35:$I$55,6,0)*VLOOKUP('Données projet'!$B$9,Paramètres!$A$1:$I$89,7,0))</f>
        <v>0.22500000000000001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11.438254793987262</v>
      </c>
      <c r="AA39" s="21">
        <f>EXP(-LN(2)/25)*AA38+(1-EXP(-LN(2)/25))/(LN(2)/25)*Calculateur!V39*Calculateur!X39*VLOOKUP('Données projet'!$B$9,Paramètres!$A$1:$I$89,3,0)*0.475*44/12</f>
        <v>46.339338553954832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57.777593347942094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16.701250000000002</v>
      </c>
      <c r="AI39" s="13">
        <f>IF('Données projet'!$A$62&gt;35,AI38+AH39-AQ38,IF(A39&lt;'Données projet'!$A$62,$AF$205^A39,IF(A39='Données projet'!$A$62,'Données projet'!$B$62,AI38+AH39-AQ38)))</f>
        <v>217.03375000000005</v>
      </c>
      <c r="AJ39" s="13">
        <f>AI39*VLOOKUP('Données projet'!$B$10,Paramètres!$A$1:$I$89,3,0)*VLOOKUP('Données projet'!$B$10,Paramètres!$A$1:$I$89,5,0)</f>
        <v>129.78618250000005</v>
      </c>
      <c r="AK39" s="13">
        <f t="shared" si="35"/>
        <v>33.946947653586037</v>
      </c>
      <c r="AL39" s="20">
        <f t="shared" si="4"/>
        <v>285.1685350174958</v>
      </c>
      <c r="AM39" s="59">
        <f t="shared" si="5"/>
        <v>578.50186835082911</v>
      </c>
      <c r="AN39" s="59">
        <f ca="1">AVERAGE(OFFSET($AM$3,0,0,'Données projet'!$E$10+1,1))-AVERAGE(OFFSET($H$3,0,0,'Données projet'!$E$10+1,1))</f>
        <v>349.5718186624772</v>
      </c>
      <c r="AO39" s="59">
        <f t="shared" si="36"/>
        <v>258.14152930815959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7.6353578518205127</v>
      </c>
      <c r="AV39" s="21">
        <f>EXP(-LN(2)/25)*AV38+(1-EXP(-LN(2)/25))/(LN(2)/25)*Calculateur!AQ39*Calculateur!AS39*VLOOKUP('Données projet'!$B$10,Paramètres!$A$1:$I$89,3,0)*0.475*44/12</f>
        <v>26.746214989917579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34.381572841738091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93.869835428571477</v>
      </c>
      <c r="BF39" s="13">
        <f t="shared" si="37"/>
        <v>25.49623705280532</v>
      </c>
      <c r="BG39" s="20">
        <f t="shared" si="7"/>
        <v>207.89590957173127</v>
      </c>
      <c r="BH39" s="59">
        <f t="shared" si="8"/>
        <v>501.22924290506455</v>
      </c>
      <c r="BI39" s="59">
        <f ca="1">AVERAGE(OFFSET($BH$3,0,0,'Données projet'!$E$11+1,1))-AVERAGE(OFFSET($H$3,0,0,'Données projet'!$E$11+1,1))</f>
        <v>442.85175349826028</v>
      </c>
      <c r="BJ39" s="59">
        <f t="shared" si="38"/>
        <v>210.70697808232501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16.536250000000003</v>
      </c>
      <c r="N40" s="13">
        <f>IF('Données projet'!$A$36&gt;35,N39+M40-V39,IF(A40&lt;'Données projet'!$A$36,$K$205^A40,IF(A40='Données projet'!$A$36,'Données projet'!$B$36,N39+M40-V39)))</f>
        <v>251.59624999999994</v>
      </c>
      <c r="O40" s="13">
        <f>N40*VLOOKUP('Données projet'!$B$9,Paramètres!$A$1:$I$89,3,0)*VLOOKUP('Données projet'!$B$9,Paramètres!$A$1:$I$89,5,0)</f>
        <v>150.45455749999999</v>
      </c>
      <c r="P40" s="13">
        <f t="shared" si="33"/>
        <v>38.681867245543785</v>
      </c>
      <c r="Q40" s="20">
        <f t="shared" si="53"/>
        <v>329.4126064318221</v>
      </c>
      <c r="R40" s="59">
        <f t="shared" si="0"/>
        <v>622.74593976515541</v>
      </c>
      <c r="S40" s="59">
        <f ca="1">AVERAGE(OFFSET($R$3,0,0,'Données projet'!$E$9+1,1))-AVERAGE(OFFSET($H$3,0,0,'Données projet'!$E$9+1,1))</f>
        <v>300.80663531652721</v>
      </c>
      <c r="T40" s="59">
        <f t="shared" si="34"/>
        <v>306.01967513533549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11.213957594123709</v>
      </c>
      <c r="AA40" s="21">
        <f>EXP(-LN(2)/25)*AA39+(1-EXP(-LN(2)/25))/(LN(2)/25)*Calculateur!V40*Calculateur!X40*VLOOKUP('Données projet'!$B$9,Paramètres!$A$1:$I$89,3,0)*0.475*44/12</f>
        <v>45.072186904317036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56.286144498440748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16.701250000000002</v>
      </c>
      <c r="AI40" s="13">
        <f>IF('Données projet'!$A$62&gt;35,AI39+AH40-AQ39,IF(A40&lt;'Données projet'!$A$62,$AF$205^A40,IF(A40='Données projet'!$A$62,'Données projet'!$B$62,AI39+AH40-AQ39)))</f>
        <v>233.73500000000007</v>
      </c>
      <c r="AJ40" s="13">
        <f>AI40*VLOOKUP('Données projet'!$B$10,Paramètres!$A$1:$I$89,3,0)*VLOOKUP('Données projet'!$B$10,Paramètres!$A$1:$I$89,5,0)</f>
        <v>139.77353000000005</v>
      </c>
      <c r="AK40" s="13">
        <f t="shared" si="35"/>
        <v>36.245119510821418</v>
      </c>
      <c r="AL40" s="20">
        <f t="shared" si="4"/>
        <v>306.56581456468069</v>
      </c>
      <c r="AM40" s="59">
        <f t="shared" si="5"/>
        <v>599.89914789801401</v>
      </c>
      <c r="AN40" s="59">
        <f ca="1">AVERAGE(OFFSET($AM$3,0,0,'Données projet'!$E$10+1,1))-AVERAGE(OFFSET($H$3,0,0,'Données projet'!$E$10+1,1))</f>
        <v>349.5718186624772</v>
      </c>
      <c r="AO40" s="59">
        <f t="shared" si="36"/>
        <v>258.14152930815959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7.485633141454751</v>
      </c>
      <c r="AV40" s="21">
        <f>EXP(-LN(2)/25)*AV39+(1-EXP(-LN(2)/25))/(LN(2)/25)*Calculateur!AQ40*Calculateur!AS40*VLOOKUP('Données projet'!$B$10,Paramètres!$A$1:$I$89,3,0)*0.475*44/12</f>
        <v>26.014838334495966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33.500471475950718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96.477330857142903</v>
      </c>
      <c r="BF40" s="13">
        <f t="shared" si="37"/>
        <v>26.121026638124231</v>
      </c>
      <c r="BG40" s="20">
        <f t="shared" si="7"/>
        <v>213.52547263759024</v>
      </c>
      <c r="BH40" s="59">
        <f t="shared" si="8"/>
        <v>506.85880597092353</v>
      </c>
      <c r="BI40" s="59">
        <f ca="1">AVERAGE(OFFSET($BH$3,0,0,'Données projet'!$E$11+1,1))-AVERAGE(OFFSET($H$3,0,0,'Données projet'!$E$11+1,1))</f>
        <v>442.85175349826028</v>
      </c>
      <c r="BJ40" s="59">
        <f t="shared" si="38"/>
        <v>210.70697808232501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16.536250000000003</v>
      </c>
      <c r="N41" s="13">
        <f>IF('Données projet'!$A$36&gt;35,N40+M41-V40,IF(A41&lt;'Données projet'!$A$36,$K$205^A41,IF(A41='Données projet'!$A$36,'Données projet'!$B$36,N40+M41-V40)))</f>
        <v>268.13249999999994</v>
      </c>
      <c r="O41" s="13">
        <f>N41*VLOOKUP('Données projet'!$B$9,Paramètres!$A$1:$I$89,3,0)*VLOOKUP('Données projet'!$B$9,Paramètres!$A$1:$I$89,5,0)</f>
        <v>160.34323499999996</v>
      </c>
      <c r="P41" s="13">
        <f t="shared" si="33"/>
        <v>40.919923361013716</v>
      </c>
      <c r="Q41" s="20">
        <f t="shared" si="53"/>
        <v>350.53333414543209</v>
      </c>
      <c r="R41" s="59">
        <f t="shared" si="0"/>
        <v>643.86666747876541</v>
      </c>
      <c r="S41" s="59">
        <f ca="1">AVERAGE(OFFSET($R$3,0,0,'Données projet'!$E$9+1,1))-AVERAGE(OFFSET($H$3,0,0,'Données projet'!$E$9+1,1))</f>
        <v>300.80663531652721</v>
      </c>
      <c r="T41" s="59">
        <f t="shared" si="34"/>
        <v>306.01967513533549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10.994058725541697</v>
      </c>
      <c r="AA41" s="21">
        <f>EXP(-LN(2)/25)*AA40+(1-EXP(-LN(2)/25))/(LN(2)/25)*Calculateur!V41*Calculateur!X41*VLOOKUP('Données projet'!$B$9,Paramètres!$A$1:$I$89,3,0)*0.475*44/12</f>
        <v>43.839685583175189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54.833744308716888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16.701250000000002</v>
      </c>
      <c r="AI41" s="13">
        <f>IF('Données projet'!$A$62&gt;35,AI40+AH41-AQ40,IF(A41&lt;'Données projet'!$A$62,$AF$205^A41,IF(A41='Données projet'!$A$62,'Données projet'!$B$62,AI40+AH41-AQ40)))</f>
        <v>250.43625000000009</v>
      </c>
      <c r="AJ41" s="13">
        <f>AI41*VLOOKUP('Données projet'!$B$10,Paramètres!$A$1:$I$89,3,0)*VLOOKUP('Données projet'!$B$10,Paramètres!$A$1:$I$89,5,0)</f>
        <v>149.76087750000008</v>
      </c>
      <c r="AK41" s="13">
        <f t="shared" si="35"/>
        <v>38.524239129902824</v>
      </c>
      <c r="AL41" s="20">
        <f t="shared" si="4"/>
        <v>327.9299114637476</v>
      </c>
      <c r="AM41" s="59">
        <f t="shared" si="5"/>
        <v>621.26324479708092</v>
      </c>
      <c r="AN41" s="59">
        <f ca="1">AVERAGE(OFFSET($AM$3,0,0,'Données projet'!$E$10+1,1))-AVERAGE(OFFSET($H$3,0,0,'Données projet'!$E$10+1,1))</f>
        <v>349.5718186624772</v>
      </c>
      <c r="AO41" s="59">
        <f t="shared" si="36"/>
        <v>258.14152930815959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7.3388444413362057</v>
      </c>
      <c r="AV41" s="21">
        <f>EXP(-LN(2)/25)*AV40+(1-EXP(-LN(2)/25))/(LN(2)/25)*Calculateur!AQ41*Calculateur!AS41*VLOOKUP('Données projet'!$B$10,Paramètres!$A$1:$I$89,3,0)*0.475*44/12</f>
        <v>25.303461212178284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32.642305653514491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99.084826285714342</v>
      </c>
      <c r="BF41" s="13">
        <f t="shared" si="37"/>
        <v>26.743853505202381</v>
      </c>
      <c r="BG41" s="20">
        <f t="shared" si="7"/>
        <v>219.1516173025133</v>
      </c>
      <c r="BH41" s="59">
        <f t="shared" si="8"/>
        <v>512.48495063584664</v>
      </c>
      <c r="BI41" s="59">
        <f ca="1">AVERAGE(OFFSET($BH$3,0,0,'Données projet'!$E$11+1,1))-AVERAGE(OFFSET($H$3,0,0,'Données projet'!$E$11+1,1))</f>
        <v>442.85175349826028</v>
      </c>
      <c r="BJ41" s="59">
        <f t="shared" si="38"/>
        <v>210.70697808232501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16.536250000000003</v>
      </c>
      <c r="N42" s="13">
        <f>IF('Données projet'!$A$36&gt;35,N41+M42-V41,IF(A42&lt;'Données projet'!$A$36,$K$205^A42,IF(A42='Données projet'!$A$36,'Données projet'!$B$36,N41+M42-V41)))</f>
        <v>284.66874999999993</v>
      </c>
      <c r="O42" s="13">
        <f>N42*VLOOKUP('Données projet'!$B$9,Paramètres!$A$1:$I$89,3,0)*VLOOKUP('Données projet'!$B$9,Paramètres!$A$1:$I$89,5,0)</f>
        <v>170.23191249999999</v>
      </c>
      <c r="P42" s="13">
        <f t="shared" si="33"/>
        <v>43.141960148805921</v>
      </c>
      <c r="Q42" s="20">
        <f t="shared" si="53"/>
        <v>371.62616153000363</v>
      </c>
      <c r="R42" s="59">
        <f t="shared" si="0"/>
        <v>664.95949486333689</v>
      </c>
      <c r="S42" s="59">
        <f ca="1">AVERAGE(OFFSET($R$3,0,0,'Données projet'!$E$9+1,1))-AVERAGE(OFFSET($H$3,0,0,'Données projet'!$E$9+1,1))</f>
        <v>300.80663531652721</v>
      </c>
      <c r="T42" s="59">
        <f t="shared" si="34"/>
        <v>306.01967513533549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10.778471939647513</v>
      </c>
      <c r="AA42" s="21">
        <f>EXP(-LN(2)/25)*AA41+(1-EXP(-LN(2)/25))/(LN(2)/25)*Calculateur!V42*Calculateur!X42*VLOOKUP('Données projet'!$B$9,Paramètres!$A$1:$I$89,3,0)*0.475*44/12</f>
        <v>42.640887075474396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53.419359015121913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16.701250000000002</v>
      </c>
      <c r="AI42" s="13">
        <f>IF('Données projet'!$A$62&gt;35,AI41+AH42-AQ41,IF(A42&lt;'Données projet'!$A$62,$AF$205^A42,IF(A42='Données projet'!$A$62,'Données projet'!$B$62,AI41+AH42-AQ41)))</f>
        <v>267.1375000000001</v>
      </c>
      <c r="AJ42" s="13">
        <f>AI42*VLOOKUP('Données projet'!$B$10,Paramètres!$A$1:$I$89,3,0)*VLOOKUP('Données projet'!$B$10,Paramètres!$A$1:$I$89,5,0)</f>
        <v>159.74822500000008</v>
      </c>
      <c r="AK42" s="13">
        <f t="shared" si="35"/>
        <v>40.785721648734771</v>
      </c>
      <c r="AL42" s="20">
        <f t="shared" si="4"/>
        <v>349.26329041321316</v>
      </c>
      <c r="AM42" s="59">
        <f t="shared" si="5"/>
        <v>642.59662374654647</v>
      </c>
      <c r="AN42" s="59">
        <f ca="1">AVERAGE(OFFSET($AM$3,0,0,'Données projet'!$E$10+1,1))-AVERAGE(OFFSET($H$3,0,0,'Données projet'!$E$10+1,1))</f>
        <v>349.5718186624772</v>
      </c>
      <c r="AO42" s="59">
        <f t="shared" si="36"/>
        <v>258.14152930815959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7.1949341780947185</v>
      </c>
      <c r="AV42" s="21">
        <f>EXP(-LN(2)/25)*AV41+(1-EXP(-LN(2)/25))/(LN(2)/25)*Calculateur!AQ42*Calculateur!AS42*VLOOKUP('Données projet'!$B$10,Paramètres!$A$1:$I$89,3,0)*0.475*44/12</f>
        <v>24.611536734680076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31.806470912774795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101.69232171428578</v>
      </c>
      <c r="BF42" s="13">
        <f t="shared" si="37"/>
        <v>27.364775241865971</v>
      </c>
      <c r="BG42" s="20">
        <f t="shared" si="7"/>
        <v>224.7744438652976</v>
      </c>
      <c r="BH42" s="59">
        <f t="shared" si="8"/>
        <v>518.10777719863086</v>
      </c>
      <c r="BI42" s="59">
        <f ca="1">AVERAGE(OFFSET($BH$3,0,0,'Données projet'!$E$11+1,1))-AVERAGE(OFFSET($H$3,0,0,'Données projet'!$E$11+1,1))</f>
        <v>442.85175349826028</v>
      </c>
      <c r="BJ42" s="59">
        <f t="shared" si="38"/>
        <v>210.70697808232501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16.536250000000003</v>
      </c>
      <c r="N43" s="13">
        <f>IF('Données projet'!$A$36&gt;35,N42+M43-V42,IF(A43&lt;'Données projet'!$A$36,$K$205^A43,IF(A43='Données projet'!$A$36,'Données projet'!$B$36,N42+M43-V42)))</f>
        <v>301.20499999999993</v>
      </c>
      <c r="O43" s="13">
        <f>N43*VLOOKUP('Données projet'!$B$9,Paramètres!$A$1:$I$89,3,0)*VLOOKUP('Données projet'!$B$9,Paramètres!$A$1:$I$89,5,0)</f>
        <v>180.12058999999999</v>
      </c>
      <c r="P43" s="13">
        <f t="shared" si="33"/>
        <v>45.349014174000445</v>
      </c>
      <c r="Q43" s="20">
        <f t="shared" si="53"/>
        <v>392.69289393638411</v>
      </c>
      <c r="R43" s="59">
        <f t="shared" si="0"/>
        <v>686.02622726971742</v>
      </c>
      <c r="S43" s="59">
        <f ca="1">AVERAGE(OFFSET($R$3,0,0,'Données projet'!$E$9+1,1))-AVERAGE(OFFSET($H$3,0,0,'Données projet'!$E$9+1,1))</f>
        <v>300.80663531652721</v>
      </c>
      <c r="T43" s="59">
        <f t="shared" si="34"/>
        <v>306.01967513533549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10.567112679129758</v>
      </c>
      <c r="AA43" s="21">
        <f>EXP(-LN(2)/25)*AA42+(1-EXP(-LN(2)/25))/(LN(2)/25)*Calculateur!V43*Calculateur!X43*VLOOKUP('Données projet'!$B$9,Paramètres!$A$1:$I$89,3,0)*0.475*44/12</f>
        <v>41.474869776008752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52.041982455138509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16.701250000000002</v>
      </c>
      <c r="AI43" s="13">
        <f>IF('Données projet'!$A$62&gt;35,AI42+AH43-AQ42,IF(A43&lt;'Données projet'!$A$62,$AF$205^A43,IF(A43='Données projet'!$A$62,'Données projet'!$B$62,AI42+AH43-AQ42)))</f>
        <v>283.83875000000012</v>
      </c>
      <c r="AJ43" s="13">
        <f>AI43*VLOOKUP('Données projet'!$B$10,Paramètres!$A$1:$I$89,3,0)*VLOOKUP('Données projet'!$B$10,Paramètres!$A$1:$I$89,5,0)</f>
        <v>169.73557250000007</v>
      </c>
      <c r="AK43" s="13">
        <f t="shared" si="35"/>
        <v>43.030795257249402</v>
      </c>
      <c r="AL43" s="20">
        <f t="shared" si="4"/>
        <v>370.56809051054279</v>
      </c>
      <c r="AM43" s="59">
        <f t="shared" si="5"/>
        <v>663.90142384387605</v>
      </c>
      <c r="AN43" s="59">
        <f ca="1">AVERAGE(OFFSET($AM$3,0,0,'Données projet'!$E$10+1,1))-AVERAGE(OFFSET($H$3,0,0,'Données projet'!$E$10+1,1))</f>
        <v>349.5718186624772</v>
      </c>
      <c r="AO43" s="59">
        <f t="shared" si="36"/>
        <v>258.14152930815959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7.053845907338804</v>
      </c>
      <c r="AV43" s="21">
        <f>EXP(-LN(2)/25)*AV42+(1-EXP(-LN(2)/25))/(LN(2)/25)*Calculateur!AQ43*Calculateur!AS43*VLOOKUP('Données projet'!$B$10,Paramètres!$A$1:$I$89,3,0)*0.475*44/12</f>
        <v>23.938532968405784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30.992378875744588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104.29981714285719</v>
      </c>
      <c r="BF43" s="13">
        <f t="shared" si="37"/>
        <v>27.983846314468938</v>
      </c>
      <c r="BG43" s="20">
        <f t="shared" si="7"/>
        <v>230.3940471881763</v>
      </c>
      <c r="BH43" s="59">
        <f t="shared" si="8"/>
        <v>523.72738052150964</v>
      </c>
      <c r="BI43" s="59">
        <f ca="1">AVERAGE(OFFSET($BH$3,0,0,'Données projet'!$E$11+1,1))-AVERAGE(OFFSET($H$3,0,0,'Données projet'!$E$11+1,1))</f>
        <v>442.85175349826028</v>
      </c>
      <c r="BJ43" s="59">
        <f t="shared" si="38"/>
        <v>210.70697808232501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16.536250000000003</v>
      </c>
      <c r="N44" s="13">
        <f>IF('Données projet'!$A$36&gt;35,N43+M44-V43,IF(A44&lt;'Données projet'!$A$36,$K$205^A44,IF(A44='Données projet'!$A$36,'Données projet'!$B$36,N43+M44-V43)))</f>
        <v>317.74124999999992</v>
      </c>
      <c r="O44" s="13">
        <f>N44*VLOOKUP('Données projet'!$B$9,Paramètres!$A$1:$I$89,3,0)*VLOOKUP('Données projet'!$B$9,Paramètres!$A$1:$I$89,5,0)</f>
        <v>190.00926749999999</v>
      </c>
      <c r="P44" s="13">
        <f t="shared" si="33"/>
        <v>47.542001758079778</v>
      </c>
      <c r="Q44" s="20">
        <f t="shared" si="53"/>
        <v>413.73512729115561</v>
      </c>
      <c r="R44" s="59">
        <f t="shared" si="0"/>
        <v>707.06846062448892</v>
      </c>
      <c r="S44" s="59">
        <f ca="1">AVERAGE(OFFSET($R$3,0,0,'Données projet'!$E$9+1,1))-AVERAGE(OFFSET($H$3,0,0,'Données projet'!$E$9+1,1))</f>
        <v>300.80663531652721</v>
      </c>
      <c r="T44" s="59">
        <f t="shared" si="34"/>
        <v>306.01967513533549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10.359898044794338</v>
      </c>
      <c r="AA44" s="21">
        <f>EXP(-LN(2)/25)*AA43+(1-EXP(-LN(2)/25))/(LN(2)/25)*Calculateur!V44*Calculateur!X44*VLOOKUP('Données projet'!$B$9,Paramètres!$A$1:$I$89,3,0)*0.475*44/12</f>
        <v>40.340737280915185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50.700635325709527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300.54000000000002</v>
      </c>
      <c r="AG44" s="12">
        <f>VLOOKUP(A44,'Données projet'!$A$61:$I$81,9,0)</f>
        <v>16.701250000000002</v>
      </c>
      <c r="AH44" s="12">
        <f t="array" ref="AH44">INDEX(AG:AG,MIN(IF(ISNUMBER(AG44:AG240),ROW(AG44:AG240),"")))</f>
        <v>16.701250000000002</v>
      </c>
      <c r="AI44" s="13">
        <f>IF('Données projet'!$A$62&gt;35,AI43+AH44-AQ43,IF(A44&lt;'Données projet'!$A$62,$AF$205^A44,IF(A44='Données projet'!$A$62,'Données projet'!$B$62,AI43+AH44-AQ43)))</f>
        <v>300.54000000000013</v>
      </c>
      <c r="AJ44" s="13">
        <f>AI44*VLOOKUP('Données projet'!$B$10,Paramètres!$A$1:$I$89,3,0)*VLOOKUP('Données projet'!$B$10,Paramètres!$A$1:$I$89,5,0)</f>
        <v>179.72292000000007</v>
      </c>
      <c r="AK44" s="13">
        <f t="shared" si="35"/>
        <v>45.260535445550182</v>
      </c>
      <c r="AL44" s="20">
        <f t="shared" si="4"/>
        <v>391.84618490100002</v>
      </c>
      <c r="AM44" s="59">
        <f t="shared" si="5"/>
        <v>685.17951823433327</v>
      </c>
      <c r="AN44" s="59">
        <f ca="1">AVERAGE(OFFSET($AM$3,0,0,'Données projet'!$E$10+1,1))-AVERAGE(OFFSET($H$3,0,0,'Données projet'!$E$10+1,1))</f>
        <v>349.5718186624772</v>
      </c>
      <c r="AO44" s="59">
        <f t="shared" si="36"/>
        <v>258.14152930815959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72.13</v>
      </c>
      <c r="AR44" s="16">
        <f>IF(ISNA(VLOOKUP(A44,'Données projet'!$A$61:$I$81,5,0)),0%,VLOOKUP(A44,'Données projet'!$A$61:$I$81,5,0)*VLOOKUP('Données projet'!$B$10,Paramètres!$A$1:$I$89,7,0))</f>
        <v>0.13500000000000001</v>
      </c>
      <c r="AS44" s="16">
        <f>IF(ISNA(VLOOKUP(A44,'Données projet'!$A$61:$I$81,6,0)),0%,VLOOKUP(A44,'Données projet'!$A$61:$I$81,6,0)*VLOOKUP('Données projet'!$B$10,Paramètres!$A$1:$I$89,7,0))</f>
        <v>0.22500000000000001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14.640181943930113</v>
      </c>
      <c r="AV44" s="21">
        <f>EXP(-LN(2)/25)*AV43+(1-EXP(-LN(2)/25))/(LN(2)/25)*Calculateur!AQ44*Calculateur!AS44*VLOOKUP('Données projet'!$B$10,Paramètres!$A$1:$I$89,3,0)*0.475*44/12</f>
        <v>36.107670412028959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50.747852355959068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106.90731257142863</v>
      </c>
      <c r="BF44" s="13">
        <f t="shared" si="37"/>
        <v>28.601118310835538</v>
      </c>
      <c r="BG44" s="20">
        <f t="shared" si="7"/>
        <v>236.01051711994342</v>
      </c>
      <c r="BH44" s="59">
        <f t="shared" si="8"/>
        <v>529.34385045327667</v>
      </c>
      <c r="BI44" s="59">
        <f ca="1">AVERAGE(OFFSET($BH$3,0,0,'Données projet'!$E$11+1,1))-AVERAGE(OFFSET($H$3,0,0,'Données projet'!$E$11+1,1))</f>
        <v>442.85175349826028</v>
      </c>
      <c r="BJ44" s="59">
        <f t="shared" si="38"/>
        <v>210.70697808232501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16.536250000000003</v>
      </c>
      <c r="N45" s="13">
        <f>IF('Données projet'!$A$36&gt;35,N44+M45-V44,IF(A45&lt;'Données projet'!$A$36,$K$205^A45,IF(A45='Données projet'!$A$36,'Données projet'!$B$36,N44+M45-V44)))</f>
        <v>334.27749999999992</v>
      </c>
      <c r="O45" s="13">
        <f>N45*VLOOKUP('Données projet'!$B$9,Paramètres!$A$1:$I$89,3,0)*VLOOKUP('Données projet'!$B$9,Paramètres!$A$1:$I$89,5,0)</f>
        <v>199.89794499999996</v>
      </c>
      <c r="P45" s="13">
        <f t="shared" si="33"/>
        <v>49.721738459069584</v>
      </c>
      <c r="Q45" s="20">
        <f t="shared" si="53"/>
        <v>434.75428202454617</v>
      </c>
      <c r="R45" s="59">
        <f t="shared" si="0"/>
        <v>728.08761535787949</v>
      </c>
      <c r="S45" s="59">
        <f ca="1">AVERAGE(OFFSET($R$3,0,0,'Données projet'!$E$9+1,1))-AVERAGE(OFFSET($H$3,0,0,'Données projet'!$E$9+1,1))</f>
        <v>300.80663531652721</v>
      </c>
      <c r="T45" s="59">
        <f t="shared" si="34"/>
        <v>306.01967513533549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10.156746763049787</v>
      </c>
      <c r="AA45" s="21">
        <f>EXP(-LN(2)/25)*AA44+(1-EXP(-LN(2)/25))/(LN(2)/25)*Calculateur!V45*Calculateur!X45*VLOOKUP('Données projet'!$B$9,Paramètres!$A$1:$I$89,3,0)*0.475*44/12</f>
        <v>39.237617698541385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49.394364461591174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15.725555555555552</v>
      </c>
      <c r="AI45" s="13">
        <f>IF('Données projet'!$A$62&gt;35,AI44+AH45-AQ44,IF(A45&lt;'Données projet'!$A$62,$AF$205^A45,IF(A45='Données projet'!$A$62,'Données projet'!$B$62,AI44+AH45-AQ44)))</f>
        <v>244.1355555555557</v>
      </c>
      <c r="AJ45" s="13">
        <f>AI45*VLOOKUP('Données projet'!$B$10,Paramètres!$A$1:$I$89,3,0)*VLOOKUP('Données projet'!$B$10,Paramètres!$A$1:$I$89,5,0)</f>
        <v>145.99306222222231</v>
      </c>
      <c r="AK45" s="13">
        <f t="shared" si="35"/>
        <v>37.666564668799332</v>
      </c>
      <c r="AL45" s="20">
        <f t="shared" si="4"/>
        <v>319.87385016852937</v>
      </c>
      <c r="AM45" s="59">
        <f t="shared" si="5"/>
        <v>613.20718350186269</v>
      </c>
      <c r="AN45" s="59">
        <f ca="1">AVERAGE(OFFSET($AM$3,0,0,'Données projet'!$E$10+1,1))-AVERAGE(OFFSET($H$3,0,0,'Données projet'!$E$10+1,1))</f>
        <v>349.5718186624772</v>
      </c>
      <c r="AO45" s="59">
        <f t="shared" si="36"/>
        <v>258.14152930815959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14.353096905638902</v>
      </c>
      <c r="AV45" s="21">
        <f>EXP(-LN(2)/25)*AV44+(1-EXP(-LN(2)/25))/(LN(2)/25)*Calculateur!AQ45*Calculateur!AS45*VLOOKUP('Données projet'!$B$10,Paramètres!$A$1:$I$89,3,0)*0.475*44/12</f>
        <v>35.120304265792164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49.473401171431064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109.51480800000007</v>
      </c>
      <c r="BF45" s="13">
        <f t="shared" si="37"/>
        <v>29.216640158833595</v>
      </c>
      <c r="BG45" s="20">
        <f t="shared" si="7"/>
        <v>241.62393887663529</v>
      </c>
      <c r="BH45" s="59">
        <f t="shared" si="8"/>
        <v>534.95727220996855</v>
      </c>
      <c r="BI45" s="59">
        <f ca="1">AVERAGE(OFFSET($BH$3,0,0,'Données projet'!$E$11+1,1))-AVERAGE(OFFSET($H$3,0,0,'Données projet'!$E$11+1,1))</f>
        <v>442.85175349826028</v>
      </c>
      <c r="BJ45" s="59">
        <f t="shared" si="38"/>
        <v>210.70697808232501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0.159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5.0947344794750595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5.0947344794750595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16.536250000000003</v>
      </c>
      <c r="N46" s="13">
        <f>IF('Données projet'!$A$36&gt;35,N45+M46-V45,IF(A46&lt;'Données projet'!$A$36,$K$205^A46,IF(A46='Données projet'!$A$36,'Données projet'!$B$36,N45+M46-V45)))</f>
        <v>350.81374999999991</v>
      </c>
      <c r="O46" s="13">
        <f>N46*VLOOKUP('Données projet'!$B$9,Paramètres!$A$1:$I$89,3,0)*VLOOKUP('Données projet'!$B$9,Paramètres!$A$1:$I$89,5,0)</f>
        <v>209.78662249999996</v>
      </c>
      <c r="P46" s="13">
        <f t="shared" si="33"/>
        <v>51.888954587591464</v>
      </c>
      <c r="Q46" s="20">
        <f t="shared" si="53"/>
        <v>455.75163009422175</v>
      </c>
      <c r="R46" s="59">
        <f t="shared" si="0"/>
        <v>749.08496342755507</v>
      </c>
      <c r="S46" s="59">
        <f ca="1">AVERAGE(OFFSET($R$3,0,0,'Données projet'!$E$9+1,1))-AVERAGE(OFFSET($H$3,0,0,'Données projet'!$E$9+1,1))</f>
        <v>300.80663531652721</v>
      </c>
      <c r="T46" s="59">
        <f t="shared" si="34"/>
        <v>306.01967513533549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9.957579154030201</v>
      </c>
      <c r="AA46" s="21">
        <f>EXP(-LN(2)/25)*AA45+(1-EXP(-LN(2)/25))/(LN(2)/25)*Calculateur!V46*Calculateur!X46*VLOOKUP('Données projet'!$B$9,Paramètres!$A$1:$I$89,3,0)*0.475*44/12</f>
        <v>38.164662979158138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48.122242133188337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15.725555555555552</v>
      </c>
      <c r="AI46" s="13">
        <f>IF('Données projet'!$A$62&gt;35,AI45+AH46-AQ45,IF(A46&lt;'Données projet'!$A$62,$AF$205^A46,IF(A46='Données projet'!$A$62,'Données projet'!$B$62,AI45+AH46-AQ45)))</f>
        <v>259.86111111111126</v>
      </c>
      <c r="AJ46" s="13">
        <f>AI46*VLOOKUP('Données projet'!$B$10,Paramètres!$A$1:$I$89,3,0)*VLOOKUP('Données projet'!$B$10,Paramètres!$A$1:$I$89,5,0)</f>
        <v>155.39694444444453</v>
      </c>
      <c r="AK46" s="13">
        <f t="shared" si="35"/>
        <v>39.802526102363792</v>
      </c>
      <c r="AL46" s="20">
        <f t="shared" si="4"/>
        <v>339.97241120235782</v>
      </c>
      <c r="AM46" s="59">
        <f t="shared" si="5"/>
        <v>633.30574453569113</v>
      </c>
      <c r="AN46" s="59">
        <f ca="1">AVERAGE(OFFSET($AM$3,0,0,'Données projet'!$E$10+1,1))-AVERAGE(OFFSET($H$3,0,0,'Données projet'!$E$10+1,1))</f>
        <v>349.5718186624772</v>
      </c>
      <c r="AO46" s="59">
        <f t="shared" si="36"/>
        <v>258.14152930815959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14.071641429843998</v>
      </c>
      <c r="AV46" s="21">
        <f>EXP(-LN(2)/25)*AV45+(1-EXP(-LN(2)/25))/(LN(2)/25)*Calculateur!AQ46*Calculateur!AS46*VLOOKUP('Données projet'!$B$10,Paramètres!$A$1:$I$89,3,0)*0.475*44/12</f>
        <v>34.159937698747548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48.231579128591548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86.81577450000006</v>
      </c>
      <c r="BF46" s="13">
        <f t="shared" si="37"/>
        <v>23.795663932355723</v>
      </c>
      <c r="BG46" s="20">
        <f t="shared" si="7"/>
        <v>192.6482552696863</v>
      </c>
      <c r="BH46" s="59">
        <f t="shared" si="8"/>
        <v>485.98158860301965</v>
      </c>
      <c r="BI46" s="59">
        <f ca="1">AVERAGE(OFFSET($BH$3,0,0,'Données projet'!$E$11+1,1))-AVERAGE(OFFSET($H$3,0,0,'Données projet'!$E$11+1,1))</f>
        <v>442.85175349826028</v>
      </c>
      <c r="BJ46" s="59">
        <f t="shared" si="38"/>
        <v>210.70697808232501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4.9948298438137479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4.9948298438137479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367.35</v>
      </c>
      <c r="L47" s="12">
        <f>VLOOKUP(A47,'Données projet'!$A$35:$I$55,9,0)</f>
        <v>16.536250000000003</v>
      </c>
      <c r="M47" s="12">
        <f t="array" ref="M47">INDEX(L:L,MIN(IF(ISNUMBER(L47:L243),ROW(L47:L243),"")))</f>
        <v>16.536250000000003</v>
      </c>
      <c r="N47" s="13">
        <f>IF('Données projet'!$A$36&gt;35,N46+M47-V46,IF(A47&lt;'Données projet'!$A$36,$K$205^A47,IF(A47='Données projet'!$A$36,'Données projet'!$B$36,N46+M47-V46)))</f>
        <v>367.34999999999991</v>
      </c>
      <c r="O47" s="13">
        <f>N47*VLOOKUP('Données projet'!$B$9,Paramètres!$A$1:$I$89,3,0)*VLOOKUP('Données projet'!$B$9,Paramètres!$A$1:$I$89,5,0)</f>
        <v>219.67529999999996</v>
      </c>
      <c r="P47" s="13">
        <f t="shared" si="33"/>
        <v>54.044307714561441</v>
      </c>
      <c r="Q47" s="20">
        <f t="shared" si="53"/>
        <v>476.72831676952774</v>
      </c>
      <c r="R47" s="59">
        <f t="shared" si="0"/>
        <v>770.06165010286099</v>
      </c>
      <c r="S47" s="59">
        <f ca="1">AVERAGE(OFFSET($R$3,0,0,'Données projet'!$E$9+1,1))-AVERAGE(OFFSET($H$3,0,0,'Données projet'!$E$9+1,1))</f>
        <v>300.80663531652721</v>
      </c>
      <c r="T47" s="59">
        <f t="shared" si="34"/>
        <v>306.01967513533549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77.91</v>
      </c>
      <c r="W47" s="16">
        <f>IF(ISNA(VLOOKUP(A47,'Données projet'!$A$35:$I$55,5,0)),0%,VLOOKUP(A47,'Données projet'!$A$35:$I$55,5,0)*VLOOKUP('Données projet'!$B$9,Paramètres!$A$1:$I$89,7,0))</f>
        <v>0.13500000000000001</v>
      </c>
      <c r="X47" s="16">
        <f>IF(ISNA(VLOOKUP(A47,'Données projet'!$A$35:$I$55,6,0)),0%,VLOOKUP(A47,'Données projet'!$A$35:$I$55,6,0)*VLOOKUP('Données projet'!$B$9,Paramètres!$A$1:$I$89,7,0))</f>
        <v>0.22500000000000001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18.105975463014815</v>
      </c>
      <c r="AA47" s="21">
        <f>EXP(-LN(2)/25)*AA46+(1-EXP(-LN(2)/25))/(LN(2)/25)*Calculateur!V47*Calculateur!X47*VLOOKUP('Données projet'!$B$9,Paramètres!$A$1:$I$89,3,0)*0.475*44/12</f>
        <v>50.972391930525085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69.078367393539907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15.725555555555552</v>
      </c>
      <c r="AI47" s="13">
        <f>IF('Données projet'!$A$62&gt;35,AI46+AH47-AQ46,IF(A47&lt;'Données projet'!$A$62,$AF$205^A47,IF(A47='Données projet'!$A$62,'Données projet'!$B$62,AI46+AH47-AQ46)))</f>
        <v>275.58666666666682</v>
      </c>
      <c r="AJ47" s="13">
        <f>AI47*VLOOKUP('Données projet'!$B$10,Paramètres!$A$1:$I$89,3,0)*VLOOKUP('Données projet'!$B$10,Paramètres!$A$1:$I$89,5,0)</f>
        <v>164.80082666666678</v>
      </c>
      <c r="AK47" s="13">
        <f t="shared" si="35"/>
        <v>41.923485083367801</v>
      </c>
      <c r="AL47" s="20">
        <f t="shared" si="4"/>
        <v>360.04484296464358</v>
      </c>
      <c r="AM47" s="59">
        <f t="shared" si="5"/>
        <v>653.37817629797689</v>
      </c>
      <c r="AN47" s="59">
        <f ca="1">AVERAGE(OFFSET($AM$3,0,0,'Données projet'!$E$10+1,1))-AVERAGE(OFFSET($H$3,0,0,'Données projet'!$E$10+1,1))</f>
        <v>349.5718186624772</v>
      </c>
      <c r="AO47" s="59">
        <f t="shared" si="36"/>
        <v>258.14152930815959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13.795705124258543</v>
      </c>
      <c r="AV47" s="21">
        <f>EXP(-LN(2)/25)*AV46+(1-EXP(-LN(2)/25))/(LN(2)/25)*Calculateur!AQ47*Calculateur!AS47*VLOOKUP('Données projet'!$B$10,Paramètres!$A$1:$I$89,3,0)*0.475*44/12</f>
        <v>33.225832405982246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47.021537530240792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93.102009000000081</v>
      </c>
      <c r="BF47" s="13">
        <f t="shared" si="37"/>
        <v>25.31187305049858</v>
      </c>
      <c r="BG47" s="20">
        <f t="shared" si="7"/>
        <v>206.23751123795182</v>
      </c>
      <c r="BH47" s="59">
        <f t="shared" si="8"/>
        <v>499.57084457128514</v>
      </c>
      <c r="BI47" s="59">
        <f ca="1">AVERAGE(OFFSET($BH$3,0,0,'Données projet'!$E$11+1,1))-AVERAGE(OFFSET($H$3,0,0,'Données projet'!$E$11+1,1))</f>
        <v>442.85175349826028</v>
      </c>
      <c r="BJ47" s="59">
        <f t="shared" si="38"/>
        <v>210.70697808232501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4.8968842771219441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4.8968842771219441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14.64374999999999</v>
      </c>
      <c r="N48" s="13">
        <f>IF('Données projet'!$A$36&gt;35,N47+M48-V47,IF(A48&lt;'Données projet'!$A$36,$K$205^A48,IF(A48='Données projet'!$A$36,'Données projet'!$B$36,N47+M48-V47)))</f>
        <v>304.0837499999999</v>
      </c>
      <c r="O48" s="13">
        <f>N48*VLOOKUP('Données projet'!$B$9,Paramètres!$A$1:$I$89,3,0)*VLOOKUP('Données projet'!$B$9,Paramètres!$A$1:$I$89,5,0)</f>
        <v>181.84208249999998</v>
      </c>
      <c r="P48" s="13">
        <f t="shared" si="33"/>
        <v>45.731772411922861</v>
      </c>
      <c r="Q48" s="20">
        <f t="shared" si="53"/>
        <v>396.35779730493226</v>
      </c>
      <c r="R48" s="59">
        <f t="shared" si="0"/>
        <v>689.69113063826558</v>
      </c>
      <c r="S48" s="59">
        <f ca="1">AVERAGE(OFFSET($R$3,0,0,'Données projet'!$E$9+1,1))-AVERAGE(OFFSET($H$3,0,0,'Données projet'!$E$9+1,1))</f>
        <v>300.80663531652721</v>
      </c>
      <c r="T48" s="59">
        <f t="shared" si="34"/>
        <v>306.01967513533549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17.750928327739665</v>
      </c>
      <c r="AA48" s="21">
        <f>EXP(-LN(2)/25)*AA47+(1-EXP(-LN(2)/25))/(LN(2)/25)*Calculateur!V48*Calculateur!X48*VLOOKUP('Données projet'!$B$9,Paramètres!$A$1:$I$89,3,0)*0.475*44/12</f>
        <v>49.578549192663282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67.329477520402946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15.725555555555552</v>
      </c>
      <c r="AI48" s="13">
        <f>IF('Données projet'!$A$62&gt;35,AI47+AH48-AQ47,IF(A48&lt;'Données projet'!$A$62,$AF$205^A48,IF(A48='Données projet'!$A$62,'Données projet'!$B$62,AI47+AH48-AQ47)))</f>
        <v>291.31222222222237</v>
      </c>
      <c r="AJ48" s="13">
        <f>AI48*VLOOKUP('Données projet'!$B$10,Paramètres!$A$1:$I$89,3,0)*VLOOKUP('Données projet'!$B$10,Paramètres!$A$1:$I$89,5,0)</f>
        <v>174.204708888889</v>
      </c>
      <c r="AK48" s="13">
        <f t="shared" si="35"/>
        <v>44.030395226989455</v>
      </c>
      <c r="AL48" s="20">
        <f t="shared" si="4"/>
        <v>380.09280633515499</v>
      </c>
      <c r="AM48" s="59">
        <f t="shared" si="5"/>
        <v>673.4261396684883</v>
      </c>
      <c r="AN48" s="59">
        <f ca="1">AVERAGE(OFFSET($AM$3,0,0,'Données projet'!$E$10+1,1))-AVERAGE(OFFSET($H$3,0,0,'Données projet'!$E$10+1,1))</f>
        <v>349.5718186624772</v>
      </c>
      <c r="AO48" s="59">
        <f t="shared" si="36"/>
        <v>258.14152930815959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13.525179761321091</v>
      </c>
      <c r="AV48" s="21">
        <f>EXP(-LN(2)/25)*AV47+(1-EXP(-LN(2)/25))/(LN(2)/25)*Calculateur!AQ48*Calculateur!AS48*VLOOKUP('Données projet'!$B$10,Paramètres!$A$1:$I$89,3,0)*0.475*44/12</f>
        <v>32.317270271570074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45.842450032891165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99.388243500000073</v>
      </c>
      <c r="BF48" s="13">
        <f t="shared" si="37"/>
        <v>26.816202989116352</v>
      </c>
      <c r="BG48" s="20">
        <f t="shared" si="7"/>
        <v>219.8060776352111</v>
      </c>
      <c r="BH48" s="59">
        <f t="shared" si="8"/>
        <v>513.13941096854444</v>
      </c>
      <c r="BI48" s="59">
        <f ca="1">AVERAGE(OFFSET($BH$3,0,0,'Données projet'!$E$11+1,1))-AVERAGE(OFFSET($H$3,0,0,'Données projet'!$E$11+1,1))</f>
        <v>442.85175349826028</v>
      </c>
      <c r="BJ48" s="59">
        <f t="shared" si="38"/>
        <v>210.70697808232501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4.8008593632520693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4.8008593632520693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14.64374999999999</v>
      </c>
      <c r="N49" s="13">
        <f>IF('Données projet'!$A$36&gt;35,N48+M49-V48,IF(A49&lt;'Données projet'!$A$36,$K$205^A49,IF(A49='Données projet'!$A$36,'Données projet'!$B$36,N48+M49-V48)))</f>
        <v>318.72749999999991</v>
      </c>
      <c r="O49" s="13">
        <f>N49*VLOOKUP('Données projet'!$B$9,Paramètres!$A$1:$I$89,3,0)*VLOOKUP('Données projet'!$B$9,Paramètres!$A$1:$I$89,5,0)</f>
        <v>190.59904499999996</v>
      </c>
      <c r="P49" s="13">
        <f t="shared" si="33"/>
        <v>47.672368921426973</v>
      </c>
      <c r="Q49" s="20">
        <f t="shared" si="53"/>
        <v>414.98937924648521</v>
      </c>
      <c r="R49" s="59">
        <f t="shared" si="0"/>
        <v>708.32271257981847</v>
      </c>
      <c r="S49" s="59">
        <f ca="1">AVERAGE(OFFSET($R$3,0,0,'Données projet'!$E$9+1,1))-AVERAGE(OFFSET($H$3,0,0,'Données projet'!$E$9+1,1))</f>
        <v>300.80663531652721</v>
      </c>
      <c r="T49" s="59">
        <f t="shared" si="34"/>
        <v>306.01967513533549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17.402843450229891</v>
      </c>
      <c r="AA49" s="21">
        <f>EXP(-LN(2)/25)*AA48+(1-EXP(-LN(2)/25))/(LN(2)/25)*Calculateur!V49*Calculateur!X49*VLOOKUP('Données projet'!$B$9,Paramètres!$A$1:$I$89,3,0)*0.475*44/12</f>
        <v>48.222821157767314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65.625664607997209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15.725555555555552</v>
      </c>
      <c r="AI49" s="13">
        <f>IF('Données projet'!$A$62&gt;35,AI48+AH49-AQ48,IF(A49&lt;'Données projet'!$A$62,$AF$205^A49,IF(A49='Données projet'!$A$62,'Données projet'!$B$62,AI48+AH49-AQ48)))</f>
        <v>307.03777777777793</v>
      </c>
      <c r="AJ49" s="13">
        <f>AI49*VLOOKUP('Données projet'!$B$10,Paramètres!$A$1:$I$89,3,0)*VLOOKUP('Données projet'!$B$10,Paramètres!$A$1:$I$89,5,0)</f>
        <v>183.60859111111122</v>
      </c>
      <c r="AK49" s="13">
        <f t="shared" si="35"/>
        <v>46.124101377958297</v>
      </c>
      <c r="AL49" s="20">
        <f t="shared" si="4"/>
        <v>400.11777275179605</v>
      </c>
      <c r="AM49" s="59">
        <f t="shared" si="5"/>
        <v>693.45110608512937</v>
      </c>
      <c r="AN49" s="59">
        <f ca="1">AVERAGE(OFFSET($AM$3,0,0,'Données projet'!$E$10+1,1))-AVERAGE(OFFSET($H$3,0,0,'Données projet'!$E$10+1,1))</f>
        <v>349.5718186624772</v>
      </c>
      <c r="AO49" s="59">
        <f t="shared" si="36"/>
        <v>258.14152930815959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13.259959235746663</v>
      </c>
      <c r="AV49" s="21">
        <f>EXP(-LN(2)/25)*AV48+(1-EXP(-LN(2)/25))/(LN(2)/25)*Calculateur!AQ49*Calculateur!AS49*VLOOKUP('Données projet'!$B$10,Paramètres!$A$1:$I$89,3,0)*0.475*44/12</f>
        <v>31.433552816502608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44.693512052249275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105.67447800000009</v>
      </c>
      <c r="BF49" s="13">
        <f t="shared" si="37"/>
        <v>28.30949062545972</v>
      </c>
      <c r="BG49" s="20">
        <f t="shared" si="7"/>
        <v>233.35541202267584</v>
      </c>
      <c r="BH49" s="59">
        <f t="shared" si="8"/>
        <v>526.68874535600912</v>
      </c>
      <c r="BI49" s="59">
        <f ca="1">AVERAGE(OFFSET($BH$3,0,0,'Données projet'!$E$11+1,1))-AVERAGE(OFFSET($H$3,0,0,'Données projet'!$E$11+1,1))</f>
        <v>442.85175349826028</v>
      </c>
      <c r="BJ49" s="59">
        <f t="shared" si="38"/>
        <v>210.70697808232501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4.7067174393737687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4.7067174393737687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14.64374999999999</v>
      </c>
      <c r="N50" s="13">
        <f>IF('Données projet'!$A$36&gt;35,N49+M50-V49,IF(A50&lt;'Données projet'!$A$36,$K$205^A50,IF(A50='Données projet'!$A$36,'Données projet'!$B$36,N49+M50-V49)))</f>
        <v>333.37124999999992</v>
      </c>
      <c r="O50" s="13">
        <f>N50*VLOOKUP('Données projet'!$B$9,Paramètres!$A$1:$I$89,3,0)*VLOOKUP('Données projet'!$B$9,Paramètres!$A$1:$I$89,5,0)</f>
        <v>199.35600749999998</v>
      </c>
      <c r="P50" s="13">
        <f t="shared" si="33"/>
        <v>49.602611110771242</v>
      </c>
      <c r="Q50" s="20">
        <f t="shared" si="53"/>
        <v>433.6029274137598</v>
      </c>
      <c r="R50" s="59">
        <f t="shared" si="0"/>
        <v>726.93626074709312</v>
      </c>
      <c r="S50" s="59">
        <f ca="1">AVERAGE(OFFSET($R$3,0,0,'Données projet'!$E$9+1,1))-AVERAGE(OFFSET($H$3,0,0,'Données projet'!$E$9+1,1))</f>
        <v>300.80663531652721</v>
      </c>
      <c r="T50" s="59">
        <f t="shared" si="34"/>
        <v>306.01967513533549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17.061584304857274</v>
      </c>
      <c r="AA50" s="21">
        <f>EXP(-LN(2)/25)*AA49+(1-EXP(-LN(2)/25))/(LN(2)/25)*Calculateur!V50*Calculateur!X50*VLOOKUP('Données projet'!$B$9,Paramètres!$A$1:$I$89,3,0)*0.475*44/12</f>
        <v>46.904165577280217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63.965749882137487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15.725555555555552</v>
      </c>
      <c r="AI50" s="13">
        <f>IF('Données projet'!$A$62&gt;35,AI49+AH50-AQ49,IF(A50&lt;'Données projet'!$A$62,$AF$205^A50,IF(A50='Données projet'!$A$62,'Données projet'!$B$62,AI49+AH50-AQ49)))</f>
        <v>322.76333333333349</v>
      </c>
      <c r="AJ50" s="13">
        <f>AI50*VLOOKUP('Données projet'!$B$10,Paramètres!$A$1:$I$89,3,0)*VLOOKUP('Données projet'!$B$10,Paramètres!$A$1:$I$89,5,0)</f>
        <v>193.01247333333347</v>
      </c>
      <c r="AK50" s="13">
        <f t="shared" si="35"/>
        <v>48.205356952003704</v>
      </c>
      <c r="AL50" s="20">
        <f t="shared" si="4"/>
        <v>420.12105441362888</v>
      </c>
      <c r="AM50" s="59">
        <f t="shared" si="5"/>
        <v>713.4543877469622</v>
      </c>
      <c r="AN50" s="59">
        <f ca="1">AVERAGE(OFFSET($AM$3,0,0,'Données projet'!$E$10+1,1))-AVERAGE(OFFSET($H$3,0,0,'Données projet'!$E$10+1,1))</f>
        <v>349.5718186624772</v>
      </c>
      <c r="AO50" s="59">
        <f t="shared" si="36"/>
        <v>258.14152930815959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12.999939522910203</v>
      </c>
      <c r="AV50" s="21">
        <f>EXP(-LN(2)/25)*AV49+(1-EXP(-LN(2)/25))/(LN(2)/25)*Calculateur!AQ50*Calculateur!AS50*VLOOKUP('Données projet'!$B$10,Paramètres!$A$1:$I$89,3,0)*0.475*44/12</f>
        <v>30.574000661716646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43.573940184626849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111.96071250000007</v>
      </c>
      <c r="BF50" s="13">
        <f t="shared" si="37"/>
        <v>29.792467645539148</v>
      </c>
      <c r="BG50" s="20">
        <f t="shared" si="7"/>
        <v>246.8867887534808</v>
      </c>
      <c r="BH50" s="59">
        <f t="shared" si="8"/>
        <v>540.22012208681417</v>
      </c>
      <c r="BI50" s="59">
        <f ca="1">AVERAGE(OFFSET($BH$3,0,0,'Données projet'!$E$11+1,1))-AVERAGE(OFFSET($H$3,0,0,'Données projet'!$E$11+1,1))</f>
        <v>442.85175349826028</v>
      </c>
      <c r="BJ50" s="59">
        <f t="shared" si="38"/>
        <v>210.70697808232501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4.6144215812018174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4.6144215812018174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14.64374999999999</v>
      </c>
      <c r="N51" s="13">
        <f>IF('Données projet'!$A$36&gt;35,N50+M51-V50,IF(A51&lt;'Données projet'!$A$36,$K$205^A51,IF(A51='Données projet'!$A$36,'Données projet'!$B$36,N50+M51-V50)))</f>
        <v>348.01499999999993</v>
      </c>
      <c r="O51" s="13">
        <f>N51*VLOOKUP('Données projet'!$B$9,Paramètres!$A$1:$I$89,3,0)*VLOOKUP('Données projet'!$B$9,Paramètres!$A$1:$I$89,5,0)</f>
        <v>208.11296999999999</v>
      </c>
      <c r="P51" s="13">
        <f t="shared" si="33"/>
        <v>51.52300578513217</v>
      </c>
      <c r="Q51" s="20">
        <f t="shared" si="53"/>
        <v>452.19932449243839</v>
      </c>
      <c r="R51" s="59">
        <f t="shared" si="0"/>
        <v>745.53265782577171</v>
      </c>
      <c r="S51" s="59">
        <f ca="1">AVERAGE(OFFSET($R$3,0,0,'Données projet'!$E$9+1,1))-AVERAGE(OFFSET($H$3,0,0,'Données projet'!$E$9+1,1))</f>
        <v>300.80663531652721</v>
      </c>
      <c r="T51" s="59">
        <f t="shared" si="34"/>
        <v>306.01967513533549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16.727017043177888</v>
      </c>
      <c r="AA51" s="21">
        <f>EXP(-LN(2)/25)*AA50+(1-EXP(-LN(2)/25))/(LN(2)/25)*Calculateur!V51*Calculateur!X51*VLOOKUP('Données projet'!$B$9,Paramètres!$A$1:$I$89,3,0)*0.475*44/12</f>
        <v>45.621568702986622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62.34858574616451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15.725555555555552</v>
      </c>
      <c r="AI51" s="13">
        <f>IF('Données projet'!$A$62&gt;35,AI50+AH51-AQ50,IF(A51&lt;'Données projet'!$A$62,$AF$205^A51,IF(A51='Données projet'!$A$62,'Données projet'!$B$62,AI50+AH51-AQ50)))</f>
        <v>338.48888888888905</v>
      </c>
      <c r="AJ51" s="13">
        <f>AI51*VLOOKUP('Données projet'!$B$10,Paramètres!$A$1:$I$89,3,0)*VLOOKUP('Données projet'!$B$10,Paramètres!$A$1:$I$89,5,0)</f>
        <v>202.41635555555567</v>
      </c>
      <c r="AK51" s="13">
        <f t="shared" si="35"/>
        <v>50.274837801805468</v>
      </c>
      <c r="AL51" s="20">
        <f t="shared" si="4"/>
        <v>440.10382843073722</v>
      </c>
      <c r="AM51" s="59">
        <f t="shared" si="5"/>
        <v>733.43716176407054</v>
      </c>
      <c r="AN51" s="59">
        <f ca="1">AVERAGE(OFFSET($AM$3,0,0,'Données projet'!$E$10+1,1))-AVERAGE(OFFSET($H$3,0,0,'Données projet'!$E$10+1,1))</f>
        <v>349.5718186624772</v>
      </c>
      <c r="AO51" s="59">
        <f t="shared" si="36"/>
        <v>258.14152930815959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12.745018638046101</v>
      </c>
      <c r="AV51" s="21">
        <f>EXP(-LN(2)/25)*AV50+(1-EXP(-LN(2)/25))/(LN(2)/25)*Calculateur!AQ51*Calculateur!AS51*VLOOKUP('Données projet'!$B$10,Paramètres!$A$1:$I$89,3,0)*0.475*44/12</f>
        <v>29.737953005805188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42.482971643851286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118.24694700000009</v>
      </c>
      <c r="BF51" s="13">
        <f t="shared" si="37"/>
        <v>31.265778931115893</v>
      </c>
      <c r="BG51" s="20">
        <f t="shared" si="7"/>
        <v>260.40133099669362</v>
      </c>
      <c r="BH51" s="59">
        <f t="shared" si="8"/>
        <v>553.73466433002693</v>
      </c>
      <c r="BI51" s="59">
        <f ca="1">AVERAGE(OFFSET($BH$3,0,0,'Données projet'!$E$11+1,1))-AVERAGE(OFFSET($H$3,0,0,'Données projet'!$E$11+1,1))</f>
        <v>442.85175349826028</v>
      </c>
      <c r="BJ51" s="59">
        <f t="shared" si="38"/>
        <v>210.70697808232501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4.5239355885137034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4.5239355885137034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14.64374999999999</v>
      </c>
      <c r="N52" s="13">
        <f>IF('Données projet'!$A$36&gt;35,N51+M52-V51,IF(A52&lt;'Données projet'!$A$36,$K$205^A52,IF(A52='Données projet'!$A$36,'Données projet'!$B$36,N51+M52-V51)))</f>
        <v>362.65874999999994</v>
      </c>
      <c r="O52" s="13">
        <f>N52*VLOOKUP('Données projet'!$B$9,Paramètres!$A$1:$I$89,3,0)*VLOOKUP('Données projet'!$B$9,Paramètres!$A$1:$I$89,5,0)</f>
        <v>216.86993249999998</v>
      </c>
      <c r="P52" s="13">
        <f t="shared" si="33"/>
        <v>53.434014686329654</v>
      </c>
      <c r="Q52" s="20">
        <f t="shared" si="53"/>
        <v>470.77937468285745</v>
      </c>
      <c r="R52" s="59">
        <f t="shared" si="0"/>
        <v>764.11270801619071</v>
      </c>
      <c r="S52" s="59">
        <f ca="1">AVERAGE(OFFSET($R$3,0,0,'Données projet'!$E$9+1,1))-AVERAGE(OFFSET($H$3,0,0,'Données projet'!$E$9+1,1))</f>
        <v>300.80663531652721</v>
      </c>
      <c r="T52" s="59">
        <f t="shared" si="34"/>
        <v>306.01967513533549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16.399010441434154</v>
      </c>
      <c r="AA52" s="21">
        <f>EXP(-LN(2)/25)*AA51+(1-EXP(-LN(2)/25))/(LN(2)/25)*Calculateur!V52*Calculateur!X52*VLOOKUP('Données projet'!$B$9,Paramètres!$A$1:$I$89,3,0)*0.475*44/12</f>
        <v>44.374044507669424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60.773054949103582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15.725555555555552</v>
      </c>
      <c r="AI52" s="13">
        <f>IF('Données projet'!$A$62&gt;35,AI51+AH52-AQ51,IF(A52&lt;'Données projet'!$A$62,$AF$205^A52,IF(A52='Données projet'!$A$62,'Données projet'!$B$62,AI51+AH52-AQ51)))</f>
        <v>354.21444444444461</v>
      </c>
      <c r="AJ52" s="13">
        <f>AI52*VLOOKUP('Données projet'!$B$10,Paramètres!$A$1:$I$89,3,0)*VLOOKUP('Données projet'!$B$10,Paramètres!$A$1:$I$89,5,0)</f>
        <v>211.82023777777789</v>
      </c>
      <c r="AK52" s="13">
        <f t="shared" si="35"/>
        <v>52.333153433287507</v>
      </c>
      <c r="AL52" s="20">
        <f t="shared" si="4"/>
        <v>460.06715635927225</v>
      </c>
      <c r="AM52" s="59">
        <f t="shared" si="5"/>
        <v>753.40048969260556</v>
      </c>
      <c r="AN52" s="59">
        <f ca="1">AVERAGE(OFFSET($AM$3,0,0,'Données projet'!$E$10+1,1))-AVERAGE(OFFSET($H$3,0,0,'Données projet'!$E$10+1,1))</f>
        <v>349.5718186624772</v>
      </c>
      <c r="AO52" s="59">
        <f t="shared" si="36"/>
        <v>258.14152930815959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12.495096596247798</v>
      </c>
      <c r="AV52" s="21">
        <f>EXP(-LN(2)/25)*AV51+(1-EXP(-LN(2)/25))/(LN(2)/25)*Calculateur!AQ52*Calculateur!AS52*VLOOKUP('Données projet'!$B$10,Paramètres!$A$1:$I$89,3,0)*0.475*44/12</f>
        <v>28.924767117010465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41.419863713258266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124.53318150000007</v>
      </c>
      <c r="BF52" s="13">
        <f t="shared" si="37"/>
        <v>32.729996925105766</v>
      </c>
      <c r="BG52" s="20">
        <f t="shared" si="7"/>
        <v>273.9000357570593</v>
      </c>
      <c r="BH52" s="59">
        <f t="shared" si="8"/>
        <v>567.23336909039267</v>
      </c>
      <c r="BI52" s="59">
        <f ca="1">AVERAGE(OFFSET($BH$3,0,0,'Données projet'!$E$11+1,1))-AVERAGE(OFFSET($H$3,0,0,'Données projet'!$E$11+1,1))</f>
        <v>442.85175349826028</v>
      </c>
      <c r="BJ52" s="59">
        <f t="shared" si="38"/>
        <v>210.70697808232501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4.4352239709511974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4.4352239709511974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14.64374999999999</v>
      </c>
      <c r="N53" s="13">
        <f>IF('Données projet'!$A$36&gt;35,N52+M53-V52,IF(A53&lt;'Données projet'!$A$36,$K$205^A53,IF(A53='Données projet'!$A$36,'Données projet'!$B$36,N52+M53-V52)))</f>
        <v>377.30249999999995</v>
      </c>
      <c r="O53" s="13">
        <f>N53*VLOOKUP('Données projet'!$B$9,Paramètres!$A$1:$I$89,3,0)*VLOOKUP('Données projet'!$B$9,Paramètres!$A$1:$I$89,5,0)</f>
        <v>225.62689499999999</v>
      </c>
      <c r="P53" s="13">
        <f t="shared" si="33"/>
        <v>55.336060156511813</v>
      </c>
      <c r="Q53" s="20">
        <f t="shared" si="53"/>
        <v>489.34381356425803</v>
      </c>
      <c r="R53" s="59">
        <f t="shared" si="0"/>
        <v>782.67714689759134</v>
      </c>
      <c r="S53" s="59">
        <f ca="1">AVERAGE(OFFSET($R$3,0,0,'Données projet'!$E$9+1,1))-AVERAGE(OFFSET($H$3,0,0,'Données projet'!$E$9+1,1))</f>
        <v>300.80663531652721</v>
      </c>
      <c r="T53" s="59">
        <f t="shared" si="34"/>
        <v>306.01967513533549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16.077435849086342</v>
      </c>
      <c r="AA53" s="21">
        <f>EXP(-LN(2)/25)*AA52+(1-EXP(-LN(2)/25))/(LN(2)/25)*Calculateur!V53*Calculateur!X53*VLOOKUP('Données projet'!$B$9,Paramètres!$A$1:$I$89,3,0)*0.475*44/12</f>
        <v>43.160633927077619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59.238069776163961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369.94</v>
      </c>
      <c r="AG53" s="12">
        <f>VLOOKUP(A53,'Données projet'!$A$61:$I$81,9,0)</f>
        <v>15.725555555555552</v>
      </c>
      <c r="AH53" s="12">
        <f t="array" ref="AH53">INDEX(AG:AG,MIN(IF(ISNUMBER(AG53:AG249),ROW(AG53:AG249),"")))</f>
        <v>15.725555555555552</v>
      </c>
      <c r="AI53" s="13">
        <f>IF('Données projet'!$A$62&gt;35,AI52+AH53-AQ52,IF(A53&lt;'Données projet'!$A$62,$AF$205^A53,IF(A53='Données projet'!$A$62,'Données projet'!$B$62,AI52+AH53-AQ52)))</f>
        <v>369.94000000000017</v>
      </c>
      <c r="AJ53" s="13">
        <f>AI53*VLOOKUP('Données projet'!$B$10,Paramètres!$A$1:$I$89,3,0)*VLOOKUP('Données projet'!$B$10,Paramètres!$A$1:$I$89,5,0)</f>
        <v>221.22412000000014</v>
      </c>
      <c r="AK53" s="13">
        <f t="shared" si="35"/>
        <v>54.380856173847832</v>
      </c>
      <c r="AL53" s="20">
        <f t="shared" si="4"/>
        <v>480.01200016945177</v>
      </c>
      <c r="AM53" s="59">
        <f t="shared" si="5"/>
        <v>773.34533350278502</v>
      </c>
      <c r="AN53" s="59">
        <f ca="1">AVERAGE(OFFSET($AM$3,0,0,'Données projet'!$E$10+1,1))-AVERAGE(OFFSET($H$3,0,0,'Données projet'!$E$10+1,1))</f>
        <v>349.5718186624772</v>
      </c>
      <c r="AO53" s="59">
        <f t="shared" si="36"/>
        <v>258.14152930815959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</v>
      </c>
      <c r="AR53" s="16">
        <f>IF(ISNA(VLOOKUP(A53,'Données projet'!$A$61:$I$81,5,0)),0%,VLOOKUP(A53,'Données projet'!$A$61:$I$81,5,0)*VLOOKUP('Données projet'!$B$10,Paramètres!$A$1:$I$89,7,0))</f>
        <v>0.13500000000000001</v>
      </c>
      <c r="AS53" s="16">
        <f>IF(ISNA(VLOOKUP(A53,'Données projet'!$A$61:$I$81,6,0)),0%,VLOOKUP(A53,'Données projet'!$A$61:$I$81,6,0)*VLOOKUP('Données projet'!$B$10,Paramètres!$A$1:$I$89,7,0))</f>
        <v>0.22500000000000001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19.768042477083679</v>
      </c>
      <c r="AV53" s="21">
        <f>EXP(-LN(2)/25)*AV52+(1-EXP(-LN(2)/25))/(LN(2)/25)*Calculateur!AQ53*Calculateur!AS53*VLOOKUP('Données projet'!$B$10,Paramètres!$A$1:$I$89,3,0)*0.475*44/12</f>
        <v>40.614427843731889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60.382470320815571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130.81941600000007</v>
      </c>
      <c r="BF53" s="13">
        <f t="shared" si="37"/>
        <v>34.185633013929731</v>
      </c>
      <c r="BG53" s="20">
        <f t="shared" si="7"/>
        <v>287.38379369926105</v>
      </c>
      <c r="BH53" s="59">
        <f t="shared" si="8"/>
        <v>580.71712703259436</v>
      </c>
      <c r="BI53" s="59">
        <f ca="1">AVERAGE(OFFSET($BH$3,0,0,'Données projet'!$E$11+1,1))-AVERAGE(OFFSET($H$3,0,0,'Données projet'!$E$11+1,1))</f>
        <v>442.85175349826028</v>
      </c>
      <c r="BJ53" s="59">
        <f t="shared" si="38"/>
        <v>210.70697808232501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0.159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8.5433607695486842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8.5433607695486842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14.64374999999999</v>
      </c>
      <c r="N54" s="13">
        <f>IF('Données projet'!$A$36&gt;35,N53+M54-V53,IF(A54&lt;'Données projet'!$A$36,$K$205^A54,IF(A54='Données projet'!$A$36,'Données projet'!$B$36,N53+M54-V53)))</f>
        <v>391.94624999999996</v>
      </c>
      <c r="O54" s="13">
        <f>N54*VLOOKUP('Données projet'!$B$9,Paramètres!$A$1:$I$89,3,0)*VLOOKUP('Données projet'!$B$9,Paramètres!$A$1:$I$89,5,0)</f>
        <v>234.3838575</v>
      </c>
      <c r="P54" s="13">
        <f t="shared" si="33"/>
        <v>57.229529897835612</v>
      </c>
      <c r="Q54" s="20">
        <f t="shared" si="53"/>
        <v>507.89331638456366</v>
      </c>
      <c r="R54" s="59">
        <f t="shared" si="0"/>
        <v>801.22664971789698</v>
      </c>
      <c r="S54" s="59">
        <f ca="1">AVERAGE(OFFSET($R$3,0,0,'Données projet'!$E$9+1,1))-AVERAGE(OFFSET($H$3,0,0,'Données projet'!$E$9+1,1))</f>
        <v>300.80663531652721</v>
      </c>
      <c r="T54" s="59">
        <f t="shared" si="34"/>
        <v>306.01967513533549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15.762167138353337</v>
      </c>
      <c r="AA54" s="21">
        <f>EXP(-LN(2)/25)*AA53+(1-EXP(-LN(2)/25))/(LN(2)/25)*Calculateur!V54*Calculateur!X54*VLOOKUP('Données projet'!$B$9,Paramètres!$A$1:$I$89,3,0)*0.475*44/12</f>
        <v>41.980404122622588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57.742571260975922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14.12</v>
      </c>
      <c r="AI54" s="13">
        <f>IF('Données projet'!$A$62&gt;35,AI53+AH54-AQ53,IF(A54&lt;'Données projet'!$A$62,$AF$205^A54,IF(A54='Données projet'!$A$62,'Données projet'!$B$62,AI53+AH54-AQ53)))</f>
        <v>313.86000000000018</v>
      </c>
      <c r="AJ54" s="13">
        <f>AI54*VLOOKUP('Données projet'!$B$10,Paramètres!$A$1:$I$89,3,0)*VLOOKUP('Données projet'!$B$10,Paramètres!$A$1:$I$89,5,0)</f>
        <v>187.68828000000013</v>
      </c>
      <c r="AK54" s="13">
        <f t="shared" si="35"/>
        <v>47.028500822168901</v>
      </c>
      <c r="AL54" s="20">
        <f t="shared" si="4"/>
        <v>408.79839326527775</v>
      </c>
      <c r="AM54" s="59">
        <f t="shared" si="5"/>
        <v>702.13172659861107</v>
      </c>
      <c r="AN54" s="59">
        <f ca="1">AVERAGE(OFFSET($AM$3,0,0,'Données projet'!$E$10+1,1))-AVERAGE(OFFSET($H$3,0,0,'Données projet'!$E$10+1,1))</f>
        <v>349.5718186624772</v>
      </c>
      <c r="AO54" s="59">
        <f t="shared" si="36"/>
        <v>258.14152930815959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19.380403221423418</v>
      </c>
      <c r="AV54" s="21">
        <f>EXP(-LN(2)/25)*AV53+(1-EXP(-LN(2)/25))/(LN(2)/25)*Calculateur!AQ54*Calculateur!AS54*VLOOKUP('Données projet'!$B$10,Paramètres!$A$1:$I$89,3,0)*0.475*44/12</f>
        <v>39.503824178525107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58.884227399948529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113.3610075000001</v>
      </c>
      <c r="BF54" s="13">
        <f t="shared" si="37"/>
        <v>30.121471729565499</v>
      </c>
      <c r="BG54" s="20">
        <f t="shared" si="7"/>
        <v>249.89865132482677</v>
      </c>
      <c r="BH54" s="59">
        <f t="shared" si="8"/>
        <v>543.23198465816006</v>
      </c>
      <c r="BI54" s="59">
        <f ca="1">AVERAGE(OFFSET($BH$3,0,0,'Données projet'!$E$11+1,1))-AVERAGE(OFFSET($H$3,0,0,'Données projet'!$E$11+1,1))</f>
        <v>442.85175349826028</v>
      </c>
      <c r="BJ54" s="59">
        <f t="shared" si="38"/>
        <v>210.70697808232501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8.3758306757933667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8.3758306757933667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406.59</v>
      </c>
      <c r="L55" s="12">
        <f>VLOOKUP(A55,'Données projet'!$A$35:$I$55,9,0)</f>
        <v>14.64374999999999</v>
      </c>
      <c r="M55" s="12">
        <f t="array" ref="M55">INDEX(L:L,MIN(IF(ISNUMBER(L55:L251),ROW(L55:L251),"")))</f>
        <v>14.64374999999999</v>
      </c>
      <c r="N55" s="13">
        <f>IF('Données projet'!$A$36&gt;35,N54+M55-V54,IF(A55&lt;'Données projet'!$A$36,$K$205^A55,IF(A55='Données projet'!$A$36,'Données projet'!$B$36,N54+M55-V54)))</f>
        <v>406.59</v>
      </c>
      <c r="O55" s="13">
        <f>N55*VLOOKUP('Données projet'!$B$9,Paramètres!$A$1:$I$89,3,0)*VLOOKUP('Données projet'!$B$9,Paramètres!$A$1:$I$89,5,0)</f>
        <v>243.14081999999999</v>
      </c>
      <c r="P55" s="13">
        <f t="shared" si="33"/>
        <v>59.114781000830845</v>
      </c>
      <c r="Q55" s="20">
        <f t="shared" si="53"/>
        <v>526.42850507644698</v>
      </c>
      <c r="R55" s="59">
        <f t="shared" si="0"/>
        <v>819.76183840978024</v>
      </c>
      <c r="S55" s="59">
        <f ca="1">AVERAGE(OFFSET($R$3,0,0,'Données projet'!$E$9+1,1))-AVERAGE(OFFSET($H$3,0,0,'Données projet'!$E$9+1,1))</f>
        <v>300.80663531652721</v>
      </c>
      <c r="T55" s="59">
        <f t="shared" si="34"/>
        <v>306.01967513533549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75.37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0.13500000000000001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34.286909070273168</v>
      </c>
      <c r="AA55" s="21">
        <f>EXP(-LN(2)/25)*AA54+(1-EXP(-LN(2)/25))/(LN(2)/25)*Calculateur!V55*Calculateur!X55*VLOOKUP('Données projet'!$B$9,Paramètres!$A$1:$I$89,3,0)*0.475*44/12</f>
        <v>48.872307388581874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83.159216458855042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14.12</v>
      </c>
      <c r="AI55" s="13">
        <f>IF('Données projet'!$A$62&gt;35,AI54+AH55-AQ54,IF(A55&lt;'Données projet'!$A$62,$AF$205^A55,IF(A55='Données projet'!$A$62,'Données projet'!$B$62,AI54+AH55-AQ54)))</f>
        <v>327.98000000000019</v>
      </c>
      <c r="AJ55" s="13">
        <f>AI55*VLOOKUP('Données projet'!$B$10,Paramètres!$A$1:$I$89,3,0)*VLOOKUP('Données projet'!$B$10,Paramètres!$A$1:$I$89,5,0)</f>
        <v>196.13204000000013</v>
      </c>
      <c r="AK55" s="13">
        <f t="shared" si="35"/>
        <v>48.893143423385645</v>
      </c>
      <c r="AL55" s="20">
        <f t="shared" si="4"/>
        <v>426.75219446239686</v>
      </c>
      <c r="AM55" s="59">
        <f t="shared" si="5"/>
        <v>720.08552779573017</v>
      </c>
      <c r="AN55" s="59">
        <f ca="1">AVERAGE(OFFSET($AM$3,0,0,'Données projet'!$E$10+1,1))-AVERAGE(OFFSET($H$3,0,0,'Données projet'!$E$10+1,1))</f>
        <v>349.5718186624772</v>
      </c>
      <c r="AO55" s="59">
        <f t="shared" si="36"/>
        <v>258.14152930815959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19.000365335130056</v>
      </c>
      <c r="AV55" s="21">
        <f>EXP(-LN(2)/25)*AV54+(1-EXP(-LN(2)/25))/(LN(2)/25)*Calculateur!AQ55*Calculateur!AS55*VLOOKUP('Données projet'!$B$10,Paramètres!$A$1:$I$89,3,0)*0.475*44/12</f>
        <v>38.423590028947515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57.423955364077571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119.76966300000011</v>
      </c>
      <c r="BF55" s="13">
        <f t="shared" si="37"/>
        <v>31.621270965639045</v>
      </c>
      <c r="BG55" s="20">
        <f t="shared" si="7"/>
        <v>263.67254332348824</v>
      </c>
      <c r="BH55" s="59">
        <f t="shared" si="8"/>
        <v>557.00587665682156</v>
      </c>
      <c r="BI55" s="59">
        <f ca="1">AVERAGE(OFFSET($BH$3,0,0,'Données projet'!$E$11+1,1))-AVERAGE(OFFSET($H$3,0,0,'Données projet'!$E$11+1,1))</f>
        <v>442.85175349826028</v>
      </c>
      <c r="BJ55" s="59">
        <f t="shared" si="38"/>
        <v>210.70697808232501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8.2115857449933234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8.2115857449933234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13.14</v>
      </c>
      <c r="N56" s="13">
        <f>IF('Données projet'!$A$36&gt;35,N55+M56-V55,IF(A56&lt;'Données projet'!$A$36,$K$205^A56,IF(A56='Données projet'!$A$36,'Données projet'!$B$36,N55+M56-V55)))</f>
        <v>344.35999999999996</v>
      </c>
      <c r="O56" s="13">
        <f>N56*VLOOKUP('Données projet'!$B$9,Paramètres!$A$1:$I$89,3,0)*VLOOKUP('Données projet'!$B$9,Paramètres!$A$1:$I$89,5,0)</f>
        <v>205.92728</v>
      </c>
      <c r="P56" s="13">
        <f t="shared" si="33"/>
        <v>51.04458202864172</v>
      </c>
      <c r="Q56" s="20">
        <f t="shared" si="53"/>
        <v>447.55932636655098</v>
      </c>
      <c r="R56" s="59">
        <f t="shared" si="0"/>
        <v>740.89265969988423</v>
      </c>
      <c r="S56" s="59">
        <f ca="1">AVERAGE(OFFSET($R$3,0,0,'Données projet'!$E$9+1,1))-AVERAGE(OFFSET($H$3,0,0,'Données projet'!$E$9+1,1))</f>
        <v>300.80663531652721</v>
      </c>
      <c r="T56" s="59">
        <f t="shared" si="34"/>
        <v>306.01967513533549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33.614563696354665</v>
      </c>
      <c r="AA56" s="21">
        <f>EXP(-LN(2)/25)*AA55+(1-EXP(-LN(2)/25))/(LN(2)/25)*Calculateur!V56*Calculateur!X56*VLOOKUP('Données projet'!$B$9,Paramètres!$A$1:$I$89,3,0)*0.475*44/12</f>
        <v>47.535891572958157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81.150455269312829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14.12</v>
      </c>
      <c r="AI56" s="13">
        <f>IF('Données projet'!$A$62&gt;35,AI55+AH56-AQ55,IF(A56&lt;'Données projet'!$A$62,$AF$205^A56,IF(A56='Données projet'!$A$62,'Données projet'!$B$62,AI55+AH56-AQ55)))</f>
        <v>342.10000000000019</v>
      </c>
      <c r="AJ56" s="13">
        <f>AI56*VLOOKUP('Données projet'!$B$10,Paramètres!$A$1:$I$89,3,0)*VLOOKUP('Données projet'!$B$10,Paramètres!$A$1:$I$89,5,0)</f>
        <v>204.57580000000013</v>
      </c>
      <c r="AK56" s="13">
        <f t="shared" si="35"/>
        <v>50.748462290021173</v>
      </c>
      <c r="AL56" s="20">
        <f t="shared" si="4"/>
        <v>444.68975682178706</v>
      </c>
      <c r="AM56" s="59">
        <f t="shared" si="5"/>
        <v>738.02309015512037</v>
      </c>
      <c r="AN56" s="59">
        <f ca="1">AVERAGE(OFFSET($AM$3,0,0,'Données projet'!$E$10+1,1))-AVERAGE(OFFSET($H$3,0,0,'Données projet'!$E$10+1,1))</f>
        <v>349.5718186624772</v>
      </c>
      <c r="AO56" s="59">
        <f t="shared" si="36"/>
        <v>258.14152930815959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18.627779759986684</v>
      </c>
      <c r="AV56" s="21">
        <f>EXP(-LN(2)/25)*AV55+(1-EXP(-LN(2)/25))/(LN(2)/25)*Calculateur!AQ56*Calculateur!AS56*VLOOKUP('Données projet'!$B$10,Paramètres!$A$1:$I$89,3,0)*0.475*44/12</f>
        <v>37.372894938997163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56.000674698983843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126.17831850000012</v>
      </c>
      <c r="BF56" s="13">
        <f t="shared" si="37"/>
        <v>33.1117532624123</v>
      </c>
      <c r="BG56" s="20">
        <f t="shared" si="7"/>
        <v>277.43020831953498</v>
      </c>
      <c r="BH56" s="59">
        <f t="shared" si="8"/>
        <v>570.7635416528683</v>
      </c>
      <c r="BI56" s="59">
        <f ca="1">AVERAGE(OFFSET($BH$3,0,0,'Données projet'!$E$11+1,1))-AVERAGE(OFFSET($H$3,0,0,'Données projet'!$E$11+1,1))</f>
        <v>442.85175349826028</v>
      </c>
      <c r="BJ56" s="59">
        <f t="shared" si="38"/>
        <v>210.70697808232501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8.0505615571067537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8.0505615571067537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13.14</v>
      </c>
      <c r="N57" s="13">
        <f>IF('Données projet'!$A$36&gt;35,N56+M57-V56,IF(A57&lt;'Données projet'!$A$36,$K$205^A57,IF(A57='Données projet'!$A$36,'Données projet'!$B$36,N56+M57-V56)))</f>
        <v>357.49999999999994</v>
      </c>
      <c r="O57" s="13">
        <f>N57*VLOOKUP('Données projet'!$B$9,Paramètres!$A$1:$I$89,3,0)*VLOOKUP('Données projet'!$B$9,Paramètres!$A$1:$I$89,5,0)</f>
        <v>213.785</v>
      </c>
      <c r="P57" s="13">
        <f t="shared" si="33"/>
        <v>52.761841557402377</v>
      </c>
      <c r="Q57" s="20">
        <f t="shared" si="53"/>
        <v>464.23574904580914</v>
      </c>
      <c r="R57" s="59">
        <f t="shared" si="0"/>
        <v>757.5690823791424</v>
      </c>
      <c r="S57" s="59">
        <f ca="1">AVERAGE(OFFSET($R$3,0,0,'Données projet'!$E$9+1,1))-AVERAGE(OFFSET($H$3,0,0,'Données projet'!$E$9+1,1))</f>
        <v>300.80663531652721</v>
      </c>
      <c r="T57" s="59">
        <f t="shared" si="34"/>
        <v>306.01967513533549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32.955402605128512</v>
      </c>
      <c r="AA57" s="21">
        <f>EXP(-LN(2)/25)*AA56+(1-EXP(-LN(2)/25))/(LN(2)/25)*Calculateur!V57*Calculateur!X57*VLOOKUP('Données projet'!$B$9,Paramètres!$A$1:$I$89,3,0)*0.475*44/12</f>
        <v>46.236020118091723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79.191422723220228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14.12</v>
      </c>
      <c r="AI57" s="13">
        <f>IF('Données projet'!$A$62&gt;35,AI56+AH57-AQ56,IF(A57&lt;'Données projet'!$A$62,$AF$205^A57,IF(A57='Données projet'!$A$62,'Données projet'!$B$62,AI56+AH57-AQ56)))</f>
        <v>356.2200000000002</v>
      </c>
      <c r="AJ57" s="13">
        <f>AI57*VLOOKUP('Données projet'!$B$10,Paramètres!$A$1:$I$89,3,0)*VLOOKUP('Données projet'!$B$10,Paramètres!$A$1:$I$89,5,0)</f>
        <v>213.01956000000015</v>
      </c>
      <c r="AK57" s="13">
        <f t="shared" si="35"/>
        <v>52.594886266766075</v>
      </c>
      <c r="AL57" s="20">
        <f t="shared" si="4"/>
        <v>462.61182724795117</v>
      </c>
      <c r="AM57" s="59">
        <f t="shared" si="5"/>
        <v>755.94516058128443</v>
      </c>
      <c r="AN57" s="59">
        <f ca="1">AVERAGE(OFFSET($AM$3,0,0,'Données projet'!$E$10+1,1))-AVERAGE(OFFSET($H$3,0,0,'Données projet'!$E$10+1,1))</f>
        <v>349.5718186624772</v>
      </c>
      <c r="AO57" s="59">
        <f t="shared" si="36"/>
        <v>258.14152930815959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18.262500360717112</v>
      </c>
      <c r="AV57" s="21">
        <f>EXP(-LN(2)/25)*AV56+(1-EXP(-LN(2)/25))/(LN(2)/25)*Calculateur!AQ57*Calculateur!AS57*VLOOKUP('Données projet'!$B$10,Paramètres!$A$1:$I$89,3,0)*0.475*44/12</f>
        <v>36.350931161535158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54.61343152225227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132.58697400000014</v>
      </c>
      <c r="BF57" s="13">
        <f t="shared" si="37"/>
        <v>34.59344581928714</v>
      </c>
      <c r="BG57" s="20">
        <f t="shared" si="7"/>
        <v>291.17256451859203</v>
      </c>
      <c r="BH57" s="59">
        <f t="shared" si="8"/>
        <v>584.50589785192528</v>
      </c>
      <c r="BI57" s="59">
        <f ca="1">AVERAGE(OFFSET($BH$3,0,0,'Données projet'!$E$11+1,1))-AVERAGE(OFFSET($H$3,0,0,'Données projet'!$E$11+1,1))</f>
        <v>442.85175349826028</v>
      </c>
      <c r="BJ57" s="59">
        <f t="shared" si="38"/>
        <v>210.70697808232501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7.8926949553295822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7.8926949553295822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13.14</v>
      </c>
      <c r="N58" s="13">
        <f>IF('Données projet'!$A$36&gt;35,N57+M58-V57,IF(A58&lt;'Données projet'!$A$36,$K$205^A58,IF(A58='Données projet'!$A$36,'Données projet'!$B$36,N57+M58-V57)))</f>
        <v>370.63999999999993</v>
      </c>
      <c r="O58" s="13">
        <f>N58*VLOOKUP('Données projet'!$B$9,Paramètres!$A$1:$I$89,3,0)*VLOOKUP('Données projet'!$B$9,Paramètres!$A$1:$I$89,5,0)</f>
        <v>221.64272</v>
      </c>
      <c r="P58" s="13">
        <f t="shared" si="33"/>
        <v>54.471768066609272</v>
      </c>
      <c r="Q58" s="20">
        <f t="shared" si="53"/>
        <v>480.89940004934442</v>
      </c>
      <c r="R58" s="59">
        <f t="shared" si="0"/>
        <v>774.23273338267768</v>
      </c>
      <c r="S58" s="59">
        <f ca="1">AVERAGE(OFFSET($R$3,0,0,'Données projet'!$E$9+1,1))-AVERAGE(OFFSET($H$3,0,0,'Données projet'!$E$9+1,1))</f>
        <v>300.80663531652721</v>
      </c>
      <c r="T58" s="59">
        <f t="shared" si="34"/>
        <v>306.01967513533549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32.309167260852739</v>
      </c>
      <c r="AA58" s="21">
        <f>EXP(-LN(2)/25)*AA57+(1-EXP(-LN(2)/25))/(LN(2)/25)*Calculateur!V58*Calculateur!X58*VLOOKUP('Données projet'!$B$9,Paramètres!$A$1:$I$89,3,0)*0.475*44/12</f>
        <v>44.97169371651588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77.280860977368619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14.12</v>
      </c>
      <c r="AI58" s="13">
        <f>IF('Données projet'!$A$62&gt;35,AI57+AH58-AQ57,IF(A58&lt;'Données projet'!$A$62,$AF$205^A58,IF(A58='Données projet'!$A$62,'Données projet'!$B$62,AI57+AH58-AQ57)))</f>
        <v>370.3400000000002</v>
      </c>
      <c r="AJ58" s="13">
        <f>AI58*VLOOKUP('Données projet'!$B$10,Paramètres!$A$1:$I$89,3,0)*VLOOKUP('Données projet'!$B$10,Paramètres!$A$1:$I$89,5,0)</f>
        <v>221.46332000000012</v>
      </c>
      <c r="AK58" s="13">
        <f t="shared" si="35"/>
        <v>54.432808276273747</v>
      </c>
      <c r="AL58" s="20">
        <f t="shared" si="4"/>
        <v>480.51909008117696</v>
      </c>
      <c r="AM58" s="59">
        <f t="shared" si="5"/>
        <v>773.85242341451021</v>
      </c>
      <c r="AN58" s="59">
        <f ca="1">AVERAGE(OFFSET($AM$3,0,0,'Données projet'!$E$10+1,1))-AVERAGE(OFFSET($H$3,0,0,'Données projet'!$E$10+1,1))</f>
        <v>349.5718186624772</v>
      </c>
      <c r="AO58" s="59">
        <f t="shared" si="36"/>
        <v>258.14152930815959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17.904383867668784</v>
      </c>
      <c r="AV58" s="21">
        <f>EXP(-LN(2)/25)*AV57+(1-EXP(-LN(2)/25))/(LN(2)/25)*Calculateur!AQ58*Calculateur!AS58*VLOOKUP('Données projet'!$B$10,Paramètres!$A$1:$I$89,3,0)*0.475*44/12</f>
        <v>35.356913037310591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53.261296904979375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138.99562950000012</v>
      </c>
      <c r="BF58" s="13">
        <f t="shared" si="37"/>
        <v>36.066821991271404</v>
      </c>
      <c r="BG58" s="20">
        <f t="shared" si="7"/>
        <v>304.9004363472979</v>
      </c>
      <c r="BH58" s="59">
        <f t="shared" si="8"/>
        <v>598.23376968063121</v>
      </c>
      <c r="BI58" s="59">
        <f ca="1">AVERAGE(OFFSET($BH$3,0,0,'Données projet'!$E$11+1,1))-AVERAGE(OFFSET($H$3,0,0,'Données projet'!$E$11+1,1))</f>
        <v>442.85175349826028</v>
      </c>
      <c r="BJ58" s="59">
        <f t="shared" si="38"/>
        <v>210.70697808232501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7.737924021324142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7.737924021324142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13.14</v>
      </c>
      <c r="N59" s="13">
        <f>IF('Données projet'!$A$36&gt;35,N58+M59-V58,IF(A59&lt;'Données projet'!$A$36,$K$205^A59,IF(A59='Données projet'!$A$36,'Données projet'!$B$36,N58+M59-V58)))</f>
        <v>383.77999999999992</v>
      </c>
      <c r="O59" s="13">
        <f>N59*VLOOKUP('Données projet'!$B$9,Paramètres!$A$1:$I$89,3,0)*VLOOKUP('Données projet'!$B$9,Paramètres!$A$1:$I$89,5,0)</f>
        <v>229.50043999999997</v>
      </c>
      <c r="P59" s="13">
        <f t="shared" si="33"/>
        <v>56.174651313961498</v>
      </c>
      <c r="Q59" s="20">
        <f t="shared" si="53"/>
        <v>497.55078403848285</v>
      </c>
      <c r="R59" s="59">
        <f t="shared" si="0"/>
        <v>790.88411737181616</v>
      </c>
      <c r="S59" s="59">
        <f ca="1">AVERAGE(OFFSET($R$3,0,0,'Données projet'!$E$9+1,1))-AVERAGE(OFFSET($H$3,0,0,'Données projet'!$E$9+1,1))</f>
        <v>300.80663531652721</v>
      </c>
      <c r="T59" s="59">
        <f t="shared" si="34"/>
        <v>306.01967513533549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31.675604197513575</v>
      </c>
      <c r="AA59" s="21">
        <f>EXP(-LN(2)/25)*AA58+(1-EXP(-LN(2)/25))/(LN(2)/25)*Calculateur!V59*Calculateur!X59*VLOOKUP('Données projet'!$B$9,Paramètres!$A$1:$I$89,3,0)*0.475*44/12</f>
        <v>43.741940386879165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75.417544584392743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14.12</v>
      </c>
      <c r="AI59" s="13">
        <f>IF('Données projet'!$A$62&gt;35,AI58+AH59-AQ58,IF(A59&lt;'Données projet'!$A$62,$AF$205^A59,IF(A59='Données projet'!$A$62,'Données projet'!$B$62,AI58+AH59-AQ58)))</f>
        <v>384.46000000000021</v>
      </c>
      <c r="AJ59" s="13">
        <f>AI59*VLOOKUP('Données projet'!$B$10,Paramètres!$A$1:$I$89,3,0)*VLOOKUP('Données projet'!$B$10,Paramètres!$A$1:$I$89,5,0)</f>
        <v>229.90708000000015</v>
      </c>
      <c r="AK59" s="13">
        <f t="shared" si="35"/>
        <v>56.262589582193186</v>
      </c>
      <c r="AL59" s="20">
        <f t="shared" si="4"/>
        <v>498.41217452232013</v>
      </c>
      <c r="AM59" s="59">
        <f t="shared" si="5"/>
        <v>791.74550785565339</v>
      </c>
      <c r="AN59" s="59">
        <f ca="1">AVERAGE(OFFSET($AM$3,0,0,'Données projet'!$E$10+1,1))-AVERAGE(OFFSET($H$3,0,0,'Données projet'!$E$10+1,1))</f>
        <v>349.5718186624772</v>
      </c>
      <c r="AO59" s="59">
        <f t="shared" si="36"/>
        <v>258.14152930815959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17.553289820619639</v>
      </c>
      <c r="AV59" s="21">
        <f>EXP(-LN(2)/25)*AV58+(1-EXP(-LN(2)/25))/(LN(2)/25)*Calculateur!AQ59*Calculateur!AS59*VLOOKUP('Données projet'!$B$10,Paramètres!$A$1:$I$89,3,0)*0.475*44/12</f>
        <v>34.390076390966087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51.943366211585726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145.40428500000013</v>
      </c>
      <c r="BF59" s="13">
        <f t="shared" si="37"/>
        <v>37.532309016457305</v>
      </c>
      <c r="BG59" s="20">
        <f t="shared" si="7"/>
        <v>318.61456791199669</v>
      </c>
      <c r="BH59" s="59">
        <f t="shared" si="8"/>
        <v>611.94790124533006</v>
      </c>
      <c r="BI59" s="59">
        <f ca="1">AVERAGE(OFFSET($BH$3,0,0,'Données projet'!$E$11+1,1))-AVERAGE(OFFSET($H$3,0,0,'Données projet'!$E$11+1,1))</f>
        <v>442.85175349826028</v>
      </c>
      <c r="BJ59" s="59">
        <f t="shared" si="38"/>
        <v>210.70697808232501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7.5861880509336004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7.5861880509336004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13.14</v>
      </c>
      <c r="N60" s="13">
        <f>IF('Données projet'!$A$36&gt;35,N59+M60-V59,IF(A60&lt;'Données projet'!$A$36,$K$205^A60,IF(A60='Données projet'!$A$36,'Données projet'!$B$36,N59+M60-V59)))</f>
        <v>396.9199999999999</v>
      </c>
      <c r="O60" s="13">
        <f>N60*VLOOKUP('Données projet'!$B$9,Paramètres!$A$1:$I$89,3,0)*VLOOKUP('Données projet'!$B$9,Paramètres!$A$1:$I$89,5,0)</f>
        <v>237.35815999999997</v>
      </c>
      <c r="P60" s="13">
        <f t="shared" si="33"/>
        <v>57.870760090028412</v>
      </c>
      <c r="Q60" s="20">
        <f t="shared" si="53"/>
        <v>514.19036915679942</v>
      </c>
      <c r="R60" s="59">
        <f t="shared" si="0"/>
        <v>807.52370249013279</v>
      </c>
      <c r="S60" s="59">
        <f ca="1">AVERAGE(OFFSET($R$3,0,0,'Données projet'!$E$9+1,1))-AVERAGE(OFFSET($H$3,0,0,'Données projet'!$E$9+1,1))</f>
        <v>300.80663531652721</v>
      </c>
      <c r="T60" s="59">
        <f t="shared" si="34"/>
        <v>306.01967513533549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31.054464919411181</v>
      </c>
      <c r="AA60" s="21">
        <f>EXP(-LN(2)/25)*AA59+(1-EXP(-LN(2)/25))/(LN(2)/25)*Calculateur!V60*Calculateur!X60*VLOOKUP('Données projet'!$B$9,Paramètres!$A$1:$I$89,3,0)*0.475*44/12</f>
        <v>42.545814726711285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73.600279646122459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14.12</v>
      </c>
      <c r="AI60" s="13">
        <f>IF('Données projet'!$A$62&gt;35,AI59+AH60-AQ59,IF(A60&lt;'Données projet'!$A$62,$AF$205^A60,IF(A60='Données projet'!$A$62,'Données projet'!$B$62,AI59+AH60-AQ59)))</f>
        <v>398.58000000000021</v>
      </c>
      <c r="AJ60" s="13">
        <f>AI60*VLOOKUP('Données projet'!$B$10,Paramètres!$A$1:$I$89,3,0)*VLOOKUP('Données projet'!$B$10,Paramètres!$A$1:$I$89,5,0)</f>
        <v>238.35084000000015</v>
      </c>
      <c r="AK60" s="13">
        <f t="shared" si="35"/>
        <v>58.084563408326787</v>
      </c>
      <c r="AL60" s="20">
        <f t="shared" si="4"/>
        <v>516.29166093616936</v>
      </c>
      <c r="AM60" s="59">
        <f t="shared" si="5"/>
        <v>809.62499426950262</v>
      </c>
      <c r="AN60" s="59">
        <f ca="1">AVERAGE(OFFSET($AM$3,0,0,'Données projet'!$E$10+1,1))-AVERAGE(OFFSET($H$3,0,0,'Données projet'!$E$10+1,1))</f>
        <v>349.5718186624772</v>
      </c>
      <c r="AO60" s="59">
        <f t="shared" si="36"/>
        <v>258.14152930815959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17.209080513686903</v>
      </c>
      <c r="AV60" s="21">
        <f>EXP(-LN(2)/25)*AV59+(1-EXP(-LN(2)/25))/(LN(2)/25)*Calculateur!AQ60*Calculateur!AS60*VLOOKUP('Données projet'!$B$10,Paramètres!$A$1:$I$89,3,0)*0.475*44/12</f>
        <v>33.4496779435596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50.658758457246506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151.81294050000014</v>
      </c>
      <c r="BF60" s="13">
        <f t="shared" si="37"/>
        <v>38.990294342692991</v>
      </c>
      <c r="BG60" s="20">
        <f t="shared" si="7"/>
        <v>332.31563401769057</v>
      </c>
      <c r="BH60" s="59">
        <f t="shared" si="8"/>
        <v>625.64896735102388</v>
      </c>
      <c r="BI60" s="59">
        <f ca="1">AVERAGE(OFFSET($BH$3,0,0,'Données projet'!$E$11+1,1))-AVERAGE(OFFSET($H$3,0,0,'Données projet'!$E$11+1,1))</f>
        <v>442.85175349826028</v>
      </c>
      <c r="BJ60" s="59">
        <f t="shared" si="38"/>
        <v>210.70697808232501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7.4374275303726138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7.4374275303726138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13.14</v>
      </c>
      <c r="N61" s="13">
        <f>IF('Données projet'!$A$36&gt;35,N60+M61-V60,IF(A61&lt;'Données projet'!$A$36,$K$205^A61,IF(A61='Données projet'!$A$36,'Données projet'!$B$36,N60+M61-V60)))</f>
        <v>410.05999999999989</v>
      </c>
      <c r="O61" s="13">
        <f>N61*VLOOKUP('Données projet'!$B$9,Paramètres!$A$1:$I$89,3,0)*VLOOKUP('Données projet'!$B$9,Paramètres!$A$1:$I$89,5,0)</f>
        <v>245.21587999999994</v>
      </c>
      <c r="P61" s="13">
        <f t="shared" si="33"/>
        <v>59.560344378839609</v>
      </c>
      <c r="Q61" s="20">
        <f t="shared" si="53"/>
        <v>530.81859079314563</v>
      </c>
      <c r="R61" s="59">
        <f t="shared" si="0"/>
        <v>824.15192412647889</v>
      </c>
      <c r="S61" s="59">
        <f ca="1">AVERAGE(OFFSET($R$3,0,0,'Données projet'!$E$9+1,1))-AVERAGE(OFFSET($H$3,0,0,'Données projet'!$E$9+1,1))</f>
        <v>300.80663531652721</v>
      </c>
      <c r="T61" s="59">
        <f t="shared" si="34"/>
        <v>306.01967513533549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30.445505803694825</v>
      </c>
      <c r="AA61" s="21">
        <f>EXP(-LN(2)/25)*AA60+(1-EXP(-LN(2)/25))/(LN(2)/25)*Calculateur!V61*Calculateur!X61*VLOOKUP('Données projet'!$B$9,Paramètres!$A$1:$I$89,3,0)*0.475*44/12</f>
        <v>41.38239718562221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71.827902989317039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14.12</v>
      </c>
      <c r="AI61" s="13">
        <f>IF('Données projet'!$A$62&gt;35,AI60+AH61-AQ60,IF(A61&lt;'Données projet'!$A$62,$AF$205^A61,IF(A61='Données projet'!$A$62,'Données projet'!$B$62,AI60+AH61-AQ60)))</f>
        <v>412.70000000000022</v>
      </c>
      <c r="AJ61" s="13">
        <f>AI61*VLOOKUP('Données projet'!$B$10,Paramètres!$A$1:$I$89,3,0)*VLOOKUP('Données projet'!$B$10,Paramètres!$A$1:$I$89,5,0)</f>
        <v>246.79460000000014</v>
      </c>
      <c r="AK61" s="13">
        <f t="shared" si="35"/>
        <v>59.899038030532552</v>
      </c>
      <c r="AL61" s="20">
        <f t="shared" si="4"/>
        <v>534.15808623651117</v>
      </c>
      <c r="AM61" s="59">
        <f t="shared" si="5"/>
        <v>827.49141956984454</v>
      </c>
      <c r="AN61" s="59">
        <f ca="1">AVERAGE(OFFSET($AM$3,0,0,'Données projet'!$E$10+1,1))-AVERAGE(OFFSET($H$3,0,0,'Données projet'!$E$10+1,1))</f>
        <v>349.5718186624772</v>
      </c>
      <c r="AO61" s="59">
        <f t="shared" si="36"/>
        <v>258.14152930815959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16.871620941316174</v>
      </c>
      <c r="AV61" s="21">
        <f>EXP(-LN(2)/25)*AV60+(1-EXP(-LN(2)/25))/(LN(2)/25)*Calculateur!AQ61*Calculateur!AS61*VLOOKUP('Données projet'!$B$10,Paramètres!$A$1:$I$89,3,0)*0.475*44/12</f>
        <v>32.534994741150847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49.40661568246702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158.22159600000012</v>
      </c>
      <c r="BF61" s="13">
        <f t="shared" si="37"/>
        <v>40.441130855838743</v>
      </c>
      <c r="BG61" s="20">
        <f t="shared" si="7"/>
        <v>346.00424927391936</v>
      </c>
      <c r="BH61" s="59">
        <f t="shared" si="8"/>
        <v>639.33758260725267</v>
      </c>
      <c r="BI61" s="59">
        <f ca="1">AVERAGE(OFFSET($BH$3,0,0,'Données projet'!$E$11+1,1))-AVERAGE(OFFSET($H$3,0,0,'Données projet'!$E$11+1,1))</f>
        <v>442.85175349826028</v>
      </c>
      <c r="BJ61" s="59">
        <f t="shared" si="38"/>
        <v>210.70697808232501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0.159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12.589117557985876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12.589117557985876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13.14</v>
      </c>
      <c r="N62" s="13">
        <f>IF('Données projet'!$A$36&gt;35,N61+M62-V61,IF(A62&lt;'Données projet'!$A$36,$K$205^A62,IF(A62='Données projet'!$A$36,'Données projet'!$B$36,N61+M62-V61)))</f>
        <v>423.19999999999987</v>
      </c>
      <c r="O62" s="13">
        <f>N62*VLOOKUP('Données projet'!$B$9,Paramètres!$A$1:$I$89,3,0)*VLOOKUP('Données projet'!$B$9,Paramètres!$A$1:$I$89,5,0)</f>
        <v>253.07359999999994</v>
      </c>
      <c r="P62" s="13">
        <f t="shared" si="33"/>
        <v>61.243637233758619</v>
      </c>
      <c r="Q62" s="20">
        <f t="shared" si="53"/>
        <v>547.43585484879611</v>
      </c>
      <c r="R62" s="59">
        <f t="shared" si="0"/>
        <v>840.76918818212948</v>
      </c>
      <c r="S62" s="59">
        <f ca="1">AVERAGE(OFFSET($R$3,0,0,'Données projet'!$E$9+1,1))-AVERAGE(OFFSET($H$3,0,0,'Données projet'!$E$9+1,1))</f>
        <v>300.80663531652721</v>
      </c>
      <c r="T62" s="59">
        <f t="shared" si="34"/>
        <v>306.01967513533549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29.848488004809283</v>
      </c>
      <c r="AA62" s="21">
        <f>EXP(-LN(2)/25)*AA61+(1-EXP(-LN(2)/25))/(LN(2)/25)*Calculateur!V62*Calculateur!X62*VLOOKUP('Données projet'!$B$9,Paramètres!$A$1:$I$89,3,0)*0.475*44/12</f>
        <v>40.250793358375681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70.099281363184957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14.12</v>
      </c>
      <c r="AI62" s="13">
        <f>IF('Données projet'!$A$62&gt;35,AI61+AH62-AQ61,IF(A62&lt;'Données projet'!$A$62,$AF$205^A62,IF(A62='Données projet'!$A$62,'Données projet'!$B$62,AI61+AH62-AQ61)))</f>
        <v>426.82000000000022</v>
      </c>
      <c r="AJ62" s="13">
        <f>AI62*VLOOKUP('Données projet'!$B$10,Paramètres!$A$1:$I$89,3,0)*VLOOKUP('Données projet'!$B$10,Paramètres!$A$1:$I$89,5,0)</f>
        <v>255.23836000000014</v>
      </c>
      <c r="AK62" s="13">
        <f t="shared" si="35"/>
        <v>61.706299433596136</v>
      </c>
      <c r="AL62" s="20">
        <f t="shared" si="4"/>
        <v>552.0119485135134</v>
      </c>
      <c r="AM62" s="59">
        <f t="shared" si="5"/>
        <v>845.34528184684677</v>
      </c>
      <c r="AN62" s="59">
        <f ca="1">AVERAGE(OFFSET($AM$3,0,0,'Données projet'!$E$10+1,1))-AVERAGE(OFFSET($H$3,0,0,'Données projet'!$E$10+1,1))</f>
        <v>349.5718186624772</v>
      </c>
      <c r="AO62" s="59">
        <f t="shared" si="36"/>
        <v>258.14152930815959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16.540778745329618</v>
      </c>
      <c r="AV62" s="21">
        <f>EXP(-LN(2)/25)*AV61+(1-EXP(-LN(2)/25))/(LN(2)/25)*Calculateur!AQ62*Calculateur!AS62*VLOOKUP('Données projet'!$B$10,Paramètres!$A$1:$I$89,3,0)*0.475*44/12</f>
        <v>31.645323599013064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48.186102344342686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134.28912900000014</v>
      </c>
      <c r="BF62" s="13">
        <f t="shared" si="37"/>
        <v>34.985570974360854</v>
      </c>
      <c r="BG62" s="20">
        <f t="shared" si="7"/>
        <v>294.82010245534542</v>
      </c>
      <c r="BH62" s="59">
        <f t="shared" si="8"/>
        <v>588.15343578867873</v>
      </c>
      <c r="BI62" s="59">
        <f ca="1">AVERAGE(OFFSET($BH$3,0,0,'Données projet'!$E$11+1,1))-AVERAGE(OFFSET($H$3,0,0,'Données projet'!$E$11+1,1))</f>
        <v>442.85175349826028</v>
      </c>
      <c r="BJ62" s="59">
        <f t="shared" si="38"/>
        <v>210.70697808232501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12.342252641277284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12.342252641277284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436.34</v>
      </c>
      <c r="L63" s="12">
        <f>VLOOKUP(A63,'Données projet'!$A$35:$I$55,9,0)</f>
        <v>13.14</v>
      </c>
      <c r="M63" s="12">
        <f t="array" ref="M63">INDEX(L:L,MIN(IF(ISNUMBER(L63:L259),ROW(L63:L259),"")))</f>
        <v>13.14</v>
      </c>
      <c r="N63" s="13">
        <f>IF('Données projet'!$A$36&gt;35,N62+M63-V62,IF(A63&lt;'Données projet'!$A$36,$K$205^A63,IF(A63='Données projet'!$A$36,'Données projet'!$B$36,N62+M63-V62)))</f>
        <v>436.33999999999986</v>
      </c>
      <c r="O63" s="13">
        <f>N63*VLOOKUP('Données projet'!$B$9,Paramètres!$A$1:$I$89,3,0)*VLOOKUP('Données projet'!$B$9,Paramètres!$A$1:$I$89,5,0)</f>
        <v>260.93131999999991</v>
      </c>
      <c r="P63" s="13">
        <f t="shared" si="33"/>
        <v>62.92085641383472</v>
      </c>
      <c r="Q63" s="20">
        <f t="shared" si="53"/>
        <v>564.04254058742856</v>
      </c>
      <c r="R63" s="59">
        <f t="shared" si="0"/>
        <v>857.37587392076193</v>
      </c>
      <c r="S63" s="59">
        <f ca="1">AVERAGE(OFFSET($R$3,0,0,'Données projet'!$E$9+1,1))-AVERAGE(OFFSET($H$3,0,0,'Données projet'!$E$9+1,1))</f>
        <v>300.80663531652721</v>
      </c>
      <c r="T63" s="59">
        <f t="shared" si="34"/>
        <v>306.01967513533549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436.34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138.2979749040349</v>
      </c>
      <c r="AA63" s="21">
        <f>EXP(-LN(2)/25)*AA62+(1-EXP(-LN(2)/25))/(LN(2)/25)*Calculateur!V63*Calculateur!X63*VLOOKUP('Données projet'!$B$9,Paramètres!$A$1:$I$89,3,0)*0.475*44/12</f>
        <v>85.695341582912519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223.99331648694744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14.12</v>
      </c>
      <c r="AH63" s="12">
        <f t="array" ref="AH63">INDEX(AG:AG,MIN(IF(ISNUMBER(AG63:AG259),ROW(AG63:AG259),"")))</f>
        <v>14.12</v>
      </c>
      <c r="AI63" s="13">
        <f>IF('Données projet'!$A$62&gt;35,AI62+AH63-AQ62,IF(A63&lt;'Données projet'!$A$62,$AF$205^A63,IF(A63='Données projet'!$A$62,'Données projet'!$B$62,AI62+AH63-AQ62)))</f>
        <v>440.94000000000023</v>
      </c>
      <c r="AJ63" s="13">
        <f>AI63*VLOOKUP('Données projet'!$B$10,Paramètres!$A$1:$I$89,3,0)*VLOOKUP('Données projet'!$B$10,Paramètres!$A$1:$I$89,5,0)</f>
        <v>263.68212000000017</v>
      </c>
      <c r="AK63" s="13">
        <f t="shared" si="35"/>
        <v>63.506613606650063</v>
      </c>
      <c r="AL63" s="20">
        <f t="shared" si="4"/>
        <v>569.85371103158241</v>
      </c>
      <c r="AM63" s="59">
        <f t="shared" si="5"/>
        <v>863.18704436491566</v>
      </c>
      <c r="AN63" s="59">
        <f ca="1">AVERAGE(OFFSET($AM$3,0,0,'Données projet'!$E$10+1,1))-AVERAGE(OFFSET($H$3,0,0,'Données projet'!$E$10+1,1))</f>
        <v>349.5718186624772</v>
      </c>
      <c r="AO63" s="59">
        <f t="shared" si="36"/>
        <v>258.14152930815959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69.849999999999994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33.670887674022104</v>
      </c>
      <c r="AV63" s="21">
        <f>EXP(-LN(2)/25)*AV62+(1-EXP(-LN(2)/25))/(LN(2)/25)*Calculateur!AQ63*Calculateur!AS63*VLOOKUP('Données projet'!$B$10,Paramètres!$A$1:$I$89,3,0)*0.475*44/12</f>
        <v>38.231011405683404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71.901899079705515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140.49570600000013</v>
      </c>
      <c r="BF63" s="13">
        <f t="shared" si="37"/>
        <v>36.410541408056268</v>
      </c>
      <c r="BG63" s="20">
        <f t="shared" si="7"/>
        <v>308.11171423569823</v>
      </c>
      <c r="BH63" s="59">
        <f t="shared" si="8"/>
        <v>601.44504756903154</v>
      </c>
      <c r="BI63" s="59">
        <f ca="1">AVERAGE(OFFSET($BH$3,0,0,'Données projet'!$E$11+1,1))-AVERAGE(OFFSET($H$3,0,0,'Données projet'!$E$11+1,1))</f>
        <v>442.85175349826028</v>
      </c>
      <c r="BJ63" s="59">
        <f t="shared" si="38"/>
        <v>210.70697808232501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12.100228595012616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12.100228595012616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300.80663531652721</v>
      </c>
      <c r="T64" s="59">
        <f t="shared" si="34"/>
        <v>306.01967513533549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135.58603596960225</v>
      </c>
      <c r="AA64" s="21">
        <f>EXP(-LN(2)/25)*AA63+(1-EXP(-LN(2)/25))/(LN(2)/25)*Calculateur!V64*Calculateur!X64*VLOOKUP('Données projet'!$B$9,Paramètres!$A$1:$I$89,3,0)*0.475*44/12</f>
        <v>83.351997960805619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218.93803393040787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382.98700000000019</v>
      </c>
      <c r="AJ64" s="13">
        <f>AI64*VLOOKUP('Données projet'!$B$10,Paramètres!$A$1:$I$89,3,0)*VLOOKUP('Données projet'!$B$10,Paramètres!$A$1:$I$89,5,0)</f>
        <v>229.02622600000012</v>
      </c>
      <c r="AK64" s="13">
        <f t="shared" si="35"/>
        <v>56.072076861881605</v>
      </c>
      <c r="AL64" s="20">
        <f t="shared" si="4"/>
        <v>496.54621081777736</v>
      </c>
      <c r="AM64" s="59">
        <f t="shared" si="5"/>
        <v>789.87954415111062</v>
      </c>
      <c r="AN64" s="59">
        <f ca="1">AVERAGE(OFFSET($AM$3,0,0,'Données projet'!$E$10+1,1))-AVERAGE(OFFSET($H$3,0,0,'Données projet'!$E$10+1,1))</f>
        <v>349.5718186624772</v>
      </c>
      <c r="AO64" s="59">
        <f t="shared" si="36"/>
        <v>258.14152930815959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33.01062210394813</v>
      </c>
      <c r="AV64" s="21">
        <f>EXP(-LN(2)/25)*AV63+(1-EXP(-LN(2)/25))/(LN(2)/25)*Calculateur!AQ64*Calculateur!AS64*VLOOKUP('Données projet'!$B$10,Paramètres!$A$1:$I$89,3,0)*0.475*44/12</f>
        <v>37.185582388313478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70.196204492261614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146.70228300000014</v>
      </c>
      <c r="BF64" s="13">
        <f t="shared" si="37"/>
        <v>37.828200770728785</v>
      </c>
      <c r="BG64" s="20">
        <f t="shared" si="7"/>
        <v>321.39059256735288</v>
      </c>
      <c r="BH64" s="59">
        <f t="shared" si="8"/>
        <v>614.72392590068625</v>
      </c>
      <c r="BI64" s="59">
        <f ca="1">AVERAGE(OFFSET($BH$3,0,0,'Données projet'!$E$11+1,1))-AVERAGE(OFFSET($H$3,0,0,'Données projet'!$E$11+1,1))</f>
        <v>442.85175349826028</v>
      </c>
      <c r="BJ64" s="59">
        <f t="shared" si="38"/>
        <v>210.70697808232501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11.862950492675107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11.862950492675107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300.80663531652721</v>
      </c>
      <c r="T65" s="59">
        <f t="shared" si="34"/>
        <v>306.01967513533549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132.92727650355442</v>
      </c>
      <c r="AA65" s="21">
        <f>EXP(-LN(2)/25)*AA64+(1-EXP(-LN(2)/25))/(LN(2)/25)*Calculateur!V65*Calculateur!X65*VLOOKUP('Données projet'!$B$9,Paramètres!$A$1:$I$89,3,0)*0.475*44/12</f>
        <v>81.072733193276321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214.00000969683074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394.88400000000019</v>
      </c>
      <c r="AJ65" s="13">
        <f>AI65*VLOOKUP('Données projet'!$B$10,Paramètres!$A$1:$I$89,3,0)*VLOOKUP('Données projet'!$B$10,Paramètres!$A$1:$I$89,5,0)</f>
        <v>236.14063200000015</v>
      </c>
      <c r="AK65" s="13">
        <f t="shared" si="35"/>
        <v>57.608386833134347</v>
      </c>
      <c r="AL65" s="20">
        <f t="shared" si="4"/>
        <v>511.61287446770933</v>
      </c>
      <c r="AM65" s="59">
        <f t="shared" si="5"/>
        <v>804.94620780104265</v>
      </c>
      <c r="AN65" s="59">
        <f ca="1">AVERAGE(OFFSET($AM$3,0,0,'Données projet'!$E$10+1,1))-AVERAGE(OFFSET($H$3,0,0,'Données projet'!$E$10+1,1))</f>
        <v>349.5718186624772</v>
      </c>
      <c r="AO65" s="59">
        <f t="shared" si="36"/>
        <v>258.14152930815959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32.363303938981076</v>
      </c>
      <c r="AV65" s="21">
        <f>EXP(-LN(2)/25)*AV64+(1-EXP(-LN(2)/25))/(LN(2)/25)*Calculateur!AQ65*Calculateur!AS65*VLOOKUP('Données projet'!$B$10,Paramètres!$A$1:$I$89,3,0)*0.475*44/12</f>
        <v>36.168740682400255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68.532044621381331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152.90886000000012</v>
      </c>
      <c r="BF65" s="13">
        <f t="shared" si="37"/>
        <v>39.238893738813772</v>
      </c>
      <c r="BG65" s="20">
        <f t="shared" si="7"/>
        <v>334.65733776176751</v>
      </c>
      <c r="BH65" s="59">
        <f t="shared" si="8"/>
        <v>627.99067109510088</v>
      </c>
      <c r="BI65" s="59">
        <f ca="1">AVERAGE(OFFSET($BH$3,0,0,'Données projet'!$E$11+1,1))-AVERAGE(OFFSET($H$3,0,0,'Données projet'!$E$11+1,1))</f>
        <v>442.85175349826028</v>
      </c>
      <c r="BJ65" s="59">
        <f t="shared" si="38"/>
        <v>210.70697808232501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11.630325269199085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11.630325269199085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300.80663531652721</v>
      </c>
      <c r="T66" s="59">
        <f t="shared" si="34"/>
        <v>306.01967513533549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130.32065368895263</v>
      </c>
      <c r="AA66" s="21">
        <f>EXP(-LN(2)/25)*AA65+(1-EXP(-LN(2)/25))/(LN(2)/25)*Calculateur!V66*Calculateur!X66*VLOOKUP('Données projet'!$B$9,Paramètres!$A$1:$I$89,3,0)*0.475*44/12</f>
        <v>78.855795040676441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209.17644872962907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406.78100000000018</v>
      </c>
      <c r="AJ66" s="13">
        <f>AI66*VLOOKUP('Données projet'!$B$10,Paramètres!$A$1:$I$89,3,0)*VLOOKUP('Données projet'!$B$10,Paramètres!$A$1:$I$89,5,0)</f>
        <v>243.25503800000013</v>
      </c>
      <c r="AK66" s="13">
        <f t="shared" si="35"/>
        <v>59.139317725784991</v>
      </c>
      <c r="AL66" s="20">
        <f t="shared" si="4"/>
        <v>526.6701695557424</v>
      </c>
      <c r="AM66" s="59">
        <f t="shared" si="5"/>
        <v>820.00350288907566</v>
      </c>
      <c r="AN66" s="59">
        <f ca="1">AVERAGE(OFFSET($AM$3,0,0,'Données projet'!$E$10+1,1))-AVERAGE(OFFSET($H$3,0,0,'Données projet'!$E$10+1,1))</f>
        <v>349.5718186624772</v>
      </c>
      <c r="AO66" s="59">
        <f t="shared" si="36"/>
        <v>258.14152930815959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31.728679288403931</v>
      </c>
      <c r="AV66" s="21">
        <f>EXP(-LN(2)/25)*AV65+(1-EXP(-LN(2)/25))/(LN(2)/25)*Calculateur!AQ66*Calculateur!AS66*VLOOKUP('Données projet'!$B$10,Paramètres!$A$1:$I$89,3,0)*0.475*44/12</f>
        <v>35.17970456640861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66.908383854812541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159.11543700000013</v>
      </c>
      <c r="BF66" s="13">
        <f t="shared" si="37"/>
        <v>40.642935424359166</v>
      </c>
      <c r="BG66" s="20">
        <f t="shared" si="7"/>
        <v>347.91249863909246</v>
      </c>
      <c r="BH66" s="59">
        <f t="shared" si="8"/>
        <v>641.24583197242578</v>
      </c>
      <c r="BI66" s="59">
        <f ca="1">AVERAGE(OFFSET($BH$3,0,0,'Données projet'!$E$11+1,1))-AVERAGE(OFFSET($H$3,0,0,'Données projet'!$E$11+1,1))</f>
        <v>442.85175349826028</v>
      </c>
      <c r="BJ66" s="59">
        <f t="shared" si="38"/>
        <v>210.70697808232501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11.402261684468051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11.402261684468051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300.80663531652721</v>
      </c>
      <c r="T67" s="59">
        <f t="shared" si="34"/>
        <v>306.01967513533549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127.76514515786226</v>
      </c>
      <c r="AA67" s="21">
        <f>EXP(-LN(2)/25)*AA66+(1-EXP(-LN(2)/25))/(LN(2)/25)*Calculateur!V67*Calculateur!X67*VLOOKUP('Données projet'!$B$9,Paramètres!$A$1:$I$89,3,0)*0.475*44/12</f>
        <v>76.699479178443113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204.46462433630538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418.67800000000017</v>
      </c>
      <c r="AJ67" s="13">
        <f>AI67*VLOOKUP('Données projet'!$B$10,Paramètres!$A$1:$I$89,3,0)*VLOOKUP('Données projet'!$B$10,Paramètres!$A$1:$I$89,5,0)</f>
        <v>250.36944400000013</v>
      </c>
      <c r="AK67" s="13">
        <f t="shared" si="35"/>
        <v>60.665044924256527</v>
      </c>
      <c r="AL67" s="20">
        <f t="shared" si="4"/>
        <v>541.71840154308029</v>
      </c>
      <c r="AM67" s="59">
        <f t="shared" si="5"/>
        <v>835.05173487641355</v>
      </c>
      <c r="AN67" s="59">
        <f ca="1">AVERAGE(OFFSET($AM$3,0,0,'Données projet'!$E$10+1,1))-AVERAGE(OFFSET($H$3,0,0,'Données projet'!$E$10+1,1))</f>
        <v>349.5718186624772</v>
      </c>
      <c r="AO67" s="59">
        <f t="shared" si="36"/>
        <v>258.14152930815959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31.106499240141787</v>
      </c>
      <c r="AV67" s="21">
        <f>EXP(-LN(2)/25)*AV66+(1-EXP(-LN(2)/25))/(LN(2)/25)*Calculateur!AQ67*Calculateur!AS67*VLOOKUP('Données projet'!$B$10,Paramètres!$A$1:$I$89,3,0)*0.475*44/12</f>
        <v>34.21771369501991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65.324212935161697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165.32201400000011</v>
      </c>
      <c r="BF67" s="13">
        <f t="shared" si="37"/>
        <v>42.040614964501643</v>
      </c>
      <c r="BG67" s="20">
        <f t="shared" si="7"/>
        <v>361.15657877984057</v>
      </c>
      <c r="BH67" s="59">
        <f t="shared" si="8"/>
        <v>654.48991211317389</v>
      </c>
      <c r="BI67" s="59">
        <f ca="1">AVERAGE(OFFSET($BH$3,0,0,'Données projet'!$E$11+1,1))-AVERAGE(OFFSET($H$3,0,0,'Données projet'!$E$11+1,1))</f>
        <v>442.85175349826028</v>
      </c>
      <c r="BJ67" s="59">
        <f t="shared" si="38"/>
        <v>210.70697808232501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11.178670287528542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11.178670287528542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300.80663531652721</v>
      </c>
      <c r="T68" s="59">
        <f t="shared" si="34"/>
        <v>306.01967513533549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125.25974859036027</v>
      </c>
      <c r="AA68" s="21">
        <f>EXP(-LN(2)/25)*AA67+(1-EXP(-LN(2)/25))/(LN(2)/25)*Calculateur!V68*Calculateur!X68*VLOOKUP('Données projet'!$B$9,Paramètres!$A$1:$I$89,3,0)*0.475*44/12</f>
        <v>74.60212788685827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199.86187647721854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430.57500000000016</v>
      </c>
      <c r="AJ68" s="13">
        <f>AI68*VLOOKUP('Données projet'!$B$10,Paramètres!$A$1:$I$89,3,0)*VLOOKUP('Données projet'!$B$10,Paramètres!$A$1:$I$89,5,0)</f>
        <v>257.48385000000013</v>
      </c>
      <c r="AK68" s="13">
        <f t="shared" si="35"/>
        <v>62.185733278690435</v>
      </c>
      <c r="AL68" s="20">
        <f t="shared" ref="AL68:AL131" si="58">(AJ68+AK68)*0.475*44/12</f>
        <v>556.7578575437193</v>
      </c>
      <c r="AM68" s="59">
        <f t="shared" ref="AM68:AM131" si="59">AL68+(AD68+AE68)*44/12</f>
        <v>850.09119087705267</v>
      </c>
      <c r="AN68" s="59">
        <f ca="1">AVERAGE(OFFSET($AM$3,0,0,'Données projet'!$E$10+1,1))-AVERAGE(OFFSET($H$3,0,0,'Données projet'!$E$10+1,1))</f>
        <v>349.5718186624772</v>
      </c>
      <c r="AO68" s="59">
        <f t="shared" si="36"/>
        <v>258.14152930815959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30.496519763133705</v>
      </c>
      <c r="AV68" s="21">
        <f>EXP(-LN(2)/25)*AV67+(1-EXP(-LN(2)/25))/(LN(2)/25)*Calculateur!AQ68*Calculateur!AS68*VLOOKUP('Données projet'!$B$10,Paramètres!$A$1:$I$89,3,0)*0.475*44/12</f>
        <v>33.282028514598231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63.778548277731936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171.52859100000012</v>
      </c>
      <c r="BF68" s="13">
        <f t="shared" si="37"/>
        <v>43.43219855675752</v>
      </c>
      <c r="BG68" s="20">
        <f t="shared" ref="BG68:BG131" si="61">(BE68+BF68)*0.475*44/12</f>
        <v>374.39004181135289</v>
      </c>
      <c r="BH68" s="59">
        <f t="shared" ref="BH68:BH131" si="62">BG68+(AY68+AZ68)*44/12</f>
        <v>667.7233751446862</v>
      </c>
      <c r="BI68" s="59">
        <f ca="1">AVERAGE(OFFSET($BH$3,0,0,'Données projet'!$E$11+1,1))-AVERAGE(OFFSET($H$3,0,0,'Données projet'!$E$11+1,1))</f>
        <v>442.85175349826028</v>
      </c>
      <c r="BJ68" s="59">
        <f t="shared" si="38"/>
        <v>210.70697808232501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10.95946338150573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10.95946338150573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300.80663531652721</v>
      </c>
      <c r="T69" s="59">
        <f t="shared" ref="T69:T132" si="88">$T$3</f>
        <v>306.01967513533549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122.80348132140598</v>
      </c>
      <c r="AA69" s="21">
        <f>EXP(-LN(2)/25)*AA68+(1-EXP(-LN(2)/25))/(LN(2)/25)*Calculateur!V69*Calculateur!X69*VLOOKUP('Données projet'!$B$9,Paramètres!$A$1:$I$89,3,0)*0.475*44/12</f>
        <v>72.562128776636726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195.36561009804271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442.47200000000015</v>
      </c>
      <c r="AJ69" s="13">
        <f>AI69*VLOOKUP('Données projet'!$B$10,Paramètres!$A$1:$I$89,3,0)*VLOOKUP('Données projet'!$B$10,Paramètres!$A$1:$I$89,5,0)</f>
        <v>264.59825600000011</v>
      </c>
      <c r="AK69" s="13">
        <f t="shared" ref="AK69:AK132" si="89">EXP(-1.0587+0.8836*LN(AJ69)+0.284)</f>
        <v>63.701538011039567</v>
      </c>
      <c r="AL69" s="20">
        <f t="shared" si="58"/>
        <v>571.78880790256073</v>
      </c>
      <c r="AM69" s="59">
        <f t="shared" si="59"/>
        <v>865.12214123589411</v>
      </c>
      <c r="AN69" s="59">
        <f ca="1">AVERAGE(OFFSET($AM$3,0,0,'Données projet'!$E$10+1,1))-AVERAGE(OFFSET($H$3,0,0,'Données projet'!$E$10+1,1))</f>
        <v>349.5718186624772</v>
      </c>
      <c r="AO69" s="59">
        <f t="shared" ref="AO69:AO132" si="90">$AO$3</f>
        <v>258.14152930815959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29.898501611619007</v>
      </c>
      <c r="AV69" s="21">
        <f>EXP(-LN(2)/25)*AV68+(1-EXP(-LN(2)/25))/(LN(2)/25)*Calculateur!AQ69*Calculateur!AS69*VLOOKUP('Données projet'!$B$10,Paramètres!$A$1:$I$89,3,0)*0.475*44/12</f>
        <v>32.371929694640727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62.270431306259738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177.7351680000001</v>
      </c>
      <c r="BF69" s="13">
        <f t="shared" ref="BF69:BF132" si="91">EXP(-1.0587+0.8836*LN(BE69)+0.284)</f>
        <v>44.817932042651918</v>
      </c>
      <c r="BG69" s="20">
        <f t="shared" si="61"/>
        <v>387.61331590761893</v>
      </c>
      <c r="BH69" s="59">
        <f t="shared" si="62"/>
        <v>680.94664924095218</v>
      </c>
      <c r="BI69" s="59">
        <f ca="1">AVERAGE(OFFSET($BH$3,0,0,'Données projet'!$E$11+1,1))-AVERAGE(OFFSET($H$3,0,0,'Données projet'!$E$11+1,1))</f>
        <v>442.85175349826028</v>
      </c>
      <c r="BJ69" s="59">
        <f t="shared" ref="BJ69:BJ132" si="92">$BJ$3</f>
        <v>210.70697808232501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0.318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22.513969378033686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22.513969378033686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300.80663531652721</v>
      </c>
      <c r="T70" s="59">
        <f t="shared" si="88"/>
        <v>306.01967513533549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120.39537995542079</v>
      </c>
      <c r="AA70" s="21">
        <f>EXP(-LN(2)/25)*AA69+(1-EXP(-LN(2)/25))/(LN(2)/25)*Calculateur!V70*Calculateur!X70*VLOOKUP('Données projet'!$B$9,Paramètres!$A$1:$I$89,3,0)*0.475*44/12</f>
        <v>70.577913549363089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190.9732935047839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454.36900000000014</v>
      </c>
      <c r="AJ70" s="13">
        <f>AI70*VLOOKUP('Données projet'!$B$10,Paramètres!$A$1:$I$89,3,0)*VLOOKUP('Données projet'!$B$10,Paramètres!$A$1:$I$89,5,0)</f>
        <v>271.71266200000014</v>
      </c>
      <c r="AK70" s="13">
        <f t="shared" si="89"/>
        <v>65.212605520968935</v>
      </c>
      <c r="AL70" s="20">
        <f t="shared" si="58"/>
        <v>586.81150759902118</v>
      </c>
      <c r="AM70" s="59">
        <f t="shared" si="59"/>
        <v>880.14484093235455</v>
      </c>
      <c r="AN70" s="59">
        <f ca="1">AVERAGE(OFFSET($AM$3,0,0,'Données projet'!$E$10+1,1))-AVERAGE(OFFSET($H$3,0,0,'Données projet'!$E$10+1,1))</f>
        <v>349.5718186624772</v>
      </c>
      <c r="AO70" s="59">
        <f t="shared" si="90"/>
        <v>258.14152930815959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29.312210231300458</v>
      </c>
      <c r="AV70" s="21">
        <f>EXP(-LN(2)/25)*AV69+(1-EXP(-LN(2)/25))/(LN(2)/25)*Calculateur!AQ70*Calculateur!AS70*VLOOKUP('Données projet'!$B$10,Paramètres!$A$1:$I$89,3,0)*0.475*44/12</f>
        <v>31.486717574774982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60.79892780607544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150.20302050000009</v>
      </c>
      <c r="BF70" s="13">
        <f t="shared" si="91"/>
        <v>38.624719125506878</v>
      </c>
      <c r="BG70" s="20">
        <f t="shared" si="61"/>
        <v>328.87497984775797</v>
      </c>
      <c r="BH70" s="59">
        <f t="shared" si="62"/>
        <v>622.20831318109128</v>
      </c>
      <c r="BI70" s="59">
        <f ca="1">AVERAGE(OFFSET($BH$3,0,0,'Données projet'!$E$11+1,1))-AVERAGE(OFFSET($H$3,0,0,'Données projet'!$E$11+1,1))</f>
        <v>442.85175349826028</v>
      </c>
      <c r="BJ70" s="59">
        <f t="shared" si="92"/>
        <v>210.70697808232501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22.072484170695827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22.072484170695827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300.80663531652721</v>
      </c>
      <c r="T71" s="59">
        <f t="shared" si="88"/>
        <v>306.01967513533549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118.03449998842576</v>
      </c>
      <c r="AA71" s="21">
        <f>EXP(-LN(2)/25)*AA70+(1-EXP(-LN(2)/25))/(LN(2)/25)*Calculateur!V71*Calculateur!X71*VLOOKUP('Données projet'!$B$9,Paramètres!$A$1:$I$89,3,0)*0.475*44/12</f>
        <v>68.647956791824583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186.68245678025033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466.26600000000013</v>
      </c>
      <c r="AJ71" s="13">
        <f>AI71*VLOOKUP('Données projet'!$B$10,Paramètres!$A$1:$I$89,3,0)*VLOOKUP('Données projet'!$B$10,Paramètres!$A$1:$I$89,5,0)</f>
        <v>278.82706800000011</v>
      </c>
      <c r="AK71" s="13">
        <f t="shared" si="89"/>
        <v>66.719074104976841</v>
      </c>
      <c r="AL71" s="20">
        <f t="shared" si="58"/>
        <v>601.82619749950163</v>
      </c>
      <c r="AM71" s="59">
        <f t="shared" si="59"/>
        <v>895.15953083283489</v>
      </c>
      <c r="AN71" s="59">
        <f ca="1">AVERAGE(OFFSET($AM$3,0,0,'Données projet'!$E$10+1,1))-AVERAGE(OFFSET($H$3,0,0,'Données projet'!$E$10+1,1))</f>
        <v>349.5718186624772</v>
      </c>
      <c r="AO71" s="59">
        <f t="shared" si="90"/>
        <v>258.14152930815959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28.737415667347523</v>
      </c>
      <c r="AV71" s="21">
        <f>EXP(-LN(2)/25)*AV70+(1-EXP(-LN(2)/25))/(LN(2)/25)*Calculateur!AQ71*Calculateur!AS71*VLOOKUP('Données projet'!$B$10,Paramètres!$A$1:$I$89,3,0)*0.475*44/12</f>
        <v>30.625711626878246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59.36312729422577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156.15050100000011</v>
      </c>
      <c r="BF71" s="13">
        <f t="shared" si="91"/>
        <v>39.973023343001209</v>
      </c>
      <c r="BG71" s="20">
        <f t="shared" si="61"/>
        <v>341.58180489739397</v>
      </c>
      <c r="BH71" s="59">
        <f t="shared" si="62"/>
        <v>634.91513823072728</v>
      </c>
      <c r="BI71" s="59">
        <f ca="1">AVERAGE(OFFSET($BH$3,0,0,'Données projet'!$E$11+1,1))-AVERAGE(OFFSET($H$3,0,0,'Données projet'!$E$11+1,1))</f>
        <v>442.85175349826028</v>
      </c>
      <c r="BJ71" s="59">
        <f t="shared" si="92"/>
        <v>210.70697808232501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21.639656218994475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21.639656218994475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300.80663531652721</v>
      </c>
      <c r="T72" s="59">
        <f t="shared" si="88"/>
        <v>306.01967513533549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115.71991543758892</v>
      </c>
      <c r="AA72" s="21">
        <f>EXP(-LN(2)/25)*AA71+(1-EXP(-LN(2)/25))/(LN(2)/25)*Calculateur!V72*Calculateur!X72*VLOOKUP('Données projet'!$B$9,Paramètres!$A$1:$I$89,3,0)*0.475*44/12</f>
        <v>66.770774803312989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182.49069024090193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478.16300000000012</v>
      </c>
      <c r="AJ72" s="13">
        <f>AI72*VLOOKUP('Données projet'!$B$10,Paramètres!$A$1:$I$89,3,0)*VLOOKUP('Données projet'!$B$10,Paramètres!$A$1:$I$89,5,0)</f>
        <v>285.94147400000008</v>
      </c>
      <c r="AK72" s="13">
        <f t="shared" si="89"/>
        <v>68.221074600056156</v>
      </c>
      <c r="AL72" s="20">
        <f t="shared" si="58"/>
        <v>616.83310547843132</v>
      </c>
      <c r="AM72" s="59">
        <f t="shared" si="59"/>
        <v>910.16643881176469</v>
      </c>
      <c r="AN72" s="59">
        <f ca="1">AVERAGE(OFFSET($AM$3,0,0,'Données projet'!$E$10+1,1))-AVERAGE(OFFSET($H$3,0,0,'Données projet'!$E$10+1,1))</f>
        <v>349.5718186624772</v>
      </c>
      <c r="AO72" s="59">
        <f t="shared" si="90"/>
        <v>258.14152930815959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28.17389247420364</v>
      </c>
      <c r="AV72" s="21">
        <f>EXP(-LN(2)/25)*AV71+(1-EXP(-LN(2)/25))/(LN(2)/25)*Calculateur!AQ72*Calculateur!AS72*VLOOKUP('Données projet'!$B$10,Paramètres!$A$1:$I$89,3,0)*0.475*44/12</f>
        <v>29.788249931905082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57.962142406108725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162.09798150000009</v>
      </c>
      <c r="BF72" s="13">
        <f t="shared" si="91"/>
        <v>41.31536161770417</v>
      </c>
      <c r="BG72" s="20">
        <f t="shared" si="61"/>
        <v>354.27823926333485</v>
      </c>
      <c r="BH72" s="59">
        <f t="shared" si="62"/>
        <v>647.61157259666811</v>
      </c>
      <c r="BI72" s="59">
        <f ca="1">AVERAGE(OFFSET($BH$3,0,0,'Données projet'!$E$11+1,1))-AVERAGE(OFFSET($H$3,0,0,'Données projet'!$E$11+1,1))</f>
        <v>442.85175349826028</v>
      </c>
      <c r="BJ72" s="59">
        <f t="shared" si="92"/>
        <v>210.70697808232501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21.215315759427003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21.215315759427003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300.80663531652721</v>
      </c>
      <c r="T73" s="59">
        <f t="shared" si="88"/>
        <v>306.01967513533549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113.4507184780368</v>
      </c>
      <c r="AA73" s="21">
        <f>EXP(-LN(2)/25)*AA72+(1-EXP(-LN(2)/25))/(LN(2)/25)*Calculateur!V73*Calculateur!X73*VLOOKUP('Données projet'!$B$9,Paramètres!$A$1:$I$89,3,0)*0.475*44/12</f>
        <v>64.944924454993952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178.39564293303076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490.06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490.06000000000012</v>
      </c>
      <c r="AJ73" s="13">
        <f>AI73*VLOOKUP('Données projet'!$B$10,Paramètres!$A$1:$I$89,3,0)*VLOOKUP('Données projet'!$B$10,Paramètres!$A$1:$I$89,5,0)</f>
        <v>293.05588000000012</v>
      </c>
      <c r="AK73" s="13">
        <f t="shared" si="89"/>
        <v>69.718730961493122</v>
      </c>
      <c r="AL73" s="20">
        <f t="shared" si="58"/>
        <v>631.83244742460067</v>
      </c>
      <c r="AM73" s="59">
        <f t="shared" si="59"/>
        <v>925.16578075793404</v>
      </c>
      <c r="AN73" s="59">
        <f ca="1">AVERAGE(OFFSET($AM$3,0,0,'Données projet'!$E$10+1,1))-AVERAGE(OFFSET($H$3,0,0,'Données projet'!$E$10+1,1))</f>
        <v>349.5718186624772</v>
      </c>
      <c r="AO73" s="59">
        <f t="shared" si="90"/>
        <v>258.14152930815959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0.13500000000000001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44.583609793623502</v>
      </c>
      <c r="AV73" s="21">
        <f>EXP(-LN(2)/25)*AV72+(1-EXP(-LN(2)/25))/(LN(2)/25)*Calculateur!AQ73*Calculateur!AS73*VLOOKUP('Données projet'!$B$10,Paramètres!$A$1:$I$89,3,0)*0.475*44/12</f>
        <v>36.214575911310391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80.7981857049339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168.0454620000001</v>
      </c>
      <c r="BF73" s="13">
        <f t="shared" si="91"/>
        <v>42.651977913512944</v>
      </c>
      <c r="BG73" s="20">
        <f t="shared" si="61"/>
        <v>366.96470784936855</v>
      </c>
      <c r="BH73" s="59">
        <f t="shared" si="62"/>
        <v>660.29804118270181</v>
      </c>
      <c r="BI73" s="59">
        <f ca="1">AVERAGE(OFFSET($BH$3,0,0,'Données projet'!$E$11+1,1))-AVERAGE(OFFSET($H$3,0,0,'Données projet'!$E$11+1,1))</f>
        <v>442.85175349826028</v>
      </c>
      <c r="BJ73" s="59">
        <f t="shared" si="92"/>
        <v>210.70697808232501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20.799296357449528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20.799296357449528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300.80663531652721</v>
      </c>
      <c r="T74" s="59">
        <f t="shared" si="88"/>
        <v>306.01967513533549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111.22601908678803</v>
      </c>
      <c r="AA74" s="21">
        <f>EXP(-LN(2)/25)*AA73+(1-EXP(-LN(2)/25))/(LN(2)/25)*Calculateur!V74*Calculateur!X74*VLOOKUP('Données projet'!$B$9,Paramètres!$A$1:$I$89,3,0)*0.475*44/12</f>
        <v>63.169002080466996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174.39502116725504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9.782</v>
      </c>
      <c r="AI74" s="13">
        <f>IF('Données projet'!$A$62&gt;35,AI73+AH74-AQ73,IF(A74&lt;'Données projet'!$A$62,$AF$205^A74,IF(A74='Données projet'!$A$62,'Données projet'!$B$62,AI73+AH74-AQ73)))</f>
        <v>431.9620000000001</v>
      </c>
      <c r="AJ74" s="13">
        <f>AI74*VLOOKUP('Données projet'!$B$10,Paramètres!$A$1:$I$89,3,0)*VLOOKUP('Données projet'!$B$10,Paramètres!$A$1:$I$89,5,0)</f>
        <v>258.31327600000009</v>
      </c>
      <c r="AK74" s="13">
        <f t="shared" si="89"/>
        <v>62.362700481716175</v>
      </c>
      <c r="AL74" s="20">
        <f t="shared" si="58"/>
        <v>558.51065903898916</v>
      </c>
      <c r="AM74" s="59">
        <f t="shared" si="59"/>
        <v>851.84399237232242</v>
      </c>
      <c r="AN74" s="59">
        <f ca="1">AVERAGE(OFFSET($AM$3,0,0,'Données projet'!$E$10+1,1))-AVERAGE(OFFSET($H$3,0,0,'Données projet'!$E$10+1,1))</f>
        <v>349.5718186624772</v>
      </c>
      <c r="AO74" s="59">
        <f t="shared" si="90"/>
        <v>258.14152930815959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43.709352398887404</v>
      </c>
      <c r="AV74" s="21">
        <f>EXP(-LN(2)/25)*AV73+(1-EXP(-LN(2)/25))/(LN(2)/25)*Calculateur!AQ74*Calculateur!AS74*VLOOKUP('Données projet'!$B$10,Paramètres!$A$1:$I$89,3,0)*0.475*44/12</f>
        <v>35.224286428573834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78.933638827461237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173.99294250000008</v>
      </c>
      <c r="BF74" s="13">
        <f t="shared" si="91"/>
        <v>43.983097946475816</v>
      </c>
      <c r="BG74" s="20">
        <f t="shared" si="61"/>
        <v>379.64160377761226</v>
      </c>
      <c r="BH74" s="59">
        <f t="shared" si="62"/>
        <v>672.97493711094558</v>
      </c>
      <c r="BI74" s="59">
        <f ca="1">AVERAGE(OFFSET($BH$3,0,0,'Données projet'!$E$11+1,1))-AVERAGE(OFFSET($H$3,0,0,'Données projet'!$E$11+1,1))</f>
        <v>442.85175349826028</v>
      </c>
      <c r="BJ74" s="59">
        <f t="shared" si="92"/>
        <v>210.70697808232501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20.391434842198052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20.391434842198052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300.80663531652721</v>
      </c>
      <c r="T75" s="59">
        <f t="shared" si="88"/>
        <v>306.01967513533549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109.044944693669</v>
      </c>
      <c r="AA75" s="21">
        <f>EXP(-LN(2)/25)*AA74+(1-EXP(-LN(2)/25))/(LN(2)/25)*Calculateur!V75*Calculateur!X75*VLOOKUP('Données projet'!$B$9,Paramètres!$A$1:$I$89,3,0)*0.475*44/12</f>
        <v>61.441642396663184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170.48658709033219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9.782</v>
      </c>
      <c r="AI75" s="13">
        <f>IF('Données projet'!$A$62&gt;35,AI74+AH75-AQ74,IF(A75&lt;'Données projet'!$A$62,$AF$205^A75,IF(A75='Données projet'!$A$62,'Données projet'!$B$62,AI74+AH75-AQ74)))</f>
        <v>441.74400000000009</v>
      </c>
      <c r="AJ75" s="13">
        <f>AI75*VLOOKUP('Données projet'!$B$10,Paramètres!$A$1:$I$89,3,0)*VLOOKUP('Données projet'!$B$10,Paramètres!$A$1:$I$89,5,0)</f>
        <v>264.16291200000006</v>
      </c>
      <c r="AK75" s="13">
        <f t="shared" si="89"/>
        <v>63.608920560680907</v>
      </c>
      <c r="AL75" s="20">
        <f t="shared" si="58"/>
        <v>570.86927504318601</v>
      </c>
      <c r="AM75" s="59">
        <f t="shared" si="59"/>
        <v>864.20260837651927</v>
      </c>
      <c r="AN75" s="59">
        <f ca="1">AVERAGE(OFFSET($AM$3,0,0,'Données projet'!$E$10+1,1))-AVERAGE(OFFSET($H$3,0,0,'Données projet'!$E$10+1,1))</f>
        <v>349.5718186624772</v>
      </c>
      <c r="AO75" s="59">
        <f t="shared" si="90"/>
        <v>258.14152930815959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42.852238658417718</v>
      </c>
      <c r="AV75" s="21">
        <f>EXP(-LN(2)/25)*AV74+(1-EXP(-LN(2)/25))/(LN(2)/25)*Calculateur!AQ75*Calculateur!AS75*VLOOKUP('Données projet'!$B$10,Paramètres!$A$1:$I$89,3,0)*0.475*44/12</f>
        <v>34.261076463819762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77.113315122237481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179.9404230000001</v>
      </c>
      <c r="BF75" s="13">
        <f t="shared" si="91"/>
        <v>45.308931126343715</v>
      </c>
      <c r="BG75" s="20">
        <f t="shared" si="61"/>
        <v>392.30929177004873</v>
      </c>
      <c r="BH75" s="59">
        <f t="shared" si="62"/>
        <v>685.64262510338199</v>
      </c>
      <c r="BI75" s="59">
        <f ca="1">AVERAGE(OFFSET($BH$3,0,0,'Données projet'!$E$11+1,1))-AVERAGE(OFFSET($H$3,0,0,'Données projet'!$E$11+1,1))</f>
        <v>442.85175349826028</v>
      </c>
      <c r="BJ75" s="59">
        <f t="shared" si="92"/>
        <v>210.70697808232501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19.991571242489695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19.991571242489695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300.80663531652721</v>
      </c>
      <c r="T76" s="59">
        <f t="shared" si="88"/>
        <v>306.01967513533549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106.90663983907501</v>
      </c>
      <c r="AA76" s="21">
        <f>EXP(-LN(2)/25)*AA75+(1-EXP(-LN(2)/25))/(LN(2)/25)*Calculateur!V76*Calculateur!X76*VLOOKUP('Données projet'!$B$9,Paramètres!$A$1:$I$89,3,0)*0.475*44/12</f>
        <v>59.761517454250885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166.66815729332589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9.782</v>
      </c>
      <c r="AI76" s="13">
        <f>IF('Données projet'!$A$62&gt;35,AI75+AH76-AQ75,IF(A76&lt;'Données projet'!$A$62,$AF$205^A76,IF(A76='Données projet'!$A$62,'Données projet'!$B$62,AI75+AH76-AQ75)))</f>
        <v>451.52600000000007</v>
      </c>
      <c r="AJ76" s="13">
        <f>AI76*VLOOKUP('Données projet'!$B$10,Paramètres!$A$1:$I$89,3,0)*VLOOKUP('Données projet'!$B$10,Paramètres!$A$1:$I$89,5,0)</f>
        <v>270.01254800000004</v>
      </c>
      <c r="AK76" s="13">
        <f t="shared" si="89"/>
        <v>64.851932282926271</v>
      </c>
      <c r="AL76" s="20">
        <f t="shared" si="58"/>
        <v>583.22230315943</v>
      </c>
      <c r="AM76" s="59">
        <f t="shared" si="59"/>
        <v>876.55563649276337</v>
      </c>
      <c r="AN76" s="59">
        <f ca="1">AVERAGE(OFFSET($AM$3,0,0,'Données projet'!$E$10+1,1))-AVERAGE(OFFSET($H$3,0,0,'Données projet'!$E$10+1,1))</f>
        <v>349.5718186624772</v>
      </c>
      <c r="AO76" s="59">
        <f t="shared" si="90"/>
        <v>258.14152930815959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42.011932395610884</v>
      </c>
      <c r="AV76" s="21">
        <f>EXP(-LN(2)/25)*AV75+(1-EXP(-LN(2)/25))/(LN(2)/25)*Calculateur!AQ76*Calculateur!AS76*VLOOKUP('Données projet'!$B$10,Paramètres!$A$1:$I$89,3,0)*0.475*44/12</f>
        <v>33.324205526204906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75.336137921815791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185.88790350000008</v>
      </c>
      <c r="BF76" s="13">
        <f t="shared" si="91"/>
        <v>46.62967223421829</v>
      </c>
      <c r="BG76" s="20">
        <f t="shared" si="61"/>
        <v>404.96811107043033</v>
      </c>
      <c r="BH76" s="59">
        <f t="shared" si="62"/>
        <v>698.30144440376364</v>
      </c>
      <c r="BI76" s="59">
        <f ca="1">AVERAGE(OFFSET($BH$3,0,0,'Données projet'!$E$11+1,1))-AVERAGE(OFFSET($H$3,0,0,'Données projet'!$E$11+1,1))</f>
        <v>442.85175349826028</v>
      </c>
      <c r="BJ76" s="59">
        <f t="shared" si="92"/>
        <v>210.70697808232501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19.599548724078907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19.599548724078907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300.80663531652721</v>
      </c>
      <c r="T77" s="59">
        <f t="shared" si="88"/>
        <v>306.01967513533549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104.81026583844243</v>
      </c>
      <c r="AA77" s="21">
        <f>EXP(-LN(2)/25)*AA76+(1-EXP(-LN(2)/25))/(LN(2)/25)*Calculateur!V77*Calculateur!X77*VLOOKUP('Données projet'!$B$9,Paramètres!$A$1:$I$89,3,0)*0.475*44/12</f>
        <v>58.127335616742776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162.93760145518522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9.782</v>
      </c>
      <c r="AI77" s="13">
        <f>IF('Données projet'!$A$62&gt;35,AI76+AH77-AQ76,IF(A77&lt;'Données projet'!$A$62,$AF$205^A77,IF(A77='Données projet'!$A$62,'Données projet'!$B$62,AI76+AH77-AQ76)))</f>
        <v>461.30800000000005</v>
      </c>
      <c r="AJ77" s="13">
        <f>AI77*VLOOKUP('Données projet'!$B$10,Paramètres!$A$1:$I$89,3,0)*VLOOKUP('Données projet'!$B$10,Paramètres!$A$1:$I$89,5,0)</f>
        <v>275.86218400000007</v>
      </c>
      <c r="AK77" s="13">
        <f t="shared" si="89"/>
        <v>66.091813160377626</v>
      </c>
      <c r="AL77" s="20">
        <f t="shared" si="58"/>
        <v>595.5698783876577</v>
      </c>
      <c r="AM77" s="59">
        <f t="shared" si="59"/>
        <v>888.90321172099107</v>
      </c>
      <c r="AN77" s="59">
        <f ca="1">AVERAGE(OFFSET($AM$3,0,0,'Données projet'!$E$10+1,1))-AVERAGE(OFFSET($H$3,0,0,'Données projet'!$E$10+1,1))</f>
        <v>349.5718186624772</v>
      </c>
      <c r="AO77" s="59">
        <f t="shared" si="90"/>
        <v>258.14152930815959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41.188104026081483</v>
      </c>
      <c r="AV77" s="21">
        <f>EXP(-LN(2)/25)*AV76+(1-EXP(-LN(2)/25))/(LN(2)/25)*Calculateur!AQ77*Calculateur!AS77*VLOOKUP('Données projet'!$B$10,Paramètres!$A$1:$I$89,3,0)*0.475*44/12</f>
        <v>32.412953373647028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73.601057399728518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191.83538400000006</v>
      </c>
      <c r="BF77" s="13">
        <f t="shared" si="91"/>
        <v>47.945502879463582</v>
      </c>
      <c r="BG77" s="20">
        <f t="shared" si="61"/>
        <v>417.61837798173246</v>
      </c>
      <c r="BH77" s="59">
        <f t="shared" si="62"/>
        <v>710.95171131506572</v>
      </c>
      <c r="BI77" s="59">
        <f ca="1">AVERAGE(OFFSET($BH$3,0,0,'Données projet'!$E$11+1,1))-AVERAGE(OFFSET($H$3,0,0,'Données projet'!$E$11+1,1))</f>
        <v>442.85175349826028</v>
      </c>
      <c r="BJ77" s="59">
        <f t="shared" si="92"/>
        <v>210.70697808232501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0.318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30.392737912643813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30.392737912643813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300.80663531652721</v>
      </c>
      <c r="T78" s="59">
        <f t="shared" si="88"/>
        <v>306.01967513533549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102.75500045330038</v>
      </c>
      <c r="AA78" s="21">
        <f>EXP(-LN(2)/25)*AA77+(1-EXP(-LN(2)/25))/(LN(2)/25)*Calculateur!V78*Calculateur!X78*VLOOKUP('Données projet'!$B$9,Paramètres!$A$1:$I$89,3,0)*0.475*44/12</f>
        <v>56.537840567519218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159.29284102081959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9.782</v>
      </c>
      <c r="AI78" s="13">
        <f>IF('Données projet'!$A$62&gt;35,AI77+AH78-AQ77,IF(A78&lt;'Données projet'!$A$62,$AF$205^A78,IF(A78='Données projet'!$A$62,'Données projet'!$B$62,AI77+AH78-AQ77)))</f>
        <v>471.09000000000003</v>
      </c>
      <c r="AJ78" s="13">
        <f>AI78*VLOOKUP('Données projet'!$B$10,Paramètres!$A$1:$I$89,3,0)*VLOOKUP('Données projet'!$B$10,Paramètres!$A$1:$I$89,5,0)</f>
        <v>281.71182000000005</v>
      </c>
      <c r="AK78" s="13">
        <f t="shared" si="89"/>
        <v>67.328637229880215</v>
      </c>
      <c r="AL78" s="20">
        <f t="shared" si="58"/>
        <v>607.91212967537479</v>
      </c>
      <c r="AM78" s="59">
        <f t="shared" si="59"/>
        <v>901.24546300870816</v>
      </c>
      <c r="AN78" s="59">
        <f ca="1">AVERAGE(OFFSET($AM$3,0,0,'Données projet'!$E$10+1,1))-AVERAGE(OFFSET($H$3,0,0,'Données projet'!$E$10+1,1))</f>
        <v>349.5718186624772</v>
      </c>
      <c r="AO78" s="59">
        <f t="shared" si="90"/>
        <v>258.14152930815959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40.380430428392863</v>
      </c>
      <c r="AV78" s="21">
        <f>EXP(-LN(2)/25)*AV77+(1-EXP(-LN(2)/25))/(LN(2)/25)*Calculateur!AQ78*Calculateur!AS78*VLOOKUP('Données projet'!$B$10,Paramètres!$A$1:$I$89,3,0)*0.475*44/12</f>
        <v>31.526619459121513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71.907049887514376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165.85999560000008</v>
      </c>
      <c r="BF78" s="13">
        <f t="shared" si="91"/>
        <v>42.161474060754607</v>
      </c>
      <c r="BG78" s="20">
        <f t="shared" si="61"/>
        <v>362.3040596591477</v>
      </c>
      <c r="BH78" s="59">
        <f t="shared" si="62"/>
        <v>655.63739299248095</v>
      </c>
      <c r="BI78" s="59">
        <f ca="1">AVERAGE(OFFSET($BH$3,0,0,'Données projet'!$E$11+1,1))-AVERAGE(OFFSET($H$3,0,0,'Données projet'!$E$11+1,1))</f>
        <v>442.85175349826028</v>
      </c>
      <c r="BJ78" s="59">
        <f t="shared" si="92"/>
        <v>210.70697808232501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29.796754859916547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29.796754859916547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300.80663531652721</v>
      </c>
      <c r="T79" s="59">
        <f t="shared" si="88"/>
        <v>306.01967513533549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100.74003756877286</v>
      </c>
      <c r="AA79" s="21">
        <f>EXP(-LN(2)/25)*AA78+(1-EXP(-LN(2)/25))/(LN(2)/25)*Calculateur!V79*Calculateur!X79*VLOOKUP('Données projet'!$B$9,Paramètres!$A$1:$I$89,3,0)*0.475*44/12</f>
        <v>54.991810344004591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155.73184791277745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9.782</v>
      </c>
      <c r="AI79" s="13">
        <f>IF('Données projet'!$A$62&gt;35,AI78+AH79-AQ78,IF(A79&lt;'Données projet'!$A$62,$AF$205^A79,IF(A79='Données projet'!$A$62,'Données projet'!$B$62,AI78+AH79-AQ78)))</f>
        <v>480.87200000000001</v>
      </c>
      <c r="AJ79" s="13">
        <f>AI79*VLOOKUP('Données projet'!$B$10,Paramètres!$A$1:$I$89,3,0)*VLOOKUP('Données projet'!$B$10,Paramètres!$A$1:$I$89,5,0)</f>
        <v>287.56145600000002</v>
      </c>
      <c r="AK79" s="13">
        <f t="shared" si="89"/>
        <v>68.562475277867222</v>
      </c>
      <c r="AL79" s="20">
        <f t="shared" si="58"/>
        <v>620.24918030895208</v>
      </c>
      <c r="AM79" s="59">
        <f t="shared" si="59"/>
        <v>913.58251364228545</v>
      </c>
      <c r="AN79" s="59">
        <f ca="1">AVERAGE(OFFSET($AM$3,0,0,'Données projet'!$E$10+1,1))-AVERAGE(OFFSET($H$3,0,0,'Données projet'!$E$10+1,1))</f>
        <v>349.5718186624772</v>
      </c>
      <c r="AO79" s="59">
        <f t="shared" si="90"/>
        <v>258.14152930815959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39.588594817322665</v>
      </c>
      <c r="AV79" s="21">
        <f>EXP(-LN(2)/25)*AV78+(1-EXP(-LN(2)/25))/(LN(2)/25)*Calculateur!AQ79*Calculateur!AS79*VLOOKUP('Données projet'!$B$10,Paramètres!$A$1:$I$89,3,0)*0.475*44/12</f>
        <v>30.664522392098974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70.253117209421646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171.68052720000006</v>
      </c>
      <c r="BF79" s="13">
        <f t="shared" si="91"/>
        <v>43.46619002149712</v>
      </c>
      <c r="BG79" s="20">
        <f t="shared" si="61"/>
        <v>374.71386582744088</v>
      </c>
      <c r="BH79" s="59">
        <f t="shared" si="62"/>
        <v>668.0471991607742</v>
      </c>
      <c r="BI79" s="59">
        <f ca="1">AVERAGE(OFFSET($BH$3,0,0,'Données projet'!$E$11+1,1))-AVERAGE(OFFSET($H$3,0,0,'Données projet'!$E$11+1,1))</f>
        <v>442.85175349826028</v>
      </c>
      <c r="BJ79" s="59">
        <f t="shared" si="92"/>
        <v>210.70697808232501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29.21245867133949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29.21245867133949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300.80663531652721</v>
      </c>
      <c r="T80" s="59">
        <f t="shared" si="88"/>
        <v>306.01967513533549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98.764586877404923</v>
      </c>
      <c r="AA80" s="21">
        <f>EXP(-LN(2)/25)*AA79+(1-EXP(-LN(2)/25))/(LN(2)/25)*Calculateur!V80*Calculateur!X80*VLOOKUP('Données projet'!$B$9,Paramètres!$A$1:$I$89,3,0)*0.475*44/12</f>
        <v>53.488056398254166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152.2526432756591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9.782</v>
      </c>
      <c r="AI80" s="13">
        <f>IF('Données projet'!$A$62&gt;35,AI79+AH80-AQ79,IF(A80&lt;'Données projet'!$A$62,$AF$205^A80,IF(A80='Données projet'!$A$62,'Données projet'!$B$62,AI79+AH80-AQ79)))</f>
        <v>490.654</v>
      </c>
      <c r="AJ80" s="13">
        <f>AI80*VLOOKUP('Données projet'!$B$10,Paramètres!$A$1:$I$89,3,0)*VLOOKUP('Données projet'!$B$10,Paramètres!$A$1:$I$89,5,0)</f>
        <v>293.411092</v>
      </c>
      <c r="AK80" s="13">
        <f t="shared" si="89"/>
        <v>69.79339504623151</v>
      </c>
      <c r="AL80" s="20">
        <f t="shared" si="58"/>
        <v>632.58114827218651</v>
      </c>
      <c r="AM80" s="59">
        <f t="shared" si="59"/>
        <v>925.91448160551977</v>
      </c>
      <c r="AN80" s="59">
        <f ca="1">AVERAGE(OFFSET($AM$3,0,0,'Données projet'!$E$10+1,1))-AVERAGE(OFFSET($H$3,0,0,'Données projet'!$E$10+1,1))</f>
        <v>349.5718186624772</v>
      </c>
      <c r="AO80" s="59">
        <f t="shared" si="90"/>
        <v>258.14152930815959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38.812286619613523</v>
      </c>
      <c r="AV80" s="21">
        <f>EXP(-LN(2)/25)*AV79+(1-EXP(-LN(2)/25))/(LN(2)/25)*Calculateur!AQ80*Calculateur!AS80*VLOOKUP('Données projet'!$B$10,Paramètres!$A$1:$I$89,3,0)*0.475*44/12</f>
        <v>29.82599941470988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68.6382860343234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177.50105880000007</v>
      </c>
      <c r="BF80" s="13">
        <f t="shared" si="91"/>
        <v>44.765766234384074</v>
      </c>
      <c r="BG80" s="20">
        <f t="shared" si="61"/>
        <v>387.11472026821906</v>
      </c>
      <c r="BH80" s="59">
        <f t="shared" si="62"/>
        <v>680.44805360155237</v>
      </c>
      <c r="BI80" s="59">
        <f ca="1">AVERAGE(OFFSET($BH$3,0,0,'Données projet'!$E$11+1,1))-AVERAGE(OFFSET($H$3,0,0,'Données projet'!$E$11+1,1))</f>
        <v>442.85175349826028</v>
      </c>
      <c r="BJ80" s="59">
        <f t="shared" si="92"/>
        <v>210.70697808232501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28.639620174634945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28.639620174634945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300.80663531652721</v>
      </c>
      <c r="T81" s="59">
        <f t="shared" si="88"/>
        <v>306.01967513533549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96.827873569188753</v>
      </c>
      <c r="AA81" s="21">
        <f>EXP(-LN(2)/25)*AA80+(1-EXP(-LN(2)/25))/(LN(2)/25)*Calculateur!V81*Calculateur!X81*VLOOKUP('Données projet'!$B$9,Paramètres!$A$1:$I$89,3,0)*0.475*44/12</f>
        <v>52.025422683229266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148.85329625241803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9.782</v>
      </c>
      <c r="AI81" s="13">
        <f>IF('Données projet'!$A$62&gt;35,AI80+AH81-AQ80,IF(A81&lt;'Données projet'!$A$62,$AF$205^A81,IF(A81='Données projet'!$A$62,'Données projet'!$B$62,AI80+AH81-AQ80)))</f>
        <v>500.43599999999998</v>
      </c>
      <c r="AJ81" s="13">
        <f>AI81*VLOOKUP('Données projet'!$B$10,Paramètres!$A$1:$I$89,3,0)*VLOOKUP('Données projet'!$B$10,Paramètres!$A$1:$I$89,5,0)</f>
        <v>299.26072800000003</v>
      </c>
      <c r="AK81" s="13">
        <f t="shared" si="89"/>
        <v>71.021461421315166</v>
      </c>
      <c r="AL81" s="20">
        <f t="shared" si="58"/>
        <v>644.90814657545729</v>
      </c>
      <c r="AM81" s="59">
        <f t="shared" si="59"/>
        <v>938.24147990879055</v>
      </c>
      <c r="AN81" s="59">
        <f ca="1">AVERAGE(OFFSET($AM$3,0,0,'Données projet'!$E$10+1,1))-AVERAGE(OFFSET($H$3,0,0,'Données projet'!$E$10+1,1))</f>
        <v>349.5718186624772</v>
      </c>
      <c r="AO81" s="59">
        <f t="shared" si="90"/>
        <v>258.14152930815959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38.051201352160213</v>
      </c>
      <c r="AV81" s="21">
        <f>EXP(-LN(2)/25)*AV80+(1-EXP(-LN(2)/25))/(LN(2)/25)*Calculateur!AQ81*Calculateur!AS81*VLOOKUP('Données projet'!$B$10,Paramètres!$A$1:$I$89,3,0)*0.475*44/12</f>
        <v>29.010405892233496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67.061607244393713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183.3215904000001</v>
      </c>
      <c r="BF81" s="13">
        <f t="shared" si="91"/>
        <v>46.060390567430886</v>
      </c>
      <c r="BG81" s="20">
        <f t="shared" si="61"/>
        <v>399.5069501849423</v>
      </c>
      <c r="BH81" s="59">
        <f t="shared" si="62"/>
        <v>692.84028351827556</v>
      </c>
      <c r="BI81" s="59">
        <f ca="1">AVERAGE(OFFSET($BH$3,0,0,'Données projet'!$E$11+1,1))-AVERAGE(OFFSET($H$3,0,0,'Données projet'!$E$11+1,1))</f>
        <v>442.85175349826028</v>
      </c>
      <c r="BJ81" s="59">
        <f t="shared" si="92"/>
        <v>210.70697808232501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28.078014691453795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28.078014691453795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300.80663531652721</v>
      </c>
      <c r="T82" s="59">
        <f t="shared" si="88"/>
        <v>306.01967513533549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94.92913802766823</v>
      </c>
      <c r="AA82" s="21">
        <f>EXP(-LN(2)/25)*AA81+(1-EXP(-LN(2)/25))/(LN(2)/25)*Calculateur!V82*Calculateur!X82*VLOOKUP('Données projet'!$B$9,Paramètres!$A$1:$I$89,3,0)*0.475*44/12</f>
        <v>50.602784764058292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145.53192279172652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9.782</v>
      </c>
      <c r="AI82" s="13">
        <f>IF('Données projet'!$A$62&gt;35,AI81+AH82-AQ81,IF(A82&lt;'Données projet'!$A$62,$AF$205^A82,IF(A82='Données projet'!$A$62,'Données projet'!$B$62,AI81+AH82-AQ81)))</f>
        <v>510.21799999999996</v>
      </c>
      <c r="AJ82" s="13">
        <f>AI82*VLOOKUP('Données projet'!$B$10,Paramètres!$A$1:$I$89,3,0)*VLOOKUP('Données projet'!$B$10,Paramètres!$A$1:$I$89,5,0)</f>
        <v>305.110364</v>
      </c>
      <c r="AK82" s="13">
        <f t="shared" si="89"/>
        <v>72.246736607705117</v>
      </c>
      <c r="AL82" s="20">
        <f t="shared" si="58"/>
        <v>657.23028355841973</v>
      </c>
      <c r="AM82" s="59">
        <f t="shared" si="59"/>
        <v>950.5636168917531</v>
      </c>
      <c r="AN82" s="59">
        <f ca="1">AVERAGE(OFFSET($AM$3,0,0,'Données projet'!$E$10+1,1))-AVERAGE(OFFSET($H$3,0,0,'Données projet'!$E$10+1,1))</f>
        <v>349.5718186624772</v>
      </c>
      <c r="AO82" s="59">
        <f t="shared" si="90"/>
        <v>258.14152930815959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37.305040502585484</v>
      </c>
      <c r="AV82" s="21">
        <f>EXP(-LN(2)/25)*AV81+(1-EXP(-LN(2)/25))/(LN(2)/25)*Calculateur!AQ82*Calculateur!AS82*VLOOKUP('Données projet'!$B$10,Paramètres!$A$1:$I$89,3,0)*0.475*44/12</f>
        <v>28.21711481751943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65.522155320104915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189.14212200000009</v>
      </c>
      <c r="BF82" s="13">
        <f t="shared" si="91"/>
        <v>47.350238281444589</v>
      </c>
      <c r="BG82" s="20">
        <f t="shared" si="61"/>
        <v>411.89086082351611</v>
      </c>
      <c r="BH82" s="59">
        <f t="shared" si="62"/>
        <v>705.22419415684942</v>
      </c>
      <c r="BI82" s="59">
        <f ca="1">AVERAGE(OFFSET($BH$3,0,0,'Données projet'!$E$11+1,1))-AVERAGE(OFFSET($H$3,0,0,'Données projet'!$E$11+1,1))</f>
        <v>442.85175349826028</v>
      </c>
      <c r="BJ82" s="59">
        <f t="shared" si="92"/>
        <v>210.70697808232501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27.527421949252307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27.527421949252307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300.80663531652721</v>
      </c>
      <c r="T83" s="59">
        <f t="shared" si="88"/>
        <v>306.01967513533549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93.067635532002598</v>
      </c>
      <c r="AA83" s="21">
        <f>EXP(-LN(2)/25)*AA82+(1-EXP(-LN(2)/25))/(LN(2)/25)*Calculateur!V83*Calculateur!X83*VLOOKUP('Données projet'!$B$9,Paramètres!$A$1:$I$89,3,0)*0.475*44/12</f>
        <v>49.219048953600321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142.2866844856029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</v>
      </c>
      <c r="AG83" s="12">
        <f>VLOOKUP(A83,'Données projet'!$A$61:$I$81,9,0)</f>
        <v>9.782</v>
      </c>
      <c r="AH83" s="12">
        <f t="array" ref="AH83">INDEX(AG:AG,MIN(IF(ISNUMBER(AG83:AG279),ROW(AG83:AG279),"")))</f>
        <v>9.782</v>
      </c>
      <c r="AI83" s="13">
        <f>IF('Données projet'!$A$62&gt;35,AI82+AH83-AQ82,IF(A83&lt;'Données projet'!$A$62,$AF$205^A83,IF(A83='Données projet'!$A$62,'Données projet'!$B$62,AI82+AH83-AQ82)))</f>
        <v>520</v>
      </c>
      <c r="AJ83" s="13">
        <f>AI83*VLOOKUP('Données projet'!$B$10,Paramètres!$A$1:$I$89,3,0)*VLOOKUP('Données projet'!$B$10,Paramètres!$A$1:$I$89,5,0)</f>
        <v>310.96000000000004</v>
      </c>
      <c r="AK83" s="13">
        <f t="shared" si="89"/>
        <v>73.469280288324128</v>
      </c>
      <c r="AL83" s="20">
        <f t="shared" si="58"/>
        <v>669.54766316883126</v>
      </c>
      <c r="AM83" s="59">
        <f t="shared" si="59"/>
        <v>962.88099650216463</v>
      </c>
      <c r="AN83" s="59">
        <f ca="1">AVERAGE(OFFSET($AM$3,0,0,'Données projet'!$E$10+1,1))-AVERAGE(OFFSET($H$3,0,0,'Données projet'!$E$10+1,1))</f>
        <v>349.5718186624772</v>
      </c>
      <c r="AO83" s="59">
        <f t="shared" si="90"/>
        <v>258.14152930815959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0.13500000000000001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166.51368357715378</v>
      </c>
      <c r="AV83" s="21">
        <f>EXP(-LN(2)/25)*AV82+(1-EXP(-LN(2)/25))/(LN(2)/25)*Calculateur!AQ83*Calculateur!AS83*VLOOKUP('Données projet'!$B$10,Paramètres!$A$1:$I$89,3,0)*0.475*44/12</f>
        <v>82.914894127287326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249.42857770444112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194.96265360000012</v>
      </c>
      <c r="BF83" s="13">
        <f t="shared" si="91"/>
        <v>48.635473237693247</v>
      </c>
      <c r="BG83" s="20">
        <f t="shared" si="61"/>
        <v>424.2667375756493</v>
      </c>
      <c r="BH83" s="59">
        <f t="shared" si="62"/>
        <v>717.60007090898262</v>
      </c>
      <c r="BI83" s="59">
        <f ca="1">AVERAGE(OFFSET($BH$3,0,0,'Données projet'!$E$11+1,1))-AVERAGE(OFFSET($H$3,0,0,'Données projet'!$E$11+1,1))</f>
        <v>442.85175349826028</v>
      </c>
      <c r="BJ83" s="59">
        <f t="shared" si="92"/>
        <v>210.70697808232501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26.987625994896977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26.987625994896977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300.80663531652721</v>
      </c>
      <c r="T84" s="59">
        <f t="shared" si="88"/>
        <v>306.01967513533549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91.242635964872562</v>
      </c>
      <c r="AA84" s="21">
        <f>EXP(-LN(2)/25)*AA83+(1-EXP(-LN(2)/25))/(LN(2)/25)*Calculateur!V84*Calculateur!X84*VLOOKUP('Données projet'!$B$9,Paramètres!$A$1:$I$89,3,0)*0.475*44/12</f>
        <v>47.873151471646828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139.11578743651938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349.5718186624772</v>
      </c>
      <c r="AO84" s="59">
        <f t="shared" si="90"/>
        <v>258.14152930815959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163.24845180552424</v>
      </c>
      <c r="AV84" s="21">
        <f>EXP(-LN(2)/25)*AV83+(1-EXP(-LN(2)/25))/(LN(2)/25)*Calculateur!AQ84*Calculateur!AS84*VLOOKUP('Données projet'!$B$10,Paramètres!$A$1:$I$89,3,0)*0.475*44/12</f>
        <v>80.647581987071874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243.89603379259611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200.78318520000013</v>
      </c>
      <c r="BF84" s="13">
        <f t="shared" si="91"/>
        <v>49.916248957304894</v>
      </c>
      <c r="BG84" s="20">
        <f t="shared" si="61"/>
        <v>436.6348478239729</v>
      </c>
      <c r="BH84" s="59">
        <f t="shared" si="62"/>
        <v>729.96818115730616</v>
      </c>
      <c r="BI84" s="59">
        <f ca="1">AVERAGE(OFFSET($BH$3,0,0,'Données projet'!$E$11+1,1))-AVERAGE(OFFSET($H$3,0,0,'Données projet'!$E$11+1,1))</f>
        <v>442.85175349826028</v>
      </c>
      <c r="BJ84" s="59">
        <f t="shared" si="92"/>
        <v>210.70697808232501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26.458415109963532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26.458415109963532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300.80663531652721</v>
      </c>
      <c r="T85" s="59">
        <f t="shared" si="88"/>
        <v>306.01967513533549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89.453423526114122</v>
      </c>
      <c r="AA85" s="21">
        <f>EXP(-LN(2)/25)*AA84+(1-EXP(-LN(2)/25))/(LN(2)/25)*Calculateur!V85*Calculateur!X85*VLOOKUP('Données projet'!$B$9,Paramètres!$A$1:$I$89,3,0)*0.475*44/12</f>
        <v>46.564057627115027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136.01748115322914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349.5718186624772</v>
      </c>
      <c r="AO85" s="59">
        <f t="shared" si="90"/>
        <v>258.14152930815959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160.04724923734162</v>
      </c>
      <c r="AV85" s="21">
        <f>EXP(-LN(2)/25)*AV84+(1-EXP(-LN(2)/25))/(LN(2)/25)*Calculateur!AQ85*Calculateur!AS85*VLOOKUP('Données projet'!$B$10,Paramètres!$A$1:$I$89,3,0)*0.475*44/12</f>
        <v>78.442269616563379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238.489518853905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206.60371680000011</v>
      </c>
      <c r="BF85" s="13">
        <f t="shared" si="91"/>
        <v>51.192709554370559</v>
      </c>
      <c r="BG85" s="20">
        <f t="shared" si="61"/>
        <v>448.9954425671956</v>
      </c>
      <c r="BH85" s="59">
        <f t="shared" si="62"/>
        <v>742.32877590052885</v>
      </c>
      <c r="BI85" s="59">
        <f ca="1">AVERAGE(OFFSET($BH$3,0,0,'Données projet'!$E$11+1,1))-AVERAGE(OFFSET($H$3,0,0,'Données projet'!$E$11+1,1))</f>
        <v>442.85175349826028</v>
      </c>
      <c r="BJ85" s="59">
        <f t="shared" si="92"/>
        <v>210.70697808232501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25.939581727696865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25.939581727696865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300.80663531652721</v>
      </c>
      <c r="T86" s="59">
        <f t="shared" si="88"/>
        <v>306.01967513533549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87.699296451967911</v>
      </c>
      <c r="AA86" s="21">
        <f>EXP(-LN(2)/25)*AA85+(1-EXP(-LN(2)/25))/(LN(2)/25)*Calculateur!V86*Calculateur!X86*VLOOKUP('Données projet'!$B$9,Paramètres!$A$1:$I$89,3,0)*0.475*44/12</f>
        <v>45.290761022604201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132.9900574745721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349.5718186624772</v>
      </c>
      <c r="AO86" s="59">
        <f t="shared" si="90"/>
        <v>258.14152930815959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156.90882029898029</v>
      </c>
      <c r="AV86" s="21">
        <f>EXP(-LN(2)/25)*AV85+(1-EXP(-LN(2)/25))/(LN(2)/25)*Calculateur!AQ86*Calculateur!AS86*VLOOKUP('Données projet'!$B$10,Paramètres!$A$1:$I$89,3,0)*0.475*44/12</f>
        <v>76.297261628798779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233.20608192777905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212.42424840000018</v>
      </c>
      <c r="BF86" s="13">
        <f t="shared" si="91"/>
        <v>52.464990560939327</v>
      </c>
      <c r="BG86" s="20">
        <f t="shared" si="61"/>
        <v>461.3487578569696</v>
      </c>
      <c r="BH86" s="59">
        <f t="shared" si="62"/>
        <v>754.68209119030291</v>
      </c>
      <c r="BI86" s="59">
        <f ca="1">AVERAGE(OFFSET($BH$3,0,0,'Données projet'!$E$11+1,1))-AVERAGE(OFFSET($H$3,0,0,'Données projet'!$E$11+1,1))</f>
        <v>442.85175349826028</v>
      </c>
      <c r="BJ86" s="59">
        <f t="shared" si="92"/>
        <v>210.70697808232501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25.430922351599332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25.430922351599332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300.80663531652721</v>
      </c>
      <c r="T87" s="59">
        <f t="shared" si="88"/>
        <v>306.01967513533549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85.979566739833828</v>
      </c>
      <c r="AA87" s="21">
        <f>EXP(-LN(2)/25)*AA86+(1-EXP(-LN(2)/25))/(LN(2)/25)*Calculateur!V87*Calculateur!X87*VLOOKUP('Données projet'!$B$9,Paramètres!$A$1:$I$89,3,0)*0.475*44/12</f>
        <v>44.052282780703479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130.03184952053732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349.5718186624772</v>
      </c>
      <c r="AO87" s="59">
        <f t="shared" si="90"/>
        <v>258.14152930815959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153.83193403784759</v>
      </c>
      <c r="AV87" s="21">
        <f>EXP(-LN(2)/25)*AV86+(1-EXP(-LN(2)/25))/(LN(2)/25)*Calculateur!AQ87*Calculateur!AS87*VLOOKUP('Données projet'!$B$10,Paramètres!$A$1:$I$89,3,0)*0.475*44/12</f>
        <v>74.210908997260674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228.04284303510826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218.24478000000016</v>
      </c>
      <c r="BF87" s="13">
        <f t="shared" si="91"/>
        <v>53.733219659050746</v>
      </c>
      <c r="BG87" s="20">
        <f t="shared" si="61"/>
        <v>473.69501607284701</v>
      </c>
      <c r="BH87" s="59">
        <f t="shared" si="62"/>
        <v>767.02834940618027</v>
      </c>
      <c r="BI87" s="59">
        <f ca="1">AVERAGE(OFFSET($BH$3,0,0,'Données projet'!$E$11+1,1))-AVERAGE(OFFSET($H$3,0,0,'Données projet'!$E$11+1,1))</f>
        <v>442.85175349826028</v>
      </c>
      <c r="BJ87" s="59">
        <f t="shared" si="92"/>
        <v>210.70697808232501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0.318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39.427647262856034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39.427647262856034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300.80663531652721</v>
      </c>
      <c r="T88" s="59">
        <f t="shared" si="88"/>
        <v>306.01967513533549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84.293559878423139</v>
      </c>
      <c r="AA88" s="21">
        <f>EXP(-LN(2)/25)*AA87+(1-EXP(-LN(2)/25))/(LN(2)/25)*Calculateur!V88*Calculateur!X88*VLOOKUP('Données projet'!$B$9,Paramètres!$A$1:$I$89,3,0)*0.475*44/12</f>
        <v>42.847670791456274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127.14123066987941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349.5718186624772</v>
      </c>
      <c r="AO88" s="59">
        <f t="shared" si="90"/>
        <v>258.14152930815959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150.8153836395804</v>
      </c>
      <c r="AV88" s="21">
        <f>EXP(-LN(2)/25)*AV87+(1-EXP(-LN(2)/25))/(LN(2)/25)*Calculateur!AQ88*Calculateur!AS88*VLOOKUP('Données projet'!$B$10,Paramètres!$A$1:$I$89,3,0)*0.475*44/12</f>
        <v>72.181607788148483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222.99699142772889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182.57230680000018</v>
      </c>
      <c r="BF88" s="13">
        <f t="shared" si="91"/>
        <v>45.894003568435856</v>
      </c>
      <c r="BG88" s="20">
        <f t="shared" si="61"/>
        <v>397.91215722502608</v>
      </c>
      <c r="BH88" s="59">
        <f t="shared" si="62"/>
        <v>691.24549055835939</v>
      </c>
      <c r="BI88" s="59">
        <f ca="1">AVERAGE(OFFSET($BH$3,0,0,'Données projet'!$E$11+1,1))-AVERAGE(OFFSET($H$3,0,0,'Données projet'!$E$11+1,1))</f>
        <v>442.85175349826028</v>
      </c>
      <c r="BJ88" s="59">
        <f t="shared" si="92"/>
        <v>210.70697808232501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38.654495148521669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38.654495148521669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300.80663531652721</v>
      </c>
      <c r="T89" s="59">
        <f t="shared" si="88"/>
        <v>306.01967513533549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82.64061458320208</v>
      </c>
      <c r="AA89" s="21">
        <f>EXP(-LN(2)/25)*AA88+(1-EXP(-LN(2)/25))/(LN(2)/25)*Calculateur!V89*Calculateur!X89*VLOOKUP('Données projet'!$B$9,Paramètres!$A$1:$I$89,3,0)*0.475*44/12</f>
        <v>41.675998980402824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124.3166135636049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349.5718186624772</v>
      </c>
      <c r="AO89" s="59">
        <f t="shared" si="90"/>
        <v>258.14152930815959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147.85798595470916</v>
      </c>
      <c r="AV89" s="21">
        <f>EXP(-LN(2)/25)*AV88+(1-EXP(-LN(2)/25))/(LN(2)/25)*Calculateur!AQ89*Calculateur!AS89*VLOOKUP('Données projet'!$B$10,Paramètres!$A$1:$I$89,3,0)*0.475*44/12</f>
        <v>70.207797927315781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218.06578388202496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188.13390960000018</v>
      </c>
      <c r="BF89" s="13">
        <f t="shared" si="91"/>
        <v>47.12715006437692</v>
      </c>
      <c r="BG89" s="20">
        <f t="shared" si="61"/>
        <v>409.74634558212347</v>
      </c>
      <c r="BH89" s="59">
        <f t="shared" si="62"/>
        <v>703.07967891545673</v>
      </c>
      <c r="BI89" s="59">
        <f ca="1">AVERAGE(OFFSET($BH$3,0,0,'Données projet'!$E$11+1,1))-AVERAGE(OFFSET($H$3,0,0,'Données projet'!$E$11+1,1))</f>
        <v>442.85175349826028</v>
      </c>
      <c r="BJ89" s="59">
        <f t="shared" si="92"/>
        <v>210.70697808232501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37.896504075573169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37.896504075573169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300.80663531652721</v>
      </c>
      <c r="T90" s="59">
        <f t="shared" si="88"/>
        <v>306.01967513533549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81.020082537023228</v>
      </c>
      <c r="AA90" s="21">
        <f>EXP(-LN(2)/25)*AA89+(1-EXP(-LN(2)/25))/(LN(2)/25)*Calculateur!V90*Calculateur!X90*VLOOKUP('Données projet'!$B$9,Paramètres!$A$1:$I$89,3,0)*0.475*44/12</f>
        <v>40.536366596638175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121.5564491336614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349.5718186624772</v>
      </c>
      <c r="AO90" s="59">
        <f t="shared" si="90"/>
        <v>258.14152930815959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144.95858103460378</v>
      </c>
      <c r="AV90" s="21">
        <f>EXP(-LN(2)/25)*AV89+(1-EXP(-LN(2)/25))/(LN(2)/25)*Calculateur!AQ90*Calculateur!AS90*VLOOKUP('Données projet'!$B$10,Paramètres!$A$1:$I$89,3,0)*0.475*44/12</f>
        <v>68.287962000925702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213.2465430355295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193.69551240000018</v>
      </c>
      <c r="BF90" s="13">
        <f t="shared" si="91"/>
        <v>48.356059931736581</v>
      </c>
      <c r="BG90" s="20">
        <f t="shared" si="61"/>
        <v>421.5731551444415</v>
      </c>
      <c r="BH90" s="59">
        <f t="shared" si="62"/>
        <v>714.90648847777481</v>
      </c>
      <c r="BI90" s="59">
        <f ca="1">AVERAGE(OFFSET($BH$3,0,0,'Données projet'!$E$11+1,1))-AVERAGE(OFFSET($H$3,0,0,'Données projet'!$E$11+1,1))</f>
        <v>442.85175349826028</v>
      </c>
      <c r="BJ90" s="59">
        <f t="shared" si="92"/>
        <v>210.70697808232501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37.153376745236287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37.153376745236287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300.80663531652721</v>
      </c>
      <c r="T91" s="59">
        <f t="shared" si="88"/>
        <v>306.01967513533549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79.431328135842989</v>
      </c>
      <c r="AA91" s="21">
        <f>EXP(-LN(2)/25)*AA90+(1-EXP(-LN(2)/25))/(LN(2)/25)*Calculateur!V91*Calculateur!X91*VLOOKUP('Données projet'!$B$9,Paramètres!$A$1:$I$89,3,0)*0.475*44/12</f>
        <v>39.427897520338234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118.85922565618122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349.5718186624772</v>
      </c>
      <c r="AO91" s="59">
        <f t="shared" si="90"/>
        <v>258.14152930815959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142.11603167651927</v>
      </c>
      <c r="AV91" s="21">
        <f>EXP(-LN(2)/25)*AV90+(1-EXP(-LN(2)/25))/(LN(2)/25)*Calculateur!AQ91*Calculateur!AS91*VLOOKUP('Données projet'!$B$10,Paramètres!$A$1:$I$89,3,0)*0.475*44/12</f>
        <v>66.420624088902542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208.53665576542181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199.25711520000019</v>
      </c>
      <c r="BF91" s="13">
        <f t="shared" si="91"/>
        <v>49.580868788109186</v>
      </c>
      <c r="BG91" s="20">
        <f t="shared" si="61"/>
        <v>433.39282211262383</v>
      </c>
      <c r="BH91" s="59">
        <f t="shared" si="62"/>
        <v>726.72615544595715</v>
      </c>
      <c r="BI91" s="59">
        <f ca="1">AVERAGE(OFFSET($BH$3,0,0,'Données projet'!$E$11+1,1))-AVERAGE(OFFSET($H$3,0,0,'Données projet'!$E$11+1,1))</f>
        <v>442.85175349826028</v>
      </c>
      <c r="BJ91" s="59">
        <f t="shared" si="92"/>
        <v>210.70697808232501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36.424821688584395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36.424821688584395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300.80663531652721</v>
      </c>
      <c r="T92" s="59">
        <f t="shared" si="88"/>
        <v>306.01967513533549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77.87372823942539</v>
      </c>
      <c r="AA92" s="21">
        <f>EXP(-LN(2)/25)*AA91+(1-EXP(-LN(2)/25))/(LN(2)/25)*Calculateur!V92*Calculateur!X92*VLOOKUP('Données projet'!$B$9,Paramètres!$A$1:$I$89,3,0)*0.475*44/12</f>
        <v>38.349739589221571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116.22346782864696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349.5718186624772</v>
      </c>
      <c r="AO92" s="59">
        <f t="shared" si="90"/>
        <v>258.14152930815959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139.32922297756289</v>
      </c>
      <c r="AV92" s="21">
        <f>EXP(-LN(2)/25)*AV91+(1-EXP(-LN(2)/25))/(LN(2)/25)*Calculateur!AQ92*Calculateur!AS92*VLOOKUP('Données projet'!$B$10,Paramètres!$A$1:$I$89,3,0)*0.475*44/12</f>
        <v>64.604348630282686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203.93357160784558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204.81871800000019</v>
      </c>
      <c r="BF92" s="13">
        <f t="shared" si="91"/>
        <v>50.801704249704173</v>
      </c>
      <c r="BG92" s="20">
        <f t="shared" si="61"/>
        <v>445.20556875156836</v>
      </c>
      <c r="BH92" s="59">
        <f t="shared" si="62"/>
        <v>738.53890208490168</v>
      </c>
      <c r="BI92" s="59">
        <f ca="1">AVERAGE(OFFSET($BH$3,0,0,'Données projet'!$E$11+1,1))-AVERAGE(OFFSET($H$3,0,0,'Données projet'!$E$11+1,1))</f>
        <v>442.85175349826028</v>
      </c>
      <c r="BJ92" s="59">
        <f t="shared" si="92"/>
        <v>210.70697808232501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35.710553152218743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35.710553152218743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300.80663531652721</v>
      </c>
      <c r="T93" s="59">
        <f t="shared" si="88"/>
        <v>306.01967513533549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76.34667192693442</v>
      </c>
      <c r="AA93" s="21">
        <f>EXP(-LN(2)/25)*AA92+(1-EXP(-LN(2)/25))/(LN(2)/25)*Calculateur!V93*Calculateur!X93*VLOOKUP('Données projet'!$B$9,Paramètres!$A$1:$I$89,3,0)*0.475*44/12</f>
        <v>37.301063943429149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113.64773587036356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349.5718186624772</v>
      </c>
      <c r="AO93" s="59">
        <f t="shared" si="90"/>
        <v>258.14152930815959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136.59706189740757</v>
      </c>
      <c r="AV93" s="21">
        <f>EXP(-LN(2)/25)*AV92+(1-EXP(-LN(2)/25))/(LN(2)/25)*Calculateur!AQ93*Calculateur!AS93*VLOOKUP('Données projet'!$B$10,Paramètres!$A$1:$I$89,3,0)*0.475*44/12</f>
        <v>62.837739319592565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199.43480121700014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210.38032080000019</v>
      </c>
      <c r="BF93" s="13">
        <f t="shared" si="91"/>
        <v>52.018686607707167</v>
      </c>
      <c r="BG93" s="20">
        <f t="shared" si="61"/>
        <v>457.01160456842371</v>
      </c>
      <c r="BH93" s="59">
        <f t="shared" si="62"/>
        <v>750.34493790175702</v>
      </c>
      <c r="BI93" s="59">
        <f ca="1">AVERAGE(OFFSET($BH$3,0,0,'Données projet'!$E$11+1,1))-AVERAGE(OFFSET($H$3,0,0,'Données projet'!$E$11+1,1))</f>
        <v>442.85175349826028</v>
      </c>
      <c r="BJ93" s="59">
        <f t="shared" si="92"/>
        <v>210.70697808232501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35.010290986190434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35.010290986190434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300.80663531652721</v>
      </c>
      <c r="T94" s="59">
        <f t="shared" si="88"/>
        <v>306.01967513533549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74.849560257319013</v>
      </c>
      <c r="AA94" s="21">
        <f>EXP(-LN(2)/25)*AA93+(1-EXP(-LN(2)/25))/(LN(2)/25)*Calculateur!V94*Calculateur!X94*VLOOKUP('Données projet'!$B$9,Paramètres!$A$1:$I$89,3,0)*0.475*44/12</f>
        <v>36.281064388318377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111.1306246456374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349.5718186624772</v>
      </c>
      <c r="AO94" s="59">
        <f t="shared" si="90"/>
        <v>258.14152930815959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133.91847682958038</v>
      </c>
      <c r="AV94" s="21">
        <f>EXP(-LN(2)/25)*AV93+(1-EXP(-LN(2)/25))/(LN(2)/25)*Calculateur!AQ94*Calculateur!AS94*VLOOKUP('Données projet'!$B$10,Paramètres!$A$1:$I$89,3,0)*0.475*44/12</f>
        <v>61.11943803340521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195.03791486298559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215.94192360000017</v>
      </c>
      <c r="BF94" s="13">
        <f t="shared" si="91"/>
        <v>53.231929431108412</v>
      </c>
      <c r="BG94" s="20">
        <f t="shared" si="61"/>
        <v>468.81112736251407</v>
      </c>
      <c r="BH94" s="59">
        <f t="shared" si="62"/>
        <v>762.14446069584733</v>
      </c>
      <c r="BI94" s="59">
        <f ca="1">AVERAGE(OFFSET($BH$3,0,0,'Données projet'!$E$11+1,1))-AVERAGE(OFFSET($H$3,0,0,'Données projet'!$E$11+1,1))</f>
        <v>442.85175349826028</v>
      </c>
      <c r="BJ94" s="59">
        <f t="shared" si="92"/>
        <v>210.70697808232501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34.32376053412019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34.32376053412019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300.80663531652721</v>
      </c>
      <c r="T95" s="59">
        <f t="shared" si="88"/>
        <v>306.01967513533549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73.381806034396817</v>
      </c>
      <c r="AA95" s="21">
        <f>EXP(-LN(2)/25)*AA94+(1-EXP(-LN(2)/25))/(LN(2)/25)*Calculateur!V95*Calculateur!X95*VLOOKUP('Données projet'!$B$9,Paramètres!$A$1:$I$89,3,0)*0.475*44/12</f>
        <v>35.288956774681559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108.67076280907838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349.5718186624772</v>
      </c>
      <c r="AO95" s="59">
        <f t="shared" si="90"/>
        <v>258.14152930815959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131.29241718115773</v>
      </c>
      <c r="AV95" s="21">
        <f>EXP(-LN(2)/25)*AV94+(1-EXP(-LN(2)/25))/(LN(2)/25)*Calculateur!AQ95*Calculateur!AS95*VLOOKUP('Données projet'!$B$10,Paramètres!$A$1:$I$89,3,0)*0.475*44/12</f>
        <v>59.448123786250186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190.74054096740792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221.5035264000002</v>
      </c>
      <c r="BF95" s="13">
        <f t="shared" si="91"/>
        <v>54.441540105679579</v>
      </c>
      <c r="BG95" s="20">
        <f t="shared" si="61"/>
        <v>480.60432416405894</v>
      </c>
      <c r="BH95" s="59">
        <f t="shared" si="62"/>
        <v>773.93765749739225</v>
      </c>
      <c r="BI95" s="59">
        <f ca="1">AVERAGE(OFFSET($BH$3,0,0,'Données projet'!$E$11+1,1))-AVERAGE(OFFSET($H$3,0,0,'Données projet'!$E$11+1,1))</f>
        <v>442.85175349826028</v>
      </c>
      <c r="BJ95" s="59">
        <f t="shared" si="92"/>
        <v>210.70697808232501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33.65069252547282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33.65069252547282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300.80663531652721</v>
      </c>
      <c r="T96" s="59">
        <f t="shared" si="88"/>
        <v>306.01967513533549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71.942833576544444</v>
      </c>
      <c r="AA96" s="21">
        <f>EXP(-LN(2)/25)*AA95+(1-EXP(-LN(2)/25))/(LN(2)/25)*Calculateur!V96*Calculateur!X96*VLOOKUP('Données projet'!$B$9,Paramètres!$A$1:$I$89,3,0)*0.475*44/12</f>
        <v>34.323978395912306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106.26681197245675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349.5718186624772</v>
      </c>
      <c r="AO96" s="59">
        <f t="shared" si="90"/>
        <v>258.14152930815959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128.71785296070243</v>
      </c>
      <c r="AV96" s="21">
        <f>EXP(-LN(2)/25)*AV95+(1-EXP(-LN(2)/25))/(LN(2)/25)*Calculateur!AQ96*Calculateur!AS96*VLOOKUP('Données projet'!$B$10,Paramètres!$A$1:$I$89,3,0)*0.475*44/12</f>
        <v>57.822511715074214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186.54036467577663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227.06512920000017</v>
      </c>
      <c r="BF96" s="13">
        <f t="shared" si="91"/>
        <v>55.64762031729645</v>
      </c>
      <c r="BG96" s="20">
        <f t="shared" si="61"/>
        <v>492.39137207595832</v>
      </c>
      <c r="BH96" s="59">
        <f t="shared" si="62"/>
        <v>785.72470540929157</v>
      </c>
      <c r="BI96" s="59">
        <f ca="1">AVERAGE(OFFSET($BH$3,0,0,'Données projet'!$E$11+1,1))-AVERAGE(OFFSET($H$3,0,0,'Données projet'!$E$11+1,1))</f>
        <v>442.85175349826028</v>
      </c>
      <c r="BJ96" s="59">
        <f t="shared" si="92"/>
        <v>210.70697808232501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32.990822969944077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32.990822969944077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300.80663531652721</v>
      </c>
      <c r="T97" s="59">
        <f t="shared" si="88"/>
        <v>306.01967513533549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70.532078490904027</v>
      </c>
      <c r="AA97" s="21">
        <f>EXP(-LN(2)/25)*AA96+(1-EXP(-LN(2)/25))/(LN(2)/25)*Calculateur!V97*Calculateur!X97*VLOOKUP('Données projet'!$B$9,Paramètres!$A$1:$I$89,3,0)*0.475*44/12</f>
        <v>33.385387401656509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103.91746589256053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349.5718186624772</v>
      </c>
      <c r="AO97" s="59">
        <f t="shared" si="90"/>
        <v>258.14152930815959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126.19377437428113</v>
      </c>
      <c r="AV97" s="21">
        <f>EXP(-LN(2)/25)*AV96+(1-EXP(-LN(2)/25))/(LN(2)/25)*Calculateur!AQ97*Calculateur!AS97*VLOOKUP('Données projet'!$B$10,Paramètres!$A$1:$I$89,3,0)*0.475*44/12</f>
        <v>56.241352091471775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182.43512646575292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232.62673200000017</v>
      </c>
      <c r="BF97" s="13">
        <f t="shared" si="91"/>
        <v>56.850266486574739</v>
      </c>
      <c r="BG97" s="20">
        <f t="shared" si="61"/>
        <v>504.17243903078469</v>
      </c>
      <c r="BH97" s="59">
        <f t="shared" si="62"/>
        <v>797.505772364118</v>
      </c>
      <c r="BI97" s="59">
        <f ca="1">AVERAGE(OFFSET($BH$3,0,0,'Données projet'!$E$11+1,1))-AVERAGE(OFFSET($H$3,0,0,'Données projet'!$E$11+1,1))</f>
        <v>442.85175349826028</v>
      </c>
      <c r="BJ97" s="59">
        <f t="shared" si="92"/>
        <v>210.70697808232501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0.318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46.92891168643569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46.92891168643569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300.80663531652721</v>
      </c>
      <c r="T98" s="59">
        <f t="shared" si="88"/>
        <v>306.01967513533549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69.14898745201738</v>
      </c>
      <c r="AA98" s="21">
        <f>EXP(-LN(2)/25)*AA97+(1-EXP(-LN(2)/25))/(LN(2)/25)*Calculateur!V98*Calculateur!X98*VLOOKUP('Données projet'!$B$9,Paramètres!$A$1:$I$89,3,0)*0.475*44/12</f>
        <v>32.47246222749699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101.62144967951437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349.5718186624772</v>
      </c>
      <c r="AO98" s="59">
        <f t="shared" si="90"/>
        <v>258.14152930815959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123.71919142940364</v>
      </c>
      <c r="AV98" s="21">
        <f>EXP(-LN(2)/25)*AV97+(1-EXP(-LN(2)/25))/(LN(2)/25)*Calculateur!AQ98*Calculateur!AS98*VLOOKUP('Données projet'!$B$10,Paramètres!$A$1:$I$89,3,0)*0.475*44/12</f>
        <v>54.703429360926314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178.42262079032994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196.53567960000018</v>
      </c>
      <c r="BF98" s="13">
        <f t="shared" si="91"/>
        <v>48.982042429848526</v>
      </c>
      <c r="BG98" s="20">
        <f t="shared" si="61"/>
        <v>427.61003253531982</v>
      </c>
      <c r="BH98" s="59">
        <f t="shared" si="62"/>
        <v>720.94336586865313</v>
      </c>
      <c r="BI98" s="59">
        <f ca="1">AVERAGE(OFFSET($BH$3,0,0,'Données projet'!$E$11+1,1))-AVERAGE(OFFSET($H$3,0,0,'Données projet'!$E$11+1,1))</f>
        <v>442.85175349826028</v>
      </c>
      <c r="BJ98" s="59">
        <f t="shared" si="92"/>
        <v>210.70697808232501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46.008664352074447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46.008664352074447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300.80663531652721</v>
      </c>
      <c r="T99" s="59">
        <f t="shared" si="88"/>
        <v>306.01967513533549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67.793017984801054</v>
      </c>
      <c r="AA99" s="21">
        <f>EXP(-LN(2)/25)*AA98+(1-EXP(-LN(2)/25))/(LN(2)/25)*Calculateur!V99*Calculateur!X99*VLOOKUP('Données projet'!$B$9,Paramètres!$A$1:$I$89,3,0)*0.475*44/12</f>
        <v>31.584501040233512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99.377519025034559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349.5718186624772</v>
      </c>
      <c r="AO99" s="59">
        <f t="shared" si="90"/>
        <v>258.14152930815959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121.29313354672863</v>
      </c>
      <c r="AV99" s="21">
        <f>EXP(-LN(2)/25)*AV98+(1-EXP(-LN(2)/25))/(LN(2)/25)*Calculateur!AQ99*Calculateur!AS99*VLOOKUP('Données projet'!$B$10,Paramètres!$A$1:$I$89,3,0)*0.475*44/12</f>
        <v>53.207561208323462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174.50069475505208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201.93360720000021</v>
      </c>
      <c r="BF99" s="13">
        <f t="shared" si="91"/>
        <v>50.168877809568144</v>
      </c>
      <c r="BG99" s="20">
        <f t="shared" si="61"/>
        <v>439.07849472499817</v>
      </c>
      <c r="BH99" s="59">
        <f t="shared" si="62"/>
        <v>732.41182805833148</v>
      </c>
      <c r="BI99" s="59">
        <f ca="1">AVERAGE(OFFSET($BH$3,0,0,'Données projet'!$E$11+1,1))-AVERAGE(OFFSET($H$3,0,0,'Données projet'!$E$11+1,1))</f>
        <v>442.85175349826028</v>
      </c>
      <c r="BJ99" s="59">
        <f t="shared" si="92"/>
        <v>210.70697808232501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45.106462506644576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45.106462506644576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300.80663531652721</v>
      </c>
      <c r="T100" s="59">
        <f t="shared" si="88"/>
        <v>306.01967513533549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66.463638251777141</v>
      </c>
      <c r="AA100" s="21">
        <f>EXP(-LN(2)/25)*AA99+(1-EXP(-LN(2)/25))/(LN(2)/25)*Calculateur!V100*Calculateur!X100*VLOOKUP('Données projet'!$B$9,Paramètres!$A$1:$I$89,3,0)*0.475*44/12</f>
        <v>30.720821198331603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97.184459450108747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349.5718186624772</v>
      </c>
      <c r="AO100" s="59">
        <f t="shared" si="90"/>
        <v>258.14152930815959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118.91464917938367</v>
      </c>
      <c r="AV100" s="21">
        <f>EXP(-LN(2)/25)*AV99+(1-EXP(-LN(2)/25))/(LN(2)/25)*Calculateur!AQ100*Calculateur!AS100*VLOOKUP('Données projet'!$B$10,Paramètres!$A$1:$I$89,3,0)*0.475*44/12</f>
        <v>51.752597649017822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170.66724682840149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207.33153480000018</v>
      </c>
      <c r="BF100" s="13">
        <f t="shared" si="91"/>
        <v>51.352025612310428</v>
      </c>
      <c r="BG100" s="20">
        <f t="shared" si="61"/>
        <v>450.54053438477428</v>
      </c>
      <c r="BH100" s="59">
        <f t="shared" si="62"/>
        <v>743.87386771810759</v>
      </c>
      <c r="BI100" s="59">
        <f ca="1">AVERAGE(OFFSET($BH$3,0,0,'Données projet'!$E$11+1,1))-AVERAGE(OFFSET($H$3,0,0,'Données projet'!$E$11+1,1))</f>
        <v>442.85175349826028</v>
      </c>
      <c r="BJ100" s="59">
        <f t="shared" si="92"/>
        <v>210.70697808232501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44.221952289114796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44.221952289114796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300.80663531652721</v>
      </c>
      <c r="T101" s="59">
        <f t="shared" si="88"/>
        <v>306.01967513533549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65.160326844476245</v>
      </c>
      <c r="AA101" s="21">
        <f>EXP(-LN(2)/25)*AA100+(1-EXP(-LN(2)/25))/(LN(2)/25)*Calculateur!V101*Calculateur!X101*VLOOKUP('Données projet'!$B$9,Paramètres!$A$1:$I$89,3,0)*0.475*44/12</f>
        <v>29.88075872712545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95.041085571601698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349.5718186624772</v>
      </c>
      <c r="AO101" s="59">
        <f t="shared" si="90"/>
        <v>258.14152930815959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116.58280543975015</v>
      </c>
      <c r="AV101" s="21">
        <f>EXP(-LN(2)/25)*AV100+(1-EXP(-LN(2)/25))/(LN(2)/25)*Calculateur!AQ101*Calculateur!AS101*VLOOKUP('Données projet'!$B$10,Paramètres!$A$1:$I$89,3,0)*0.475*44/12</f>
        <v>50.337420144754603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166.92022558450475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212.72946240000022</v>
      </c>
      <c r="BF101" s="13">
        <f t="shared" si="91"/>
        <v>52.531592882495133</v>
      </c>
      <c r="BG101" s="20">
        <f t="shared" si="61"/>
        <v>461.99633795034606</v>
      </c>
      <c r="BH101" s="59">
        <f t="shared" si="62"/>
        <v>755.32967128367932</v>
      </c>
      <c r="BI101" s="59">
        <f ca="1">AVERAGE(OFFSET($BH$3,0,0,'Données projet'!$E$11+1,1))-AVERAGE(OFFSET($H$3,0,0,'Données projet'!$E$11+1,1))</f>
        <v>442.85175349826028</v>
      </c>
      <c r="BJ101" s="59">
        <f t="shared" si="92"/>
        <v>210.70697808232501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43.354786777452816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43.354786777452816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300.80663531652721</v>
      </c>
      <c r="T102" s="59">
        <f t="shared" si="88"/>
        <v>306.01967513533549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63.882572578931061</v>
      </c>
      <c r="AA102" s="21">
        <f>EXP(-LN(2)/25)*AA101+(1-EXP(-LN(2)/25))/(LN(2)/25)*Calculateur!V102*Calculateur!X102*VLOOKUP('Données projet'!$B$9,Paramètres!$A$1:$I$89,3,0)*0.475*44/12</f>
        <v>29.063667808371395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92.946240387302453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349.5718186624772</v>
      </c>
      <c r="AO102" s="59">
        <f t="shared" si="90"/>
        <v>258.14152930815959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114.29668773356659</v>
      </c>
      <c r="AV102" s="21">
        <f>EXP(-LN(2)/25)*AV101+(1-EXP(-LN(2)/25))/(LN(2)/25)*Calculateur!AQ102*Calculateur!AS102*VLOOKUP('Données projet'!$B$10,Paramètres!$A$1:$I$89,3,0)*0.475*44/12</f>
        <v>48.960940743766407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163.25762847733299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218.12739000000025</v>
      </c>
      <c r="BF102" s="13">
        <f t="shared" si="91"/>
        <v>53.707680922576678</v>
      </c>
      <c r="BG102" s="20">
        <f t="shared" si="61"/>
        <v>473.44608185682137</v>
      </c>
      <c r="BH102" s="59">
        <f t="shared" si="62"/>
        <v>766.77941519015462</v>
      </c>
      <c r="BI102" s="59">
        <f ca="1">AVERAGE(OFFSET($BH$3,0,0,'Données projet'!$E$11+1,1))-AVERAGE(OFFSET($H$3,0,0,'Données projet'!$E$11+1,1))</f>
        <v>442.85175349826028</v>
      </c>
      <c r="BJ102" s="59">
        <f t="shared" si="92"/>
        <v>210.70697808232501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42.50462585255579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42.50462585255579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300.80663531652721</v>
      </c>
      <c r="T103" s="59">
        <f t="shared" si="88"/>
        <v>306.01967513533549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62.629874295180066</v>
      </c>
      <c r="AA103" s="21">
        <f>EXP(-LN(2)/25)*AA102+(1-EXP(-LN(2)/25))/(LN(2)/25)*Calculateur!V103*Calculateur!X103*VLOOKUP('Données projet'!$B$9,Paramètres!$A$1:$I$89,3,0)*0.475*44/12</f>
        <v>28.268920283759616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90.898794578939686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349.5718186624772</v>
      </c>
      <c r="AO103" s="59">
        <f t="shared" si="90"/>
        <v>258.14152930815959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112.05539940120717</v>
      </c>
      <c r="AV103" s="21">
        <f>EXP(-LN(2)/25)*AV102+(1-EXP(-LN(2)/25))/(LN(2)/25)*Calculateur!AQ103*Calculateur!AS103*VLOOKUP('Données projet'!$B$10,Paramètres!$A$1:$I$89,3,0)*0.475*44/12</f>
        <v>47.62210124438414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159.67750064559129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223.52531760000028</v>
      </c>
      <c r="BF103" s="13">
        <f t="shared" si="91"/>
        <v>54.880385735412574</v>
      </c>
      <c r="BG103" s="20">
        <f t="shared" si="61"/>
        <v>484.88993330917737</v>
      </c>
      <c r="BH103" s="59">
        <f t="shared" si="62"/>
        <v>778.22326664251068</v>
      </c>
      <c r="BI103" s="59">
        <f ca="1">AVERAGE(OFFSET($BH$3,0,0,'Données projet'!$E$11+1,1))-AVERAGE(OFFSET($H$3,0,0,'Données projet'!$E$11+1,1))</f>
        <v>442.85175349826028</v>
      </c>
      <c r="BJ103" s="59">
        <f t="shared" si="92"/>
        <v>210.70697808232501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41.671136064849037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41.671136064849037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300.80663531652721</v>
      </c>
      <c r="T104" s="59">
        <f t="shared" si="88"/>
        <v>306.01967513533549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61.401740660702927</v>
      </c>
      <c r="AA104" s="21">
        <f>EXP(-LN(2)/25)*AA103+(1-EXP(-LN(2)/25))/(LN(2)/25)*Calculateur!V104*Calculateur!X104*VLOOKUP('Données projet'!$B$9,Paramètres!$A$1:$I$89,3,0)*0.475*44/12</f>
        <v>27.495905172002303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88.897645832705223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349.5718186624772</v>
      </c>
      <c r="AO104" s="59">
        <f t="shared" si="90"/>
        <v>258.14152930815959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109.85806136599442</v>
      </c>
      <c r="AV104" s="21">
        <f>EXP(-LN(2)/25)*AV103+(1-EXP(-LN(2)/25))/(LN(2)/25)*Calculateur!AQ104*Calculateur!AS104*VLOOKUP('Données projet'!$B$10,Paramètres!$A$1:$I$89,3,0)*0.475*44/12</f>
        <v>46.319872381518991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156.17793374751341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228.92324520000025</v>
      </c>
      <c r="BF104" s="13">
        <f t="shared" si="91"/>
        <v>56.049798422696988</v>
      </c>
      <c r="BG104" s="20">
        <f t="shared" si="61"/>
        <v>496.32805097619757</v>
      </c>
      <c r="BH104" s="59">
        <f t="shared" si="62"/>
        <v>789.66138430953083</v>
      </c>
      <c r="BI104" s="59">
        <f ca="1">AVERAGE(OFFSET($BH$3,0,0,'Données projet'!$E$11+1,1))-AVERAGE(OFFSET($H$3,0,0,'Données projet'!$E$11+1,1))</f>
        <v>442.85175349826028</v>
      </c>
      <c r="BJ104" s="59">
        <f t="shared" si="92"/>
        <v>210.70697808232501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40.85399050350064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40.85399050350064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300.80663531652721</v>
      </c>
      <c r="T105" s="59">
        <f t="shared" si="88"/>
        <v>306.01967513533549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60.197689977710333</v>
      </c>
      <c r="AA105" s="21">
        <f>EXP(-LN(2)/25)*AA104+(1-EXP(-LN(2)/25))/(LN(2)/25)*Calculateur!V105*Calculateur!X105*VLOOKUP('Données projet'!$B$9,Paramètres!$A$1:$I$89,3,0)*0.475*44/12</f>
        <v>26.74402819912709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86.941718176837426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349.5718186624772</v>
      </c>
      <c r="AO105" s="59">
        <f t="shared" si="90"/>
        <v>258.14152930815959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107.70381178940832</v>
      </c>
      <c r="AV105" s="21">
        <f>EXP(-LN(2)/25)*AV104+(1-EXP(-LN(2)/25))/(LN(2)/25)*Calculateur!AQ105*Calculateur!AS105*VLOOKUP('Données projet'!$B$10,Paramètres!$A$1:$I$89,3,0)*0.475*44/12</f>
        <v>45.053253035390128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152.75706482479845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234.32117280000028</v>
      </c>
      <c r="BF105" s="13">
        <f t="shared" si="91"/>
        <v>57.216005544756449</v>
      </c>
      <c r="BG105" s="20">
        <f t="shared" si="61"/>
        <v>507.7605856171179</v>
      </c>
      <c r="BH105" s="59">
        <f t="shared" si="62"/>
        <v>801.09391895045121</v>
      </c>
      <c r="BI105" s="59">
        <f ca="1">AVERAGE(OFFSET($BH$3,0,0,'Données projet'!$E$11+1,1))-AVERAGE(OFFSET($H$3,0,0,'Données projet'!$E$11+1,1))</f>
        <v>442.85175349826028</v>
      </c>
      <c r="BJ105" s="59">
        <f t="shared" si="92"/>
        <v>210.70697808232501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40.052868668200702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40.052868668200702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300.80663531652721</v>
      </c>
      <c r="T106" s="59">
        <f t="shared" si="88"/>
        <v>306.01967513533549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59.017249994212818</v>
      </c>
      <c r="AA106" s="21">
        <f>EXP(-LN(2)/25)*AA105+(1-EXP(-LN(2)/25))/(LN(2)/25)*Calculateur!V106*Calculateur!X106*VLOOKUP('Données projet'!$B$9,Paramètres!$A$1:$I$89,3,0)*0.475*44/12</f>
        <v>26.01271134161464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85.029961335827466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349.5718186624772</v>
      </c>
      <c r="AO106" s="59">
        <f t="shared" si="90"/>
        <v>258.14152930815959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105.59180573305659</v>
      </c>
      <c r="AV106" s="21">
        <f>EXP(-LN(2)/25)*AV105+(1-EXP(-LN(2)/25))/(LN(2)/25)*Calculateur!AQ106*Calculateur!AS106*VLOOKUP('Données projet'!$B$10,Paramètres!$A$1:$I$89,3,0)*0.475*44/12</f>
        <v>43.821269461889777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149.41307519494637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239.71910040000031</v>
      </c>
      <c r="BF106" s="13">
        <f t="shared" si="91"/>
        <v>58.37908944625714</v>
      </c>
      <c r="BG106" s="20">
        <f t="shared" si="61"/>
        <v>519.18768064889844</v>
      </c>
      <c r="BH106" s="59">
        <f t="shared" si="62"/>
        <v>812.52101398223181</v>
      </c>
      <c r="BI106" s="59">
        <f ca="1">AVERAGE(OFFSET($BH$3,0,0,'Données projet'!$E$11+1,1))-AVERAGE(OFFSET($H$3,0,0,'Données projet'!$E$11+1,1))</f>
        <v>442.85175349826028</v>
      </c>
      <c r="BJ106" s="59">
        <f t="shared" si="92"/>
        <v>210.70697808232501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39.267456343454924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39.267456343454924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300.80663531652721</v>
      </c>
      <c r="T107" s="59">
        <f t="shared" si="88"/>
        <v>306.01967513533549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57.859957718794398</v>
      </c>
      <c r="AA107" s="21">
        <f>EXP(-LN(2)/25)*AA106+(1-EXP(-LN(2)/25))/(LN(2)/25)*Calculateur!V107*Calculateur!X107*VLOOKUP('Données projet'!$B$9,Paramètres!$A$1:$I$89,3,0)*0.475*44/12</f>
        <v>25.30139238202915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83.16135010082354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349.5718186624772</v>
      </c>
      <c r="AO107" s="59">
        <f t="shared" si="90"/>
        <v>258.14152930815959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103.52121482727341</v>
      </c>
      <c r="AV107" s="21">
        <f>EXP(-LN(2)/25)*AV106+(1-EXP(-LN(2)/25))/(LN(2)/25)*Calculateur!AQ107*Calculateur!AS107*VLOOKUP('Données projet'!$B$10,Paramètres!$A$1:$I$89,3,0)*0.475*44/12</f>
        <v>42.622974543993998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146.1441893712674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245.11702800000035</v>
      </c>
      <c r="BF107" s="13">
        <f t="shared" si="91"/>
        <v>59.539128551748597</v>
      </c>
      <c r="BG107" s="20">
        <f t="shared" si="61"/>
        <v>530.60947266096275</v>
      </c>
      <c r="BH107" s="59">
        <f t="shared" si="62"/>
        <v>823.94280599429612</v>
      </c>
      <c r="BI107" s="59">
        <f ca="1">AVERAGE(OFFSET($BH$3,0,0,'Données projet'!$E$11+1,1))-AVERAGE(OFFSET($H$3,0,0,'Données projet'!$E$11+1,1))</f>
        <v>442.85175349826028</v>
      </c>
      <c r="BJ107" s="59">
        <f t="shared" si="92"/>
        <v>210.70697808232501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0.318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52.691014941652099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52.691014941652099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300.80663531652721</v>
      </c>
      <c r="T108" s="59">
        <f t="shared" si="88"/>
        <v>306.01967513533549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56.725359239018346</v>
      </c>
      <c r="AA108" s="21">
        <f>EXP(-LN(2)/25)*AA107+(1-EXP(-LN(2)/25))/(LN(2)/25)*Calculateur!V108*Calculateur!X108*VLOOKUP('Données projet'!$B$9,Paramètres!$A$1:$I$89,3,0)*0.475*44/12</f>
        <v>24.609524476800164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81.334883715818506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349.5718186624772</v>
      </c>
      <c r="AO108" s="59">
        <f t="shared" si="90"/>
        <v>258.14152930815959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101.4912269462169</v>
      </c>
      <c r="AV108" s="21">
        <f>EXP(-LN(2)/25)*AV107+(1-EXP(-LN(2)/25))/(LN(2)/25)*Calculateur!AQ108*Calculateur!AS108*VLOOKUP('Données projet'!$B$10,Paramètres!$A$1:$I$89,3,0)*0.475*44/12</f>
        <v>41.45744706364367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142.94867400986055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210.06437400000033</v>
      </c>
      <c r="BF108" s="13">
        <f t="shared" si="91"/>
        <v>51.949652785983382</v>
      </c>
      <c r="BG108" s="20">
        <f t="shared" si="61"/>
        <v>456.34109665225498</v>
      </c>
      <c r="BH108" s="59">
        <f t="shared" si="62"/>
        <v>749.67442998558829</v>
      </c>
      <c r="BI108" s="59">
        <f ca="1">AVERAGE(OFFSET($BH$3,0,0,'Données projet'!$E$11+1,1))-AVERAGE(OFFSET($H$3,0,0,'Données projet'!$E$11+1,1))</f>
        <v>442.85175349826028</v>
      </c>
      <c r="BJ108" s="59">
        <f t="shared" si="92"/>
        <v>210.70697808232501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51.657776276992017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51.657776276992017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300.80663531652721</v>
      </c>
      <c r="T109" s="59">
        <f t="shared" si="88"/>
        <v>306.01967513533549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55.613009543393957</v>
      </c>
      <c r="AA109" s="21">
        <f>EXP(-LN(2)/25)*AA108+(1-EXP(-LN(2)/25))/(LN(2)/25)*Calculateur!V109*Calculateur!X109*VLOOKUP('Données projet'!$B$9,Paramètres!$A$1:$I$89,3,0)*0.475*44/12</f>
        <v>23.936575735823418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79.549585279217382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349.5718186624772</v>
      </c>
      <c r="AO109" s="59">
        <f t="shared" si="90"/>
        <v>258.14152930815959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99.501045889337561</v>
      </c>
      <c r="AV109" s="21">
        <f>EXP(-LN(2)/25)*AV108+(1-EXP(-LN(2)/25))/(LN(2)/25)*Calculateur!AQ109*Calculateur!AS109*VLOOKUP('Données projet'!$B$10,Paramètres!$A$1:$I$89,3,0)*0.475*44/12</f>
        <v>40.323790993535944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139.82483688287351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215.38717200000033</v>
      </c>
      <c r="BF109" s="13">
        <f t="shared" si="91"/>
        <v>53.111077247020198</v>
      </c>
      <c r="BG109" s="20">
        <f t="shared" si="61"/>
        <v>467.63445077189402</v>
      </c>
      <c r="BH109" s="59">
        <f t="shared" si="62"/>
        <v>760.96778410522734</v>
      </c>
      <c r="BI109" s="59">
        <f ca="1">AVERAGE(OFFSET($BH$3,0,0,'Données projet'!$E$11+1,1))-AVERAGE(OFFSET($H$3,0,0,'Données projet'!$E$11+1,1))</f>
        <v>442.85175349826028</v>
      </c>
      <c r="BJ109" s="59">
        <f t="shared" si="92"/>
        <v>210.70697808232501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50.644798792332566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50.644798792332566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300.80663531652721</v>
      </c>
      <c r="T110" s="59">
        <f t="shared" si="88"/>
        <v>306.01967513533549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54.522472346834441</v>
      </c>
      <c r="AA110" s="21">
        <f>EXP(-LN(2)/25)*AA109+(1-EXP(-LN(2)/25))/(LN(2)/25)*Calculateur!V110*Calculateur!X110*VLOOKUP('Données projet'!$B$9,Paramètres!$A$1:$I$89,3,0)*0.475*44/12</f>
        <v>23.282028813557517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77.804501160391965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349.5718186624772</v>
      </c>
      <c r="AO110" s="59">
        <f t="shared" si="90"/>
        <v>258.14152930815959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97.549891069093036</v>
      </c>
      <c r="AV110" s="21">
        <f>EXP(-LN(2)/25)*AV109+(1-EXP(-LN(2)/25))/(LN(2)/25)*Calculateur!AQ110*Calculateur!AS110*VLOOKUP('Données projet'!$B$10,Paramètres!$A$1:$I$89,3,0)*0.475*44/12</f>
        <v>39.221134808281697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136.77102587737474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220.70997000000031</v>
      </c>
      <c r="BF110" s="13">
        <f t="shared" si="91"/>
        <v>54.269165244903427</v>
      </c>
      <c r="BG110" s="20">
        <f t="shared" si="61"/>
        <v>478.92199388487393</v>
      </c>
      <c r="BH110" s="59">
        <f t="shared" si="62"/>
        <v>772.25532721820719</v>
      </c>
      <c r="BI110" s="59">
        <f ca="1">AVERAGE(OFFSET($BH$3,0,0,'Données projet'!$E$11+1,1))-AVERAGE(OFFSET($H$3,0,0,'Données projet'!$E$11+1,1))</f>
        <v>442.85175349826028</v>
      </c>
      <c r="BJ110" s="59">
        <f t="shared" si="92"/>
        <v>210.70697808232501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49.651685178292027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49.651685178292027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300.80663531652721</v>
      </c>
      <c r="T111" s="59">
        <f t="shared" si="88"/>
        <v>306.01967513533549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53.453319919537449</v>
      </c>
      <c r="AA111" s="21">
        <f>EXP(-LN(2)/25)*AA110+(1-EXP(-LN(2)/25))/(LN(2)/25)*Calculateur!V111*Calculateur!X111*VLOOKUP('Données projet'!$B$9,Paramètres!$A$1:$I$89,3,0)*0.475*44/12</f>
        <v>22.645380511302104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76.098700430839557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349.5718186624772</v>
      </c>
      <c r="AO111" s="59">
        <f t="shared" si="90"/>
        <v>258.14152930815959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95.636997204786582</v>
      </c>
      <c r="AV111" s="21">
        <f>EXP(-LN(2)/25)*AV110+(1-EXP(-LN(2)/25))/(LN(2)/25)*Calculateur!AQ111*Calculateur!AS111*VLOOKUP('Données projet'!$B$10,Paramètres!$A$1:$I$89,3,0)*0.475*44/12</f>
        <v>38.148630814399397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133.78562801918599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226.03276800000035</v>
      </c>
      <c r="BF111" s="13">
        <f t="shared" si="91"/>
        <v>55.42400650183086</v>
      </c>
      <c r="BG111" s="20">
        <f t="shared" si="61"/>
        <v>490.20388225735604</v>
      </c>
      <c r="BH111" s="59">
        <f t="shared" si="62"/>
        <v>783.53721559068936</v>
      </c>
      <c r="BI111" s="59">
        <f ca="1">AVERAGE(OFFSET($BH$3,0,0,'Données projet'!$E$11+1,1))-AVERAGE(OFFSET($H$3,0,0,'Données projet'!$E$11+1,1))</f>
        <v>442.85175349826028</v>
      </c>
      <c r="BJ111" s="59">
        <f t="shared" si="92"/>
        <v>210.70697808232501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48.678045916483327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48.678045916483327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300.80663531652721</v>
      </c>
      <c r="T112" s="59">
        <f t="shared" si="88"/>
        <v>306.01967513533549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52.40513291922116</v>
      </c>
      <c r="AA112" s="21">
        <f>EXP(-LN(2)/25)*AA111+(1-EXP(-LN(2)/25))/(LN(2)/25)*Calculateur!V112*Calculateur!X112*VLOOKUP('Données projet'!$B$9,Paramètres!$A$1:$I$89,3,0)*0.475*44/12</f>
        <v>22.026141390351743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74.431274309572899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349.5718186624772</v>
      </c>
      <c r="AO112" s="59">
        <f t="shared" si="90"/>
        <v>258.14152930815959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93.76161402240912</v>
      </c>
      <c r="AV112" s="21">
        <f>EXP(-LN(2)/25)*AV111+(1-EXP(-LN(2)/25))/(LN(2)/25)*Calculateur!AQ112*Calculateur!AS112*VLOOKUP('Données projet'!$B$10,Paramètres!$A$1:$I$89,3,0)*0.475*44/12</f>
        <v>37.105454498630337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130.86706852103947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231.35556600000035</v>
      </c>
      <c r="BF112" s="13">
        <f t="shared" si="91"/>
        <v>56.575686273246639</v>
      </c>
      <c r="BG112" s="20">
        <f t="shared" si="61"/>
        <v>501.48026437590511</v>
      </c>
      <c r="BH112" s="59">
        <f t="shared" si="62"/>
        <v>794.81359770923837</v>
      </c>
      <c r="BI112" s="59">
        <f ca="1">AVERAGE(OFFSET($BH$3,0,0,'Données projet'!$E$11+1,1))-AVERAGE(OFFSET($H$3,0,0,'Données projet'!$E$11+1,1))</f>
        <v>442.85175349826028</v>
      </c>
      <c r="BJ112" s="59">
        <f t="shared" si="92"/>
        <v>210.70697808232501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47.723499126737387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47.723499126737387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300.80663531652721</v>
      </c>
      <c r="T113" s="59">
        <f t="shared" si="88"/>
        <v>306.01967513533549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51.377500226650135</v>
      </c>
      <c r="AA113" s="21">
        <f>EXP(-LN(2)/25)*AA112+(1-EXP(-LN(2)/25))/(LN(2)/25)*Calculateur!V113*Calculateur!X113*VLOOKUP('Données projet'!$B$9,Paramètres!$A$1:$I$89,3,0)*0.475*44/12</f>
        <v>21.42383539572814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72.801335622378275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349.5718186624772</v>
      </c>
      <c r="AO113" s="59">
        <f t="shared" si="90"/>
        <v>258.14152930815959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91.923005960367291</v>
      </c>
      <c r="AV113" s="21">
        <f>EXP(-LN(2)/25)*AV112+(1-EXP(-LN(2)/25))/(LN(2)/25)*Calculateur!AQ113*Calculateur!AS113*VLOOKUP('Données projet'!$B$10,Paramètres!$A$1:$I$89,3,0)*0.475*44/12</f>
        <v>36.090803894074241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128.01380985444155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236.67836400000033</v>
      </c>
      <c r="BF113" s="13">
        <f t="shared" si="91"/>
        <v>57.724285667788187</v>
      </c>
      <c r="BG113" s="20">
        <f t="shared" si="61"/>
        <v>512.75128150473165</v>
      </c>
      <c r="BH113" s="59">
        <f t="shared" si="62"/>
        <v>806.08461483806491</v>
      </c>
      <c r="BI113" s="59">
        <f ca="1">AVERAGE(OFFSET($BH$3,0,0,'Données projet'!$E$11+1,1))-AVERAGE(OFFSET($H$3,0,0,'Données projet'!$E$11+1,1))</f>
        <v>442.85175349826028</v>
      </c>
      <c r="BJ113" s="59">
        <f t="shared" si="92"/>
        <v>210.70697808232501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46.78767041732231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46.78767041732231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300.80663531652721</v>
      </c>
      <c r="T114" s="59">
        <f t="shared" si="88"/>
        <v>306.01967513533549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50.370018784386374</v>
      </c>
      <c r="AA114" s="21">
        <f>EXP(-LN(2)/25)*AA113+(1-EXP(-LN(2)/25))/(LN(2)/25)*Calculateur!V114*Calculateur!X114*VLOOKUP('Données projet'!$B$9,Paramètres!$A$1:$I$89,3,0)*0.475*44/12</f>
        <v>20.837999490201415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71.208018274587786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349.5718186624772</v>
      </c>
      <c r="AO114" s="59">
        <f t="shared" si="90"/>
        <v>258.14152930815959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90.120451880981918</v>
      </c>
      <c r="AV114" s="21">
        <f>EXP(-LN(2)/25)*AV113+(1-EXP(-LN(2)/25))/(LN(2)/25)*Calculateur!AQ114*Calculateur!AS114*VLOOKUP('Données projet'!$B$10,Paramètres!$A$1:$I$89,3,0)*0.475*44/12</f>
        <v>35.10389896365789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125.22435084463982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242.00116200000033</v>
      </c>
      <c r="BF114" s="13">
        <f t="shared" si="91"/>
        <v>58.869881937639626</v>
      </c>
      <c r="BG114" s="20">
        <f t="shared" si="61"/>
        <v>524.01706819138963</v>
      </c>
      <c r="BH114" s="59">
        <f t="shared" si="62"/>
        <v>817.35040152472288</v>
      </c>
      <c r="BI114" s="59">
        <f ca="1">AVERAGE(OFFSET($BH$3,0,0,'Données projet'!$E$11+1,1))-AVERAGE(OFFSET($H$3,0,0,'Données projet'!$E$11+1,1))</f>
        <v>442.85175349826028</v>
      </c>
      <c r="BJ114" s="59">
        <f t="shared" si="92"/>
        <v>210.70697808232501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45.870192738099718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45.870192738099718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300.80663531652721</v>
      </c>
      <c r="T115" s="59">
        <f t="shared" si="88"/>
        <v>306.01967513533549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49.382293438702405</v>
      </c>
      <c r="AA115" s="21">
        <f>EXP(-LN(2)/25)*AA114+(1-EXP(-LN(2)/25))/(LN(2)/25)*Calculateur!V115*Calculateur!X115*VLOOKUP('Données projet'!$B$9,Paramètres!$A$1:$I$89,3,0)*0.475*44/12</f>
        <v>20.268183298319091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69.650476737021492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349.5718186624772</v>
      </c>
      <c r="AO115" s="59">
        <f t="shared" si="90"/>
        <v>258.14152930815959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88.35324478764386</v>
      </c>
      <c r="AV115" s="21">
        <f>EXP(-LN(2)/25)*AV114+(1-EXP(-LN(2)/25))/(LN(2)/25)*Calculateur!AQ115*Calculateur!AS115*VLOOKUP('Données projet'!$B$10,Paramètres!$A$1:$I$89,3,0)*0.475*44/12</f>
        <v>34.143981000462851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122.4972257881067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247.32396000000037</v>
      </c>
      <c r="BF115" s="13">
        <f t="shared" si="91"/>
        <v>60.012548742620076</v>
      </c>
      <c r="BG115" s="20">
        <f t="shared" si="61"/>
        <v>535.27775272673057</v>
      </c>
      <c r="BH115" s="59">
        <f t="shared" si="62"/>
        <v>828.61108606006383</v>
      </c>
      <c r="BI115" s="59">
        <f ca="1">AVERAGE(OFFSET($BH$3,0,0,'Données projet'!$E$11+1,1))-AVERAGE(OFFSET($H$3,0,0,'Données projet'!$E$11+1,1))</f>
        <v>442.85175349826028</v>
      </c>
      <c r="BJ115" s="59">
        <f t="shared" si="92"/>
        <v>210.70697808232501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44.970706236560552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44.970706236560552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300.80663531652721</v>
      </c>
      <c r="T116" s="59">
        <f t="shared" si="88"/>
        <v>306.01967513533549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48.41393678459432</v>
      </c>
      <c r="AA116" s="21">
        <f>EXP(-LN(2)/25)*AA115+(1-EXP(-LN(2)/25))/(LN(2)/25)*Calculateur!V116*Calculateur!X116*VLOOKUP('Données projet'!$B$9,Paramètres!$A$1:$I$89,3,0)*0.475*44/12</f>
        <v>19.713948760169121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68.127885544763444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349.5718186624772</v>
      </c>
      <c r="AO116" s="59">
        <f t="shared" si="90"/>
        <v>258.14152930815959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86.620691547516273</v>
      </c>
      <c r="AV116" s="21">
        <f>EXP(-LN(2)/25)*AV115+(1-EXP(-LN(2)/25))/(LN(2)/25)*Calculateur!AQ116*Calculateur!AS116*VLOOKUP('Données projet'!$B$10,Paramètres!$A$1:$I$89,3,0)*0.475*44/12</f>
        <v>33.210312044451271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119.83100359196754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252.64675800000035</v>
      </c>
      <c r="BF116" s="13">
        <f t="shared" si="91"/>
        <v>61.152356390895321</v>
      </c>
      <c r="BG116" s="20">
        <f t="shared" si="61"/>
        <v>546.5334575641433</v>
      </c>
      <c r="BH116" s="59">
        <f t="shared" si="62"/>
        <v>839.86679089747668</v>
      </c>
      <c r="BI116" s="59">
        <f ca="1">AVERAGE(OFFSET($BH$3,0,0,'Données projet'!$E$11+1,1))-AVERAGE(OFFSET($H$3,0,0,'Données projet'!$E$11+1,1))</f>
        <v>442.85175349826028</v>
      </c>
      <c r="BJ116" s="59">
        <f t="shared" si="92"/>
        <v>210.70697808232501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44.088858116683973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44.088858116683973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300.80663531652721</v>
      </c>
      <c r="T117" s="59">
        <f t="shared" si="88"/>
        <v>306.01967513533549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47.464569013834058</v>
      </c>
      <c r="AA117" s="21">
        <f>EXP(-LN(2)/25)*AA116+(1-EXP(-LN(2)/25))/(LN(2)/25)*Calculateur!V117*Calculateur!X117*VLOOKUP('Données projet'!$B$9,Paramètres!$A$1:$I$89,3,0)*0.475*44/12</f>
        <v>19.174869794610789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66.639438808444851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349.5718186624772</v>
      </c>
      <c r="AO117" s="59">
        <f t="shared" si="90"/>
        <v>258.14152930815959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84.922112619674451</v>
      </c>
      <c r="AV117" s="21">
        <f>EXP(-LN(2)/25)*AV116+(1-EXP(-LN(2)/25))/(LN(2)/25)*Calculateur!AQ117*Calculateur!AS117*VLOOKUP('Données projet'!$B$10,Paramètres!$A$1:$I$89,3,0)*0.475*44/12</f>
        <v>32.302174315141343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117.22428693481579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257.96955600000035</v>
      </c>
      <c r="BF117" s="13">
        <f t="shared" si="91"/>
        <v>62.289372058832555</v>
      </c>
      <c r="BG117" s="20">
        <f t="shared" si="61"/>
        <v>557.78429970246725</v>
      </c>
      <c r="BH117" s="59">
        <f t="shared" si="62"/>
        <v>851.11763303580051</v>
      </c>
      <c r="BI117" s="59">
        <f ca="1">AVERAGE(OFFSET($BH$3,0,0,'Données projet'!$E$11+1,1))-AVERAGE(OFFSET($H$3,0,0,'Données projet'!$E$11+1,1))</f>
        <v>442.85175349826028</v>
      </c>
      <c r="BJ117" s="59">
        <f t="shared" si="92"/>
        <v>210.70697808232501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0.318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56.44632343387412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56.44632343387412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300.80663531652721</v>
      </c>
      <c r="T118" s="59">
        <f t="shared" si="88"/>
        <v>306.01967513533549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46.533817766001242</v>
      </c>
      <c r="AA118" s="21">
        <f>EXP(-LN(2)/25)*AA117+(1-EXP(-LN(2)/25))/(LN(2)/25)*Calculateur!V118*Calculateur!X118*VLOOKUP('Données projet'!$B$9,Paramètres!$A$1:$I$89,3,0)*0.475*44/12</f>
        <v>18.650531971714578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65.18434973771582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349.5718186624772</v>
      </c>
      <c r="AO118" s="59">
        <f t="shared" si="90"/>
        <v>258.14152930815959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83.256841788576764</v>
      </c>
      <c r="AV118" s="21">
        <f>EXP(-LN(2)/25)*AV117+(1-EXP(-LN(2)/25))/(LN(2)/25)*Calculateur!AQ118*Calculateur!AS118*VLOOKUP('Données projet'!$B$10,Paramètres!$A$1:$I$89,3,0)*0.475*44/12</f>
        <v>31.418869659796282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114.67571144837305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225.71883360000038</v>
      </c>
      <c r="BF118" s="13">
        <f t="shared" si="91"/>
        <v>55.355983428476335</v>
      </c>
      <c r="BG118" s="20">
        <f t="shared" si="61"/>
        <v>489.53863965793022</v>
      </c>
      <c r="BH118" s="59">
        <f t="shared" si="62"/>
        <v>782.87197299126353</v>
      </c>
      <c r="BI118" s="59">
        <f ca="1">AVERAGE(OFFSET($BH$3,0,0,'Données projet'!$E$11+1,1))-AVERAGE(OFFSET($H$3,0,0,'Données projet'!$E$11+1,1))</f>
        <v>442.85175349826028</v>
      </c>
      <c r="BJ118" s="59">
        <f t="shared" si="92"/>
        <v>210.70697808232501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55.339445460193573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55.339445460193573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300.80663531652721</v>
      </c>
      <c r="T119" s="59">
        <f t="shared" si="88"/>
        <v>306.01967513533549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45.621317982436224</v>
      </c>
      <c r="AA119" s="21">
        <f>EXP(-LN(2)/25)*AA118+(1-EXP(-LN(2)/25))/(LN(2)/25)*Calculateur!V119*Calculateur!X119*VLOOKUP('Données projet'!$B$9,Paramètres!$A$1:$I$89,3,0)*0.475*44/12</f>
        <v>18.140532194159192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63.761850176595416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349.5718186624772</v>
      </c>
      <c r="AO119" s="59">
        <f t="shared" si="90"/>
        <v>258.14152930815959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81.624225902761992</v>
      </c>
      <c r="AV119" s="21">
        <f>EXP(-LN(2)/25)*AV118+(1-EXP(-LN(2)/25))/(LN(2)/25)*Calculateur!AQ119*Calculateur!AS119*VLOOKUP('Données projet'!$B$10,Paramètres!$A$1:$I$89,3,0)*0.475*44/12</f>
        <v>30.559719016702605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112.18394491946459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231.07986720000036</v>
      </c>
      <c r="BF119" s="13">
        <f t="shared" si="91"/>
        <v>56.516110375661739</v>
      </c>
      <c r="BG119" s="20">
        <f t="shared" si="61"/>
        <v>500.89632761094487</v>
      </c>
      <c r="BH119" s="59">
        <f t="shared" si="62"/>
        <v>794.22966094427818</v>
      </c>
      <c r="BI119" s="59">
        <f ca="1">AVERAGE(OFFSET($BH$3,0,0,'Données projet'!$E$11+1,1))-AVERAGE(OFFSET($H$3,0,0,'Données projet'!$E$11+1,1))</f>
        <v>442.85175349826028</v>
      </c>
      <c r="BJ119" s="59">
        <f t="shared" si="92"/>
        <v>210.70697808232501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54.254272688448005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54.254272688448005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300.80663531652721</v>
      </c>
      <c r="T120" s="59">
        <f t="shared" si="88"/>
        <v>306.01967513533549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44.726711763057004</v>
      </c>
      <c r="AA120" s="21">
        <f>EXP(-LN(2)/25)*AA119+(1-EXP(-LN(2)/25))/(LN(2)/25)*Calculateur!V120*Calculateur!X120*VLOOKUP('Données projet'!$B$9,Paramètres!$A$1:$I$89,3,0)*0.475*44/12</f>
        <v>17.644478387340783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62.371190150397787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349.5718186624772</v>
      </c>
      <c r="AO120" s="59">
        <f t="shared" si="90"/>
        <v>258.14152930815959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80.023624618670681</v>
      </c>
      <c r="AV120" s="21">
        <f>EXP(-LN(2)/25)*AV119+(1-EXP(-LN(2)/25))/(LN(2)/25)*Calculateur!AQ120*Calculateur!AS120*VLOOKUP('Données projet'!$B$10,Paramètres!$A$1:$I$89,3,0)*0.475*44/12</f>
        <v>29.724061893125093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109.74768651179578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236.44090080000038</v>
      </c>
      <c r="BF120" s="13">
        <f t="shared" si="91"/>
        <v>57.673108364188977</v>
      </c>
      <c r="BG120" s="20">
        <f t="shared" si="61"/>
        <v>512.24856596096311</v>
      </c>
      <c r="BH120" s="59">
        <f t="shared" si="62"/>
        <v>805.58189929429636</v>
      </c>
      <c r="BI120" s="59">
        <f ca="1">AVERAGE(OFFSET($BH$3,0,0,'Données projet'!$E$11+1,1))-AVERAGE(OFFSET($H$3,0,0,'Données projet'!$E$11+1,1))</f>
        <v>442.85175349826028</v>
      </c>
      <c r="BJ120" s="59">
        <f t="shared" si="92"/>
        <v>210.70697808232501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53.190379492866334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53.190379492866334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300.80663531652721</v>
      </c>
      <c r="T121" s="59">
        <f t="shared" si="88"/>
        <v>306.01967513533549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43.849648225983898</v>
      </c>
      <c r="AA121" s="21">
        <f>EXP(-LN(2)/25)*AA120+(1-EXP(-LN(2)/25))/(LN(2)/25)*Calculateur!V121*Calculateur!X121*VLOOKUP('Données projet'!$B$9,Paramètres!$A$1:$I$89,3,0)*0.475*44/12</f>
        <v>17.161989197956157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61.011637423940059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349.5718186624772</v>
      </c>
      <c r="AO121" s="59">
        <f t="shared" si="90"/>
        <v>258.14152930815959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78.454410149490016</v>
      </c>
      <c r="AV121" s="21">
        <f>EXP(-LN(2)/25)*AV120+(1-EXP(-LN(2)/25))/(LN(2)/25)*Calculateur!AQ121*Calculateur!AS121*VLOOKUP('Données projet'!$B$10,Paramètres!$A$1:$I$89,3,0)*0.475*44/12</f>
        <v>28.911255857537107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107.36566600702713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241.80193440000039</v>
      </c>
      <c r="BF121" s="13">
        <f t="shared" si="91"/>
        <v>58.827056507048894</v>
      </c>
      <c r="BG121" s="20">
        <f t="shared" si="61"/>
        <v>523.59549249644408</v>
      </c>
      <c r="BH121" s="59">
        <f t="shared" si="62"/>
        <v>816.92882582977745</v>
      </c>
      <c r="BI121" s="59">
        <f ca="1">AVERAGE(OFFSET($BH$3,0,0,'Données projet'!$E$11+1,1))-AVERAGE(OFFSET($H$3,0,0,'Données projet'!$E$11+1,1))</f>
        <v>442.85175349826028</v>
      </c>
      <c r="BJ121" s="59">
        <f t="shared" si="92"/>
        <v>210.70697808232501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52.147348593939242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52.147348593939242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300.80663531652721</v>
      </c>
      <c r="T122" s="59">
        <f t="shared" si="88"/>
        <v>306.01967513533549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42.989783369916857</v>
      </c>
      <c r="AA122" s="21">
        <f>EXP(-LN(2)/25)*AA121+(1-EXP(-LN(2)/25))/(LN(2)/25)*Calculateur!V122*Calculateur!X122*VLOOKUP('Données projet'!$B$9,Paramètres!$A$1:$I$89,3,0)*0.475*44/12</f>
        <v>16.692693700828258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59.682477070745115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349.5718186624772</v>
      </c>
      <c r="AO122" s="59">
        <f t="shared" si="90"/>
        <v>258.14152930815959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76.915967018923666</v>
      </c>
      <c r="AV122" s="21">
        <f>EXP(-LN(2)/25)*AV121+(1-EXP(-LN(2)/25))/(LN(2)/25)*Calculateur!AQ122*Calculateur!AS122*VLOOKUP('Données projet'!$B$10,Paramètres!$A$1:$I$89,3,0)*0.475*44/12</f>
        <v>28.120676045735888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105.03664306465956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247.16296800000043</v>
      </c>
      <c r="BF122" s="13">
        <f t="shared" si="91"/>
        <v>59.978030208879936</v>
      </c>
      <c r="BG122" s="20">
        <f t="shared" si="61"/>
        <v>534.93723854713335</v>
      </c>
      <c r="BH122" s="59">
        <f t="shared" si="62"/>
        <v>828.2705718804666</v>
      </c>
      <c r="BI122" s="59">
        <f ca="1">AVERAGE(OFFSET($BH$3,0,0,'Données projet'!$E$11+1,1))-AVERAGE(OFFSET($H$3,0,0,'Données projet'!$E$11+1,1))</f>
        <v>442.85175349826028</v>
      </c>
      <c r="BJ122" s="59">
        <f t="shared" si="92"/>
        <v>210.70697808232501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51.124770894754079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51.124770894754079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300.80663531652721</v>
      </c>
      <c r="T123" s="59">
        <f t="shared" si="88"/>
        <v>306.01967513533549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42.14677993921152</v>
      </c>
      <c r="AA123" s="21">
        <f>EXP(-LN(2)/25)*AA122+(1-EXP(-LN(2)/25))/(LN(2)/25)*Calculateur!V123*Calculateur!X123*VLOOKUP('Données projet'!$B$9,Paramètres!$A$1:$I$89,3,0)*0.475*44/12</f>
        <v>16.236231113748499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58.383011052960015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349.5718186624772</v>
      </c>
      <c r="AO123" s="59">
        <f t="shared" si="90"/>
        <v>258.14152930815959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75.407691819790074</v>
      </c>
      <c r="AV123" s="21">
        <f>EXP(-LN(2)/25)*AV122+(1-EXP(-LN(2)/25))/(LN(2)/25)*Calculateur!AQ123*Calculateur!AS123*VLOOKUP('Données projet'!$B$10,Paramètres!$A$1:$I$89,3,0)*0.475*44/12</f>
        <v>27.351714680463157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102.75940650025323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252.52400160000039</v>
      </c>
      <c r="BF123" s="13">
        <f t="shared" si="91"/>
        <v>61.126101416398889</v>
      </c>
      <c r="BG123" s="20">
        <f t="shared" si="61"/>
        <v>546.27392942022868</v>
      </c>
      <c r="BH123" s="59">
        <f t="shared" si="62"/>
        <v>839.60726275356205</v>
      </c>
      <c r="BI123" s="59">
        <f ca="1">AVERAGE(OFFSET($BH$3,0,0,'Données projet'!$E$11+1,1))-AVERAGE(OFFSET($H$3,0,0,'Données projet'!$E$11+1,1))</f>
        <v>442.85175349826028</v>
      </c>
      <c r="BJ123" s="59">
        <f t="shared" si="92"/>
        <v>210.70697808232501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50.122245320539129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50.122245320539129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300.80663531652721</v>
      </c>
      <c r="T124" s="59">
        <f t="shared" si="88"/>
        <v>306.01967513533549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41.32030729160099</v>
      </c>
      <c r="AA124" s="21">
        <f>EXP(-LN(2)/25)*AA123+(1-EXP(-LN(2)/25))/(LN(2)/25)*Calculateur!V124*Calculateur!X124*VLOOKUP('Données projet'!$B$9,Paramètres!$A$1:$I$89,3,0)*0.475*44/12</f>
        <v>15.79225052011676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57.11255781171775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349.5718186624772</v>
      </c>
      <c r="AO124" s="59">
        <f t="shared" si="90"/>
        <v>258.14152930815959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73.928992977354454</v>
      </c>
      <c r="AV124" s="21">
        <f>EXP(-LN(2)/25)*AV123+(1-EXP(-LN(2)/25))/(LN(2)/25)*Calculateur!AQ124*Calculateur!AS124*VLOOKUP('Données projet'!$B$10,Paramètres!$A$1:$I$89,3,0)*0.475*44/12</f>
        <v>26.603780604161731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100.53277358151618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257.8850352000004</v>
      </c>
      <c r="BF124" s="13">
        <f t="shared" si="91"/>
        <v>62.271338846965236</v>
      </c>
      <c r="BG124" s="20">
        <f t="shared" si="61"/>
        <v>557.60568479846518</v>
      </c>
      <c r="BH124" s="59">
        <f t="shared" si="62"/>
        <v>850.93901813179855</v>
      </c>
      <c r="BI124" s="59">
        <f ca="1">AVERAGE(OFFSET($BH$3,0,0,'Données projet'!$E$11+1,1))-AVERAGE(OFFSET($H$3,0,0,'Données projet'!$E$11+1,1))</f>
        <v>442.85175349826028</v>
      </c>
      <c r="BJ124" s="59">
        <f t="shared" si="92"/>
        <v>210.70697808232501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49.139378661354314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49.139378661354314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300.80663531652721</v>
      </c>
      <c r="T125" s="59">
        <f t="shared" si="88"/>
        <v>306.01967513533549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40.510041268511564</v>
      </c>
      <c r="AA125" s="21">
        <f>EXP(-LN(2)/25)*AA124+(1-EXP(-LN(2)/25))/(LN(2)/25)*Calculateur!V125*Calculateur!X125*VLOOKUP('Données projet'!$B$9,Paramètres!$A$1:$I$89,3,0)*0.475*44/12</f>
        <v>15.360410599165805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55.870451867677367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349.5718186624772</v>
      </c>
      <c r="AO125" s="59">
        <f t="shared" si="90"/>
        <v>258.14152930815959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72.479290517301763</v>
      </c>
      <c r="AV125" s="21">
        <f>EXP(-LN(2)/25)*AV124+(1-EXP(-LN(2)/25))/(LN(2)/25)*Calculateur!AQ125*Calculateur!AS125*VLOOKUP('Données projet'!$B$10,Paramètres!$A$1:$I$89,3,0)*0.475*44/12</f>
        <v>25.876298824508911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98.355589341810671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263.24606880000044</v>
      </c>
      <c r="BF125" s="13">
        <f t="shared" si="91"/>
        <v>63.413808197603316</v>
      </c>
      <c r="BG125" s="20">
        <f t="shared" si="61"/>
        <v>568.93261910415981</v>
      </c>
      <c r="BH125" s="59">
        <f t="shared" si="62"/>
        <v>862.26595243749307</v>
      </c>
      <c r="BI125" s="59">
        <f ca="1">AVERAGE(OFFSET($BH$3,0,0,'Données projet'!$E$11+1,1))-AVERAGE(OFFSET($H$3,0,0,'Données projet'!$E$11+1,1))</f>
        <v>442.85175349826028</v>
      </c>
      <c r="BJ125" s="59">
        <f t="shared" si="92"/>
        <v>210.70697808232501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48.175785417866642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48.175785417866642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300.80663531652721</v>
      </c>
      <c r="T126" s="59">
        <f t="shared" si="88"/>
        <v>306.01967513533549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39.715664067921445</v>
      </c>
      <c r="AA126" s="21">
        <f>EXP(-LN(2)/25)*AA125+(1-EXP(-LN(2)/25))/(LN(2)/25)*Calculateur!V126*Calculateur!X126*VLOOKUP('Données projet'!$B$9,Paramètres!$A$1:$I$89,3,0)*0.475*44/12</f>
        <v>14.940379363562728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54.656043431484171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349.5718186624772</v>
      </c>
      <c r="AO126" s="59">
        <f t="shared" si="90"/>
        <v>258.14152930815959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71.058015838259507</v>
      </c>
      <c r="AV126" s="21">
        <f>EXP(-LN(2)/25)*AV125+(1-EXP(-LN(2)/25))/(LN(2)/25)*Calculateur!AQ126*Calculateur!AS126*VLOOKUP('Données projet'!$B$10,Paramètres!$A$1:$I$89,3,0)*0.475*44/12</f>
        <v>25.168710072377301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96.226725910636816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268.60710240000049</v>
      </c>
      <c r="BF126" s="13">
        <f t="shared" si="91"/>
        <v>64.553572336515671</v>
      </c>
      <c r="BG126" s="20">
        <f t="shared" si="61"/>
        <v>580.25484183276569</v>
      </c>
      <c r="BH126" s="59">
        <f t="shared" si="62"/>
        <v>873.58817516609906</v>
      </c>
      <c r="BI126" s="59">
        <f ca="1">AVERAGE(OFFSET($BH$3,0,0,'Données projet'!$E$11+1,1))-AVERAGE(OFFSET($H$3,0,0,'Données projet'!$E$11+1,1))</f>
        <v>442.85175349826028</v>
      </c>
      <c r="BJ126" s="59">
        <f t="shared" si="92"/>
        <v>210.70697808232501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47.231087650149924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47.231087650149924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300.80663531652721</v>
      </c>
      <c r="T127" s="59">
        <f t="shared" si="88"/>
        <v>306.01967513533549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38.936864119712652</v>
      </c>
      <c r="AA127" s="21">
        <f>EXP(-LN(2)/25)*AA126+(1-EXP(-LN(2)/25))/(LN(2)/25)*Calculateur!V127*Calculateur!X127*VLOOKUP('Données projet'!$B$9,Paramètres!$A$1:$I$89,3,0)*0.475*44/12</f>
        <v>14.531833904185701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53.468698023898355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349.5718186624772</v>
      </c>
      <c r="AO127" s="59">
        <f t="shared" si="90"/>
        <v>258.14152930815959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69.664611488781318</v>
      </c>
      <c r="AV127" s="21">
        <f>EXP(-LN(2)/25)*AV126+(1-EXP(-LN(2)/25))/(LN(2)/25)*Calculateur!AQ127*Calculateur!AS127*VLOOKUP('Données projet'!$B$10,Paramètres!$A$1:$I$89,3,0)*0.475*44/12</f>
        <v>24.480470371883204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94.145081860664519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273.96813600000047</v>
      </c>
      <c r="BF127" s="13">
        <f t="shared" si="91"/>
        <v>65.690691478876531</v>
      </c>
      <c r="BG127" s="20">
        <f t="shared" si="61"/>
        <v>591.57245785904422</v>
      </c>
      <c r="BH127" s="59">
        <f t="shared" si="62"/>
        <v>884.90579119237759</v>
      </c>
      <c r="BI127" s="59">
        <f ca="1">AVERAGE(OFFSET($BH$3,0,0,'Données projet'!$E$11+1,1))-AVERAGE(OFFSET($H$3,0,0,'Données projet'!$E$11+1,1))</f>
        <v>442.85175349826028</v>
      </c>
      <c r="BJ127" s="59">
        <f t="shared" si="92"/>
        <v>210.70697808232501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0.318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58.692158625183005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58.692158625183005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300.80663531652721</v>
      </c>
      <c r="T128" s="59">
        <f t="shared" si="88"/>
        <v>306.01967513533549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38.173335963467167</v>
      </c>
      <c r="AA128" s="21">
        <f>EXP(-LN(2)/25)*AA127+(1-EXP(-LN(2)/25))/(LN(2)/25)*Calculateur!V128*Calculateur!X128*VLOOKUP('Données projet'!$B$9,Paramètres!$A$1:$I$89,3,0)*0.475*44/12</f>
        <v>14.134460141879812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52.307796105346981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349.5718186624772</v>
      </c>
      <c r="AO128" s="59">
        <f t="shared" si="90"/>
        <v>258.14152930815959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68.298530948703672</v>
      </c>
      <c r="AV128" s="21">
        <f>EXP(-LN(2)/25)*AV127+(1-EXP(-LN(2)/25))/(LN(2)/25)*Calculateur!AQ128*Calculateur!AS128*VLOOKUP('Données projet'!$B$10,Paramètres!$A$1:$I$89,3,0)*0.475*44/12</f>
        <v>23.81105062219207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92.109581570895742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244.1443680000005</v>
      </c>
      <c r="BF128" s="13">
        <f t="shared" si="91"/>
        <v>59.330321005302253</v>
      </c>
      <c r="BG128" s="20">
        <f t="shared" si="61"/>
        <v>528.55175001756891</v>
      </c>
      <c r="BH128" s="59">
        <f t="shared" si="62"/>
        <v>821.88508335090228</v>
      </c>
      <c r="BI128" s="59">
        <f ca="1">AVERAGE(OFFSET($BH$3,0,0,'Données projet'!$E$11+1,1))-AVERAGE(OFFSET($H$3,0,0,'Données projet'!$E$11+1,1))</f>
        <v>442.85175349826028</v>
      </c>
      <c r="BJ128" s="59">
        <f t="shared" si="92"/>
        <v>210.70697808232501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57.541241193225105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57.541241193225105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300.80663531652721</v>
      </c>
      <c r="T129" s="59">
        <f t="shared" si="88"/>
        <v>306.01967513533549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37.424780128659464</v>
      </c>
      <c r="AA129" s="21">
        <f>EXP(-LN(2)/25)*AA128+(1-EXP(-LN(2)/25))/(LN(2)/25)*Calculateur!V129*Calculateur!X129*VLOOKUP('Données projet'!$B$9,Paramètres!$A$1:$I$89,3,0)*0.475*44/12</f>
        <v>13.747952586001155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51.172732714660619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349.5718186624772</v>
      </c>
      <c r="AO129" s="59">
        <f t="shared" si="90"/>
        <v>258.14152930815959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66.959238414790093</v>
      </c>
      <c r="AV129" s="21">
        <f>EXP(-LN(2)/25)*AV128+(1-EXP(-LN(2)/25))/(LN(2)/25)*Calculateur!AQ129*Calculateur!AS129*VLOOKUP('Données projet'!$B$10,Paramètres!$A$1:$I$89,3,0)*0.475*44/12</f>
        <v>23.159936190759495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90.119174605549588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249.55772400000046</v>
      </c>
      <c r="BF129" s="13">
        <f t="shared" si="91"/>
        <v>60.49122434587882</v>
      </c>
      <c r="BG129" s="20">
        <f t="shared" si="61"/>
        <v>540.00191836907311</v>
      </c>
      <c r="BH129" s="59">
        <f t="shared" si="62"/>
        <v>833.33525170240637</v>
      </c>
      <c r="BI129" s="59">
        <f ca="1">AVERAGE(OFFSET($BH$3,0,0,'Données projet'!$E$11+1,1))-AVERAGE(OFFSET($H$3,0,0,'Données projet'!$E$11+1,1))</f>
        <v>442.85175349826028</v>
      </c>
      <c r="BJ129" s="59">
        <f t="shared" si="92"/>
        <v>210.70697808232501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56.412892550117576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56.412892550117576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300.80663531652721</v>
      </c>
      <c r="T130" s="59">
        <f t="shared" si="88"/>
        <v>306.01967513533549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36.690903017198366</v>
      </c>
      <c r="AA130" s="21">
        <f>EXP(-LN(2)/25)*AA129+(1-EXP(-LN(2)/25))/(LN(2)/25)*Calculateur!V130*Calculateur!X130*VLOOKUP('Données projet'!$B$9,Paramètres!$A$1:$I$89,3,0)*0.475*44/12</f>
        <v>13.372014099563549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50.062917116761916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349.5718186624772</v>
      </c>
      <c r="AO130" s="59">
        <f t="shared" si="90"/>
        <v>258.14152930815959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65.646208590578766</v>
      </c>
      <c r="AV130" s="21">
        <f>EXP(-LN(2)/25)*AV129+(1-EXP(-LN(2)/25))/(LN(2)/25)*Calculateur!AQ130*Calculateur!AS130*VLOOKUP('Données projet'!$B$10,Paramètres!$A$1:$I$89,3,0)*0.475*44/12</f>
        <v>22.526626517695064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88.17283510827383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254.97108000000048</v>
      </c>
      <c r="BF130" s="13">
        <f t="shared" si="91"/>
        <v>61.649199946840042</v>
      </c>
      <c r="BG130" s="20">
        <f t="shared" si="61"/>
        <v>551.44698757408059</v>
      </c>
      <c r="BH130" s="59">
        <f t="shared" si="62"/>
        <v>844.78032090741385</v>
      </c>
      <c r="BI130" s="59">
        <f ca="1">AVERAGE(OFFSET($BH$3,0,0,'Données projet'!$E$11+1,1))-AVERAGE(OFFSET($H$3,0,0,'Données projet'!$E$11+1,1))</f>
        <v>442.85175349826028</v>
      </c>
      <c r="BJ130" s="59">
        <f t="shared" si="92"/>
        <v>210.70697808232501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55.306670135676669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55.306670135676669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300.80663531652721</v>
      </c>
      <c r="T131" s="59">
        <f t="shared" si="88"/>
        <v>306.01967513533549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35.97141678827218</v>
      </c>
      <c r="AA131" s="21">
        <f>EXP(-LN(2)/25)*AA130+(1-EXP(-LN(2)/25))/(LN(2)/25)*Calculateur!V131*Calculateur!X131*VLOOKUP('Données projet'!$B$9,Paramètres!$A$1:$I$89,3,0)*0.475*44/12</f>
        <v>13.006355670807324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48.977772459079503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349.5718186624772</v>
      </c>
      <c r="AO131" s="59">
        <f t="shared" si="90"/>
        <v>258.14152930815959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64.358926480351116</v>
      </c>
      <c r="AV131" s="21">
        <f>EXP(-LN(2)/25)*AV130+(1-EXP(-LN(2)/25))/(LN(2)/25)*Calculateur!AQ131*Calculateur!AS131*VLOOKUP('Données projet'!$B$10,Paramètres!$A$1:$I$89,3,0)*0.475*44/12</f>
        <v>21.910634730944889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86.269561211296008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260.38443600000045</v>
      </c>
      <c r="BF131" s="13">
        <f t="shared" si="91"/>
        <v>62.804317127986735</v>
      </c>
      <c r="BG131" s="20">
        <f t="shared" si="61"/>
        <v>562.88707836457763</v>
      </c>
      <c r="BH131" s="59">
        <f t="shared" si="62"/>
        <v>856.220411697911</v>
      </c>
      <c r="BI131" s="59">
        <f ca="1">AVERAGE(OFFSET($BH$3,0,0,'Données projet'!$E$11+1,1))-AVERAGE(OFFSET($H$3,0,0,'Données projet'!$E$11+1,1))</f>
        <v>442.85175349826028</v>
      </c>
      <c r="BJ131" s="59">
        <f t="shared" si="92"/>
        <v>210.70697808232501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54.222140068053903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54.222140068053903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300.80663531652721</v>
      </c>
      <c r="T132" s="59">
        <f t="shared" si="88"/>
        <v>306.01967513533549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35.266039245451971</v>
      </c>
      <c r="AA132" s="21">
        <f>EXP(-LN(2)/25)*AA131+(1-EXP(-LN(2)/25))/(LN(2)/25)*Calculateur!V132*Calculateur!X132*VLOOKUP('Données projet'!$B$9,Paramètres!$A$1:$I$89,3,0)*0.475*44/12</f>
        <v>12.650696191014578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47.916735436466553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349.5718186624772</v>
      </c>
      <c r="AO132" s="59">
        <f t="shared" si="90"/>
        <v>258.14152930815959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63.096887187140467</v>
      </c>
      <c r="AV132" s="21">
        <f>EXP(-LN(2)/25)*AV131+(1-EXP(-LN(2)/25))/(LN(2)/25)*Calculateur!AQ132*Calculateur!AS132*VLOOKUP('Données projet'!$B$10,Paramètres!$A$1:$I$89,3,0)*0.475*44/12</f>
        <v>21.311487271996999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84.408374459137463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265.79779200000047</v>
      </c>
      <c r="BF132" s="13">
        <f t="shared" si="91"/>
        <v>63.956642162100721</v>
      </c>
      <c r="BG132" s="20">
        <f t="shared" ref="BG132:BG153" si="115">(BE132+BF132)*0.475*44/12</f>
        <v>574.32230616565948</v>
      </c>
      <c r="BH132" s="59">
        <f t="shared" ref="BH132:BH195" si="116">BG132+(AY132+AZ132)*44/12</f>
        <v>867.65563949899274</v>
      </c>
      <c r="BI132" s="59">
        <f ca="1">AVERAGE(OFFSET($BH$3,0,0,'Données projet'!$E$11+1,1))-AVERAGE(OFFSET($H$3,0,0,'Données projet'!$E$11+1,1))</f>
        <v>442.85175349826028</v>
      </c>
      <c r="BJ132" s="59">
        <f t="shared" si="92"/>
        <v>210.70697808232501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53.158876973559195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53.158876973559195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300.80663531652721</v>
      </c>
      <c r="T133" s="59">
        <f t="shared" ref="T133:T196" si="142">$T$3</f>
        <v>306.01967513533549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34.574493726008647</v>
      </c>
      <c r="AA133" s="21">
        <f>EXP(-LN(2)/25)*AA132+(1-EXP(-LN(2)/25))/(LN(2)/25)*Calculateur!V133*Calculateur!X133*VLOOKUP('Données projet'!$B$9,Paramètres!$A$1:$I$89,3,0)*0.475*44/12</f>
        <v>12.304762238400086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46.879255964408735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349.5718186624772</v>
      </c>
      <c r="AO133" s="59">
        <f t="shared" ref="AO133:AO196" si="144">$AO$3</f>
        <v>258.14152930815959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61.859595714701719</v>
      </c>
      <c r="AV133" s="21">
        <f>EXP(-LN(2)/25)*AV132+(1-EXP(-LN(2)/25))/(LN(2)/25)*Calculateur!AQ133*Calculateur!AS133*VLOOKUP('Données projet'!$B$10,Paramètres!$A$1:$I$89,3,0)*0.475*44/12</f>
        <v>20.728723531821835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82.588319246523554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271.21114800000049</v>
      </c>
      <c r="BF133" s="13">
        <f t="shared" ref="BF133:BF153" si="145">EXP(-1.0587+0.8836*LN(BE133)+0.284)</f>
        <v>65.106238468163269</v>
      </c>
      <c r="BG133" s="20">
        <f t="shared" si="115"/>
        <v>585.75278143205185</v>
      </c>
      <c r="BH133" s="59">
        <f t="shared" si="116"/>
        <v>879.08611476538522</v>
      </c>
      <c r="BI133" s="59">
        <f ca="1">AVERAGE(OFFSET($BH$3,0,0,'Données projet'!$E$11+1,1))-AVERAGE(OFFSET($H$3,0,0,'Données projet'!$E$11+1,1))</f>
        <v>442.85175349826028</v>
      </c>
      <c r="BJ133" s="59">
        <f t="shared" ref="BJ133:BJ196" si="146">$BJ$3</f>
        <v>210.70697808232501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52.116463819821078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52.116463819821078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300.80663531652721</v>
      </c>
      <c r="T134" s="59">
        <f t="shared" si="142"/>
        <v>306.01967513533549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33.896508992400491</v>
      </c>
      <c r="AA134" s="21">
        <f>EXP(-LN(2)/25)*AA133+(1-EXP(-LN(2)/25))/(LN(2)/25)*Calculateur!V134*Calculateur!X134*VLOOKUP('Données projet'!$B$9,Paramètres!$A$1:$I$89,3,0)*0.475*44/12</f>
        <v>11.968287867911712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45.864796860312204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349.5718186624772</v>
      </c>
      <c r="AO134" s="59">
        <f t="shared" si="144"/>
        <v>258.14152930815959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60.646566773364214</v>
      </c>
      <c r="AV134" s="21">
        <f>EXP(-LN(2)/25)*AV133+(1-EXP(-LN(2)/25))/(LN(2)/25)*Calculateur!AQ134*Calculateur!AS134*VLOOKUP('Données projet'!$B$10,Paramètres!$A$1:$I$89,3,0)*0.475*44/12</f>
        <v>20.161895496767972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80.808462270132182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276.62450400000046</v>
      </c>
      <c r="BF134" s="13">
        <f t="shared" si="145"/>
        <v>66.253166788711951</v>
      </c>
      <c r="BG134" s="20">
        <f t="shared" si="115"/>
        <v>597.17860995700732</v>
      </c>
      <c r="BH134" s="59">
        <f t="shared" si="116"/>
        <v>890.5119432903407</v>
      </c>
      <c r="BI134" s="59">
        <f ca="1">AVERAGE(OFFSET($BH$3,0,0,'Données projet'!$E$11+1,1))-AVERAGE(OFFSET($H$3,0,0,'Données projet'!$E$11+1,1))</f>
        <v>442.85175349826028</v>
      </c>
      <c r="BJ134" s="59">
        <f t="shared" si="146"/>
        <v>210.70697808232501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51.094491752218524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51.094491752218524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300.80663531652721</v>
      </c>
      <c r="T135" s="59">
        <f t="shared" si="142"/>
        <v>306.01967513533549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33.231819125888535</v>
      </c>
      <c r="AA135" s="21">
        <f>EXP(-LN(2)/25)*AA134+(1-EXP(-LN(2)/25))/(LN(2)/25)*Calculateur!V135*Calculateur!X135*VLOOKUP('Données projet'!$B$9,Paramètres!$A$1:$I$89,3,0)*0.475*44/12</f>
        <v>11.641014406778762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44.8728335326673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349.5718186624772</v>
      </c>
      <c r="AO135" s="59">
        <f t="shared" si="144"/>
        <v>258.14152930815959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59.457324589691737</v>
      </c>
      <c r="AV135" s="21">
        <f>EXP(-LN(2)/25)*AV134+(1-EXP(-LN(2)/25))/(LN(2)/25)*Calculateur!AQ135*Calculateur!AS135*VLOOKUP('Données projet'!$B$10,Paramètres!$A$1:$I$89,3,0)*0.475*44/12</f>
        <v>19.610567404140848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79.067891993832589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282.03786000000042</v>
      </c>
      <c r="BF135" s="13">
        <f t="shared" si="145"/>
        <v>67.397485352921152</v>
      </c>
      <c r="BG135" s="20">
        <f t="shared" si="115"/>
        <v>608.59989315633834</v>
      </c>
      <c r="BH135" s="59">
        <f t="shared" si="116"/>
        <v>901.9332264896716</v>
      </c>
      <c r="BI135" s="59">
        <f ca="1">AVERAGE(OFFSET($BH$3,0,0,'Données projet'!$E$11+1,1))-AVERAGE(OFFSET($H$3,0,0,'Données projet'!$E$11+1,1))</f>
        <v>442.85175349826028</v>
      </c>
      <c r="BJ135" s="59">
        <f t="shared" si="146"/>
        <v>210.70697808232501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50.092559933520242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50.092559933520242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300.80663531652721</v>
      </c>
      <c r="T136" s="59">
        <f t="shared" si="142"/>
        <v>306.01967513533549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32.580163422238087</v>
      </c>
      <c r="AA136" s="21">
        <f>EXP(-LN(2)/25)*AA135+(1-EXP(-LN(2)/25))/(LN(2)/25)*Calculateur!V136*Calculateur!X136*VLOOKUP('Données projet'!$B$9,Paramètres!$A$1:$I$89,3,0)*0.475*44/12</f>
        <v>11.322690255651056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43.902853677889141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349.5718186624772</v>
      </c>
      <c r="AO136" s="59">
        <f t="shared" si="144"/>
        <v>258.14152930815959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58.291402719874974</v>
      </c>
      <c r="AV136" s="21">
        <f>EXP(-LN(2)/25)*AV135+(1-EXP(-LN(2)/25))/(LN(2)/25)*Calculateur!AQ136*Calculateur!AS136*VLOOKUP('Données projet'!$B$10,Paramètres!$A$1:$I$89,3,0)*0.475*44/12</f>
        <v>19.074315407199698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77.365718127074672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287.45121600000044</v>
      </c>
      <c r="BF136" s="13">
        <f t="shared" si="145"/>
        <v>68.539250026809071</v>
      </c>
      <c r="BG136" s="20">
        <f t="shared" si="115"/>
        <v>620.01672833002647</v>
      </c>
      <c r="BH136" s="59">
        <f t="shared" si="116"/>
        <v>913.35006166335984</v>
      </c>
      <c r="BI136" s="59">
        <f ca="1">AVERAGE(OFFSET($BH$3,0,0,'Données projet'!$E$11+1,1))-AVERAGE(OFFSET($H$3,0,0,'Données projet'!$E$11+1,1))</f>
        <v>442.85175349826028</v>
      </c>
      <c r="BJ136" s="59">
        <f t="shared" si="146"/>
        <v>210.70697808232501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49.110275386668569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49.110275386668569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300.80663531652721</v>
      </c>
      <c r="T137" s="59">
        <f t="shared" si="142"/>
        <v>306.01967513533549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31.941286289465495</v>
      </c>
      <c r="AA137" s="21">
        <f>EXP(-LN(2)/25)*AA136+(1-EXP(-LN(2)/25))/(LN(2)/25)*Calculateur!V137*Calculateur!X137*VLOOKUP('Données projet'!$B$9,Paramètres!$A$1:$I$89,3,0)*0.475*44/12</f>
        <v>11.013070695175875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42.954356984641372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349.5718186624772</v>
      </c>
      <c r="AO137" s="59">
        <f t="shared" si="144"/>
        <v>258.14152930815959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57.148343866783193</v>
      </c>
      <c r="AV137" s="21">
        <f>EXP(-LN(2)/25)*AV136+(1-EXP(-LN(2)/25))/(LN(2)/25)*Calculateur!AQ137*Calculateur!AS137*VLOOKUP('Données projet'!$B$10,Paramètres!$A$1:$I$89,3,0)*0.475*44/12</f>
        <v>18.552727249315168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75.701071116098362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292.86457200000046</v>
      </c>
      <c r="BF137" s="13">
        <f t="shared" si="145"/>
        <v>69.678514451809619</v>
      </c>
      <c r="BG137" s="20">
        <f t="shared" si="115"/>
        <v>631.42920890356925</v>
      </c>
      <c r="BH137" s="59">
        <f t="shared" si="116"/>
        <v>924.76254223690262</v>
      </c>
      <c r="BI137" s="59">
        <f ca="1">AVERAGE(OFFSET($BH$3,0,0,'Données projet'!$E$11+1,1))-AVERAGE(OFFSET($H$3,0,0,'Données projet'!$E$11+1,1))</f>
        <v>442.85175349826028</v>
      </c>
      <c r="BJ137" s="59">
        <f t="shared" si="146"/>
        <v>210.70697808232501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0.318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61.105163493141241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61.105163493141241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300.80663531652721</v>
      </c>
      <c r="T138" s="59">
        <f t="shared" si="142"/>
        <v>306.01967513533549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31.314937147590001</v>
      </c>
      <c r="AA138" s="21">
        <f>EXP(-LN(2)/25)*AA137+(1-EXP(-LN(2)/25))/(LN(2)/25)*Calculateur!V138*Calculateur!X138*VLOOKUP('Données projet'!$B$9,Paramètres!$A$1:$I$89,3,0)*0.475*44/12</f>
        <v>10.711917697864074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42.026854845454075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349.5718186624772</v>
      </c>
      <c r="AO138" s="59">
        <f t="shared" si="144"/>
        <v>258.14152930815959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56.027699700603485</v>
      </c>
      <c r="AV138" s="21">
        <f>EXP(-LN(2)/25)*AV137+(1-EXP(-LN(2)/25))/(LN(2)/25)*Calculateur!AQ138*Calculateur!AS138*VLOOKUP('Données projet'!$B$10,Paramètres!$A$1:$I$89,3,0)*0.475*44/12</f>
        <v>18.045401947037121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74.073101647640613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261.47716920000045</v>
      </c>
      <c r="BF138" s="13">
        <f t="shared" si="145"/>
        <v>63.037146839903421</v>
      </c>
      <c r="BG138" s="20">
        <f t="shared" si="115"/>
        <v>565.19576710283252</v>
      </c>
      <c r="BH138" s="59">
        <f t="shared" si="116"/>
        <v>858.52910043616589</v>
      </c>
      <c r="BI138" s="59">
        <f ca="1">AVERAGE(OFFSET($BH$3,0,0,'Données projet'!$E$11+1,1))-AVERAGE(OFFSET($H$3,0,0,'Données projet'!$E$11+1,1))</f>
        <v>442.85175349826028</v>
      </c>
      <c r="BJ138" s="59">
        <f t="shared" si="146"/>
        <v>210.70697808232501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59.906928507510315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59.906928507510315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300.80663531652721</v>
      </c>
      <c r="T139" s="59">
        <f t="shared" si="142"/>
        <v>306.01967513533549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30.700870330351432</v>
      </c>
      <c r="AA139" s="21">
        <f>EXP(-LN(2)/25)*AA138+(1-EXP(-LN(2)/25))/(LN(2)/25)*Calculateur!V139*Calculateur!X139*VLOOKUP('Données projet'!$B$9,Paramètres!$A$1:$I$89,3,0)*0.475*44/12</f>
        <v>10.418999745100711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41.119870075452141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349.5718186624772</v>
      </c>
      <c r="AO139" s="59">
        <f t="shared" si="144"/>
        <v>258.14152930815959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54.929030682997116</v>
      </c>
      <c r="AV139" s="21">
        <f>EXP(-LN(2)/25)*AV138+(1-EXP(-LN(2)/25))/(LN(2)/25)*Calculateur!AQ139*Calculateur!AS139*VLOOKUP('Données projet'!$B$10,Paramètres!$A$1:$I$89,3,0)*0.475*44/12</f>
        <v>17.551949481828945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72.480980164826065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266.95022640000042</v>
      </c>
      <c r="BF139" s="13">
        <f t="shared" si="145"/>
        <v>64.201603067461392</v>
      </c>
      <c r="BG139" s="20">
        <f t="shared" si="115"/>
        <v>576.75610298916263</v>
      </c>
      <c r="BH139" s="59">
        <f t="shared" si="116"/>
        <v>870.08943632249589</v>
      </c>
      <c r="BI139" s="59">
        <f ca="1">AVERAGE(OFFSET($BH$3,0,0,'Données projet'!$E$11+1,1))-AVERAGE(OFFSET($H$3,0,0,'Données projet'!$E$11+1,1))</f>
        <v>442.85175349826028</v>
      </c>
      <c r="BJ139" s="59">
        <f t="shared" si="146"/>
        <v>210.70697808232501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58.732190179096442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58.732190179096442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300.80663531652721</v>
      </c>
      <c r="T140" s="59">
        <f t="shared" si="142"/>
        <v>306.01967513533549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30.098844988855134</v>
      </c>
      <c r="AA140" s="21">
        <f>EXP(-LN(2)/25)*AA139+(1-EXP(-LN(2)/25))/(LN(2)/25)*Calculateur!V140*Calculateur!X140*VLOOKUP('Données projet'!$B$9,Paramètres!$A$1:$I$89,3,0)*0.475*44/12</f>
        <v>10.134091649159549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40.232936638014685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349.5718186624772</v>
      </c>
      <c r="AO140" s="59">
        <f t="shared" si="144"/>
        <v>258.14152930815959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53.851905894704075</v>
      </c>
      <c r="AV140" s="21">
        <f>EXP(-LN(2)/25)*AV139+(1-EXP(-LN(2)/25))/(LN(2)/25)*Calculateur!AQ140*Calculateur!AS140*VLOOKUP('Données projet'!$B$10,Paramètres!$A$1:$I$89,3,0)*0.475*44/12</f>
        <v>17.071990500231426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70.923896394935497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272.42328360000045</v>
      </c>
      <c r="BF140" s="13">
        <f t="shared" si="145"/>
        <v>65.363283484001428</v>
      </c>
      <c r="BG140" s="20">
        <f t="shared" si="115"/>
        <v>588.31160433796992</v>
      </c>
      <c r="BH140" s="59">
        <f t="shared" si="116"/>
        <v>881.6449376713033</v>
      </c>
      <c r="BI140" s="59">
        <f ca="1">AVERAGE(OFFSET($BH$3,0,0,'Données projet'!$E$11+1,1))-AVERAGE(OFFSET($H$3,0,0,'Données projet'!$E$11+1,1))</f>
        <v>442.85175349826028</v>
      </c>
      <c r="BJ140" s="59">
        <f t="shared" si="146"/>
        <v>210.70697808232501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57.580487752783135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57.580487752783135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300.80663531652721</v>
      </c>
      <c r="T141" s="59">
        <f t="shared" si="142"/>
        <v>306.01967513533549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29.508624997106377</v>
      </c>
      <c r="AA141" s="21">
        <f>EXP(-LN(2)/25)*AA140+(1-EXP(-LN(2)/25))/(LN(2)/25)*Calculateur!V141*Calculateur!X141*VLOOKUP('Données projet'!$B$9,Paramètres!$A$1:$I$89,3,0)*0.475*44/12</f>
        <v>9.8569743800845622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39.365599377190939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349.5718186624772</v>
      </c>
      <c r="AO141" s="59">
        <f t="shared" si="144"/>
        <v>258.14152930815959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52.795902866528209</v>
      </c>
      <c r="AV141" s="21">
        <f>EXP(-LN(2)/25)*AV140+(1-EXP(-LN(2)/25))/(LN(2)/25)*Calculateur!AQ141*Calculateur!AS141*VLOOKUP('Données projet'!$B$10,Paramètres!$A$1:$I$89,3,0)*0.475*44/12</f>
        <v>16.605156022225636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69.401058888753852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277.89634080000042</v>
      </c>
      <c r="BF141" s="13">
        <f t="shared" si="145"/>
        <v>66.522250283274985</v>
      </c>
      <c r="BG141" s="20">
        <f t="shared" si="115"/>
        <v>599.86237947003792</v>
      </c>
      <c r="BH141" s="59">
        <f t="shared" si="116"/>
        <v>893.19571280337118</v>
      </c>
      <c r="BI141" s="59">
        <f ca="1">AVERAGE(OFFSET($BH$3,0,0,'Données projet'!$E$11+1,1))-AVERAGE(OFFSET($H$3,0,0,'Données projet'!$E$11+1,1))</f>
        <v>442.85175349826028</v>
      </c>
      <c r="BJ141" s="59">
        <f t="shared" si="146"/>
        <v>210.70697808232501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56.451369508580711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56.451369508580711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300.80663531652721</v>
      </c>
      <c r="T142" s="59">
        <f t="shared" si="142"/>
        <v>306.01967513533549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28.929978859397167</v>
      </c>
      <c r="AA142" s="21">
        <f>EXP(-LN(2)/25)*AA141+(1-EXP(-LN(2)/25))/(LN(2)/25)*Calculateur!V142*Calculateur!X142*VLOOKUP('Données projet'!$B$9,Paramètres!$A$1:$I$89,3,0)*0.475*44/12</f>
        <v>9.5874348973053962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38.517413756702567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349.5718186624772</v>
      </c>
      <c r="AO142" s="59">
        <f t="shared" si="144"/>
        <v>258.14152930815959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51.760607413636627</v>
      </c>
      <c r="AV142" s="21">
        <f>EXP(-LN(2)/25)*AV141+(1-EXP(-LN(2)/25))/(LN(2)/25)*Calculateur!AQ142*Calculateur!AS142*VLOOKUP('Données projet'!$B$10,Paramètres!$A$1:$I$89,3,0)*0.475*44/12</f>
        <v>16.151087157570672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67.911694571207306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283.36939800000044</v>
      </c>
      <c r="BF142" s="13">
        <f t="shared" si="145"/>
        <v>67.678563069162649</v>
      </c>
      <c r="BG142" s="20">
        <f t="shared" si="115"/>
        <v>611.40853219545909</v>
      </c>
      <c r="BH142" s="59">
        <f t="shared" si="116"/>
        <v>904.74186552879246</v>
      </c>
      <c r="BI142" s="59">
        <f ca="1">AVERAGE(OFFSET($BH$3,0,0,'Données projet'!$E$11+1,1))-AVERAGE(OFFSET($H$3,0,0,'Données projet'!$E$11+1,1))</f>
        <v>442.85175349826028</v>
      </c>
      <c r="BJ142" s="59">
        <f t="shared" si="146"/>
        <v>210.70697808232501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55.344392584452976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55.344392584452976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300.80663531652721</v>
      </c>
      <c r="T143" s="59">
        <f t="shared" si="142"/>
        <v>306.01967513533549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28.362679619509141</v>
      </c>
      <c r="AA143" s="21">
        <f>EXP(-LN(2)/25)*AA142+(1-EXP(-LN(2)/25))/(LN(2)/25)*Calculateur!V143*Calculateur!X143*VLOOKUP('Données projet'!$B$9,Paramètres!$A$1:$I$89,3,0)*0.475*44/12</f>
        <v>9.3252659858572908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37.68794560536643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349.5718186624772</v>
      </c>
      <c r="AO143" s="59">
        <f t="shared" si="144"/>
        <v>258.14152930815959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50.745613473108371</v>
      </c>
      <c r="AV143" s="21">
        <f>EXP(-LN(2)/25)*AV142+(1-EXP(-LN(2)/25))/(LN(2)/25)*Calculateur!AQ143*Calculateur!AS143*VLOOKUP('Données projet'!$B$10,Paramètres!$A$1:$I$89,3,0)*0.475*44/12</f>
        <v>15.709434829898141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66.455048303006507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288.84245520000042</v>
      </c>
      <c r="BF143" s="13">
        <f t="shared" si="145"/>
        <v>68.832279011423722</v>
      </c>
      <c r="BG143" s="20">
        <f t="shared" si="115"/>
        <v>622.95016208489699</v>
      </c>
      <c r="BH143" s="59">
        <f t="shared" si="116"/>
        <v>916.28349541823036</v>
      </c>
      <c r="BI143" s="59">
        <f ca="1">AVERAGE(OFFSET($BH$3,0,0,'Données projet'!$E$11+1,1))-AVERAGE(OFFSET($H$3,0,0,'Données projet'!$E$11+1,1))</f>
        <v>442.85175349826028</v>
      </c>
      <c r="BJ143" s="59">
        <f t="shared" si="146"/>
        <v>210.70697808232501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54.25912280261813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54.25912280261813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300.80663531652721</v>
      </c>
      <c r="T144" s="59">
        <f t="shared" si="142"/>
        <v>306.01967513533549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27.806504771696947</v>
      </c>
      <c r="AA144" s="21">
        <f>EXP(-LN(2)/25)*AA143+(1-EXP(-LN(2)/25))/(LN(2)/25)*Calculateur!V144*Calculateur!X144*VLOOKUP('Données projet'!$B$9,Paramètres!$A$1:$I$89,3,0)*0.475*44/12</f>
        <v>9.0702660970795979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36.876770868776546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349.5718186624772</v>
      </c>
      <c r="AO144" s="59">
        <f t="shared" si="144"/>
        <v>258.14152930815959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49.750522944668703</v>
      </c>
      <c r="AV144" s="21">
        <f>EXP(-LN(2)/25)*AV143+(1-EXP(-LN(2)/25))/(LN(2)/25)*Calculateur!AQ144*Calculateur!AS144*VLOOKUP('Données projet'!$B$10,Paramètres!$A$1:$I$89,3,0)*0.475*44/12</f>
        <v>15.279859508351302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65.03038245302001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294.31551240000044</v>
      </c>
      <c r="BF144" s="13">
        <f t="shared" si="145"/>
        <v>69.983452989308191</v>
      </c>
      <c r="BG144" s="20">
        <f t="shared" si="115"/>
        <v>634.48736471971256</v>
      </c>
      <c r="BH144" s="59">
        <f t="shared" si="116"/>
        <v>927.82069805304582</v>
      </c>
      <c r="BI144" s="59">
        <f ca="1">AVERAGE(OFFSET($BH$3,0,0,'Données projet'!$E$11+1,1))-AVERAGE(OFFSET($H$3,0,0,'Données projet'!$E$11+1,1))</f>
        <v>442.85175349826028</v>
      </c>
      <c r="BJ144" s="59">
        <f t="shared" si="146"/>
        <v>210.70697808232501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53.195134499255857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53.195134499255857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300.80663531652721</v>
      </c>
      <c r="T145" s="59">
        <f t="shared" si="142"/>
        <v>306.01967513533549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27.261236173417192</v>
      </c>
      <c r="AA145" s="21">
        <f>EXP(-LN(2)/25)*AA144+(1-EXP(-LN(2)/25))/(LN(2)/25)*Calculateur!V145*Calculateur!X145*VLOOKUP('Données projet'!$B$9,Paramètres!$A$1:$I$89,3,0)*0.475*44/12</f>
        <v>8.8222391936703932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36.083475367087587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349.5718186624772</v>
      </c>
      <c r="AO145" s="59">
        <f t="shared" si="144"/>
        <v>258.14152930815959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48.77494553454644</v>
      </c>
      <c r="AV145" s="21">
        <f>EXP(-LN(2)/25)*AV144+(1-EXP(-LN(2)/25))/(LN(2)/25)*Calculateur!AQ145*Calculateur!AS145*VLOOKUP('Données projet'!$B$10,Paramètres!$A$1:$I$89,3,0)*0.475*44/12</f>
        <v>14.862030946562546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63.636976481108988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299.78856960000041</v>
      </c>
      <c r="BF145" s="13">
        <f t="shared" si="145"/>
        <v>71.132137724183337</v>
      </c>
      <c r="BG145" s="20">
        <f t="shared" si="115"/>
        <v>646.02023192295337</v>
      </c>
      <c r="BH145" s="59">
        <f t="shared" si="116"/>
        <v>939.35356525628663</v>
      </c>
      <c r="BI145" s="59">
        <f ca="1">AVERAGE(OFFSET($BH$3,0,0,'Données projet'!$E$11+1,1))-AVERAGE(OFFSET($H$3,0,0,'Données projet'!$E$11+1,1))</f>
        <v>442.85175349826028</v>
      </c>
      <c r="BJ145" s="59">
        <f t="shared" si="146"/>
        <v>210.70697808232501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52.152010357553735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52.152010357553735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300.80663531652721</v>
      </c>
      <c r="T146" s="59">
        <f t="shared" si="142"/>
        <v>306.01967513533549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26.726659959768696</v>
      </c>
      <c r="AA146" s="21">
        <f>EXP(-LN(2)/25)*AA145+(1-EXP(-LN(2)/25))/(LN(2)/25)*Calculateur!V146*Calculateur!X146*VLOOKUP('Données projet'!$B$9,Paramètres!$A$1:$I$89,3,0)*0.475*44/12</f>
        <v>8.58099459897808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35.307654558746776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349.5718186624772</v>
      </c>
      <c r="AO146" s="59">
        <f t="shared" si="144"/>
        <v>258.14152930815959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47.818498602393213</v>
      </c>
      <c r="AV146" s="21">
        <f>EXP(-LN(2)/25)*AV145+(1-EXP(-LN(2)/25))/(LN(2)/25)*Calculateur!AQ146*Calculateur!AS146*VLOOKUP('Données projet'!$B$10,Paramètres!$A$1:$I$89,3,0)*0.475*44/12</f>
        <v>14.455627928768553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62.27412653116177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305.26162680000044</v>
      </c>
      <c r="BF146" s="13">
        <f t="shared" si="145"/>
        <v>72.278383902201966</v>
      </c>
      <c r="BG146" s="20">
        <f t="shared" si="115"/>
        <v>657.54885197300246</v>
      </c>
      <c r="BH146" s="59">
        <f t="shared" si="116"/>
        <v>950.88218530633571</v>
      </c>
      <c r="BI146" s="59">
        <f ca="1">AVERAGE(OFFSET($BH$3,0,0,'Données projet'!$E$11+1,1))-AVERAGE(OFFSET($H$3,0,0,'Données projet'!$E$11+1,1))</f>
        <v>442.85175349826028</v>
      </c>
      <c r="BJ146" s="59">
        <f t="shared" si="146"/>
        <v>210.70697808232501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51.129341244027486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51.129341244027486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300.80663531652721</v>
      </c>
      <c r="T147" s="59">
        <f t="shared" si="142"/>
        <v>306.01967513533549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26.202566459610551</v>
      </c>
      <c r="AA147" s="21">
        <f>EXP(-LN(2)/25)*AA146+(1-EXP(-LN(2)/25))/(LN(2)/25)*Calculateur!V147*Calculateur!X147*VLOOKUP('Données projet'!$B$9,Paramètres!$A$1:$I$89,3,0)*0.475*44/12</f>
        <v>8.3463468504141307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34.54891331002468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349.5718186624772</v>
      </c>
      <c r="AO147" s="59">
        <f t="shared" si="144"/>
        <v>258.14152930815959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46.880807011204489</v>
      </c>
      <c r="AV147" s="21">
        <f>EXP(-LN(2)/25)*AV146+(1-EXP(-LN(2)/25))/(LN(2)/25)*Calculateur!AQ147*Calculateur!AS147*VLOOKUP('Données projet'!$B$10,Paramètres!$A$1:$I$89,3,0)*0.475*44/12</f>
        <v>14.060338022867944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60.941145034072434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310.73468400000041</v>
      </c>
      <c r="BF147" s="13">
        <f t="shared" si="145"/>
        <v>73.422240287923742</v>
      </c>
      <c r="BG147" s="20">
        <f t="shared" si="115"/>
        <v>669.07330980146787</v>
      </c>
      <c r="BH147" s="59">
        <f t="shared" si="116"/>
        <v>962.40664313480124</v>
      </c>
      <c r="BI147" s="59">
        <f ca="1">AVERAGE(OFFSET($BH$3,0,0,'Données projet'!$E$11+1,1))-AVERAGE(OFFSET($H$3,0,0,'Données projet'!$E$11+1,1))</f>
        <v>442.85175349826028</v>
      </c>
      <c r="BJ147" s="59">
        <f t="shared" si="146"/>
        <v>210.70697808232501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0.318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63.334598216317438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63.334598216317438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300.80663531652721</v>
      </c>
      <c r="T148" s="59">
        <f t="shared" si="142"/>
        <v>306.01967513533549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25.688750113325039</v>
      </c>
      <c r="AA148" s="21">
        <f>EXP(-LN(2)/25)*AA147+(1-EXP(-LN(2)/25))/(LN(2)/25)*Calculateur!V148*Calculateur!X148*VLOOKUP('Données projet'!$B$9,Paramètres!$A$1:$I$89,3,0)*0.475*44/12</f>
        <v>8.1181155568742511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33.806865670199286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349.5718186624772</v>
      </c>
      <c r="AO148" s="59">
        <f t="shared" si="144"/>
        <v>258.14152930815959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45.961502980183575</v>
      </c>
      <c r="AV148" s="21">
        <f>EXP(-LN(2)/25)*AV147+(1-EXP(-LN(2)/25))/(LN(2)/25)*Calculateur!AQ148*Calculateur!AS148*VLOOKUP('Données projet'!$B$10,Paramètres!$A$1:$I$89,3,0)*0.475*44/12</f>
        <v>13.675857340231579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59.637360320415155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278.74758600000041</v>
      </c>
      <c r="BF148" s="13">
        <f t="shared" si="145"/>
        <v>66.702268785287671</v>
      </c>
      <c r="BG148" s="20">
        <f t="shared" si="115"/>
        <v>601.65849708437679</v>
      </c>
      <c r="BH148" s="59">
        <f t="shared" si="116"/>
        <v>894.99183041771016</v>
      </c>
      <c r="BI148" s="59">
        <f ca="1">AVERAGE(OFFSET($BH$3,0,0,'Données projet'!$E$11+1,1))-AVERAGE(OFFSET($H$3,0,0,'Données projet'!$E$11+1,1))</f>
        <v>442.85175349826028</v>
      </c>
      <c r="BJ148" s="59">
        <f t="shared" si="146"/>
        <v>210.70697808232501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62.092645375585938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62.092645375585938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300.80663531652721</v>
      </c>
      <c r="T149" s="59">
        <f t="shared" si="142"/>
        <v>306.01967513533549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25.185009392193159</v>
      </c>
      <c r="AA149" s="21">
        <f>EXP(-LN(2)/25)*AA148+(1-EXP(-LN(2)/25))/(LN(2)/25)*Calculateur!V149*Calculateur!X149*VLOOKUP('Données projet'!$B$9,Paramètres!$A$1:$I$89,3,0)*0.475*44/12</f>
        <v>7.8961252600583816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33.081134652251542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349.5718186624772</v>
      </c>
      <c r="AO149" s="59">
        <f t="shared" si="144"/>
        <v>258.14152930815959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45.060225940490888</v>
      </c>
      <c r="AV149" s="21">
        <f>EXP(-LN(2)/25)*AV148+(1-EXP(-LN(2)/25))/(LN(2)/25)*Calculateur!AQ149*Calculateur!AS149*VLOOKUP('Données projet'!$B$10,Paramètres!$A$1:$I$89,3,0)*0.475*44/12</f>
        <v>13.301890302080865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58.362116242571751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284.3319960000004</v>
      </c>
      <c r="BF149" s="13">
        <f t="shared" si="145"/>
        <v>67.88166454639088</v>
      </c>
      <c r="BG149" s="20">
        <f t="shared" si="115"/>
        <v>613.43879211829812</v>
      </c>
      <c r="BH149" s="59">
        <f t="shared" si="116"/>
        <v>906.77212545163138</v>
      </c>
      <c r="BI149" s="59">
        <f ca="1">AVERAGE(OFFSET($BH$3,0,0,'Données projet'!$E$11+1,1))-AVERAGE(OFFSET($H$3,0,0,'Données projet'!$E$11+1,1))</f>
        <v>442.85175349826028</v>
      </c>
      <c r="BJ149" s="59">
        <f t="shared" si="146"/>
        <v>210.70697808232501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60.875046472544753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60.875046472544753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300.80663531652721</v>
      </c>
      <c r="T150" s="59">
        <f t="shared" si="142"/>
        <v>306.01967513533549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24.691146719351174</v>
      </c>
      <c r="AA150" s="21">
        <f>EXP(-LN(2)/25)*AA149+(1-EXP(-LN(2)/25))/(LN(2)/25)*Calculateur!V150*Calculateur!X150*VLOOKUP('Données projet'!$B$9,Paramètres!$A$1:$I$89,3,0)*0.475*44/12</f>
        <v>7.6802052995829042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32.371352018934076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349.5718186624772</v>
      </c>
      <c r="AO150" s="59">
        <f t="shared" si="144"/>
        <v>258.14152930815959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44.176622393821866</v>
      </c>
      <c r="AV150" s="21">
        <f>EXP(-LN(2)/25)*AV149+(1-EXP(-LN(2)/25))/(LN(2)/25)*Calculateur!AQ150*Calculateur!AS150*VLOOKUP('Données projet'!$B$10,Paramètres!$A$1:$I$89,3,0)*0.475*44/12</f>
        <v>12.938149412254456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57.11477180607632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289.91640600000039</v>
      </c>
      <c r="BF150" s="13">
        <f t="shared" si="145"/>
        <v>69.058366929638382</v>
      </c>
      <c r="BG150" s="20">
        <f t="shared" si="115"/>
        <v>625.21439618578745</v>
      </c>
      <c r="BH150" s="59">
        <f t="shared" si="116"/>
        <v>918.54772951912082</v>
      </c>
      <c r="BI150" s="59">
        <f ca="1">AVERAGE(OFFSET($BH$3,0,0,'Données projet'!$E$11+1,1))-AVERAGE(OFFSET($H$3,0,0,'Données projet'!$E$11+1,1))</f>
        <v>442.85175349826028</v>
      </c>
      <c r="BJ150" s="59">
        <f t="shared" si="146"/>
        <v>210.70697808232501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59.681323941330206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59.681323941330206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300.80663531652721</v>
      </c>
      <c r="T151" s="59">
        <f t="shared" si="142"/>
        <v>306.01967513533549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24.206968392297135</v>
      </c>
      <c r="AA151" s="21">
        <f>EXP(-LN(2)/25)*AA150+(1-EXP(-LN(2)/25))/(LN(2)/25)*Calculateur!V151*Calculateur!X151*VLOOKUP('Données projet'!$B$9,Paramètres!$A$1:$I$89,3,0)*0.475*44/12</f>
        <v>7.470189681781366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31.677158074078502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349.5718186624772</v>
      </c>
      <c r="AO151" s="59">
        <f t="shared" si="144"/>
        <v>258.14152930815959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43.310345773758073</v>
      </c>
      <c r="AV151" s="21">
        <f>EXP(-LN(2)/25)*AV150+(1-EXP(-LN(2)/25))/(LN(2)/25)*Calculateur!AQ151*Calculateur!AS151*VLOOKUP('Données projet'!$B$10,Paramètres!$A$1:$I$89,3,0)*0.475*44/12</f>
        <v>12.584355036188651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55.894700809946727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295.50081600000033</v>
      </c>
      <c r="BF151" s="13">
        <f t="shared" si="145"/>
        <v>70.232433796441768</v>
      </c>
      <c r="BG151" s="20">
        <f t="shared" si="115"/>
        <v>636.98541006213668</v>
      </c>
      <c r="BH151" s="59">
        <f t="shared" si="116"/>
        <v>930.31874339546994</v>
      </c>
      <c r="BI151" s="59">
        <f ca="1">AVERAGE(OFFSET($BH$3,0,0,'Données projet'!$E$11+1,1))-AVERAGE(OFFSET($H$3,0,0,'Données projet'!$E$11+1,1))</f>
        <v>442.85175349826028</v>
      </c>
      <c r="BJ151" s="59">
        <f t="shared" si="146"/>
        <v>210.70697808232501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58.511009580853923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58.511009580853923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300.80663531652721</v>
      </c>
      <c r="T152" s="59">
        <f t="shared" si="142"/>
        <v>306.01967513533549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23.732284506917004</v>
      </c>
      <c r="AA152" s="21">
        <f>EXP(-LN(2)/25)*AA151+(1-EXP(-LN(2)/25))/(LN(2)/25)*Calculateur!V152*Calculateur!X152*VLOOKUP('Données projet'!$B$9,Paramètres!$A$1:$I$89,3,0)*0.475*44/12</f>
        <v>7.2659169520928524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30.998201459009856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349.5718186624772</v>
      </c>
      <c r="AO152" s="59">
        <f t="shared" si="144"/>
        <v>258.14152930815959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42.461056309837168</v>
      </c>
      <c r="AV152" s="21">
        <f>EXP(-LN(2)/25)*AV151+(1-EXP(-LN(2)/25))/(LN(2)/25)*Calculateur!AQ152*Calculateur!AS152*VLOOKUP('Données projet'!$B$10,Paramètres!$A$1:$I$89,3,0)*0.475*44/12</f>
        <v>12.240235185941602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54.701291495778769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301.08522600000038</v>
      </c>
      <c r="BF152" s="13">
        <f t="shared" si="145"/>
        <v>71.403920696120153</v>
      </c>
      <c r="BG152" s="20">
        <f t="shared" si="115"/>
        <v>648.7519304957433</v>
      </c>
      <c r="BH152" s="59">
        <f t="shared" si="116"/>
        <v>942.08526382907667</v>
      </c>
      <c r="BI152" s="59">
        <f ca="1">AVERAGE(OFFSET($BH$3,0,0,'Données projet'!$E$11+1,1))-AVERAGE(OFFSET($H$3,0,0,'Données projet'!$E$11+1,1))</f>
        <v>442.85175349826028</v>
      </c>
      <c r="BJ152" s="59">
        <f t="shared" si="146"/>
        <v>210.70697808232501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57.363644371165307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57.363644371165307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300.80663531652721</v>
      </c>
      <c r="T153" s="59">
        <f t="shared" si="142"/>
        <v>306.01967513533549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23.266908883000596</v>
      </c>
      <c r="AA153" s="21">
        <f>EXP(-LN(2)/25)*AA152+(1-EXP(-LN(2)/25))/(LN(2)/25)*Calculateur!V153*Calculateur!X153*VLOOKUP('Données projet'!$B$9,Paramètres!$A$1:$I$89,3,0)*0.475*44/12</f>
        <v>7.0672300709399076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30.334138953940503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349.5718186624772</v>
      </c>
      <c r="AO153" s="59">
        <f t="shared" si="144"/>
        <v>258.14152930815959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41.628420894288325</v>
      </c>
      <c r="AV153" s="21">
        <f>EXP(-LN(2)/25)*AV152+(1-EXP(-LN(2)/25))/(LN(2)/25)*Calculateur!AQ153*Calculateur!AS153*VLOOKUP('Données projet'!$B$10,Paramètres!$A$1:$I$89,3,0)*0.475*44/12</f>
        <v>11.905525311096035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53.53394620538436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306.66963600000037</v>
      </c>
      <c r="BF153" s="13">
        <f t="shared" si="145"/>
        <v>72.572880999428946</v>
      </c>
      <c r="BG153" s="20">
        <f t="shared" si="115"/>
        <v>660.51405044067269</v>
      </c>
      <c r="BH153" s="59">
        <f t="shared" si="116"/>
        <v>953.84738377400595</v>
      </c>
      <c r="BI153" s="59">
        <f ca="1">AVERAGE(OFFSET($BH$3,0,0,'Données projet'!$E$11+1,1))-AVERAGE(OFFSET($H$3,0,0,'Données projet'!$E$11+1,1))</f>
        <v>442.85175349826028</v>
      </c>
      <c r="BJ153" s="59">
        <f t="shared" si="146"/>
        <v>210.70697808232501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56.23877829341501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56.23877829341501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300.80663531652721</v>
      </c>
      <c r="T154" s="59">
        <f t="shared" si="142"/>
        <v>306.01967513533549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22.810658991218087</v>
      </c>
      <c r="AA154" s="21">
        <f>EXP(-LN(2)/25)*AA153+(1-EXP(-LN(2)/25))/(LN(2)/25)*Calculateur!V154*Calculateur!X154*VLOOKUP('Données projet'!$B$9,Paramètres!$A$1:$I$89,3,0)*0.475*44/12</f>
        <v>6.8739762930005792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29.684635284218665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349.5718186624772</v>
      </c>
      <c r="AO154" s="59">
        <f t="shared" si="144"/>
        <v>258.14152930815959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40.812112951380939</v>
      </c>
      <c r="AV154" s="21">
        <f>EXP(-LN(2)/25)*AV153+(1-EXP(-LN(2)/25))/(LN(2)/25)*Calculateur!AQ154*Calculateur!AS154*VLOOKUP('Données projet'!$B$10,Paramètres!$A$1:$I$89,3,0)*0.475*44/12</f>
        <v>11.579968095379748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52.392081046760687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312.25404600000036</v>
      </c>
      <c r="BF154" s="13">
        <f t="shared" ref="BF154:BF203" si="167">EXP(-1.0587+0.8836*LN(BE154)+0.284)</f>
        <v>73.739366022088362</v>
      </c>
      <c r="BG154" s="20">
        <f t="shared" ref="BG154:BG203" si="168">(BE154+BF154)*0.475*44/12</f>
        <v>672.27185927180437</v>
      </c>
      <c r="BH154" s="59">
        <f t="shared" si="116"/>
        <v>965.60519260513774</v>
      </c>
      <c r="BI154" s="59">
        <f ca="1">AVERAGE(OFFSET($BH$3,0,0,'Données projet'!$E$11+1,1))-AVERAGE(OFFSET($H$3,0,0,'Données projet'!$E$11+1,1))</f>
        <v>442.85175349826028</v>
      </c>
      <c r="BJ154" s="59">
        <f t="shared" si="146"/>
        <v>210.70697808232501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55.135970153348829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55.135970153348829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300.80663531652721</v>
      </c>
      <c r="T155" s="59">
        <f t="shared" si="142"/>
        <v>306.01967513533549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22.363355881528477</v>
      </c>
      <c r="AA155" s="21">
        <f>EXP(-LN(2)/25)*AA154+(1-EXP(-LN(2)/25))/(LN(2)/25)*Calculateur!V155*Calculateur!X155*VLOOKUP('Données projet'!$B$9,Paramètres!$A$1:$I$89,3,0)*0.475*44/12</f>
        <v>6.6860070497817761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29.049362931310252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349.5718186624772</v>
      </c>
      <c r="AO155" s="59">
        <f t="shared" si="144"/>
        <v>258.14152930815959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40.011812309335284</v>
      </c>
      <c r="AV155" s="21">
        <f>EXP(-LN(2)/25)*AV154+(1-EXP(-LN(2)/25))/(LN(2)/25)*Calculateur!AQ155*Calculateur!AS155*VLOOKUP('Données projet'!$B$10,Paramètres!$A$1:$I$89,3,0)*0.475*44/12</f>
        <v>11.263313258847532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51.275125568182816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317.83845600000035</v>
      </c>
      <c r="BF155" s="13">
        <f t="shared" si="167"/>
        <v>74.90342513922424</v>
      </c>
      <c r="BG155" s="20">
        <f t="shared" si="168"/>
        <v>684.02544298414944</v>
      </c>
      <c r="BH155" s="59">
        <f t="shared" si="116"/>
        <v>977.35877631748281</v>
      </c>
      <c r="BI155" s="59">
        <f ca="1">AVERAGE(OFFSET($BH$3,0,0,'Données projet'!$E$11+1,1))-AVERAGE(OFFSET($H$3,0,0,'Données projet'!$E$11+1,1))</f>
        <v>442.85175349826028</v>
      </c>
      <c r="BJ155" s="59">
        <f t="shared" si="146"/>
        <v>210.70697808232501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54.054787408262804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54.054787408262804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300.80663531652721</v>
      </c>
      <c r="T156" s="59">
        <f t="shared" si="142"/>
        <v>306.01967513533549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21.924824112991924</v>
      </c>
      <c r="AA156" s="21">
        <f>EXP(-LN(2)/25)*AA155+(1-EXP(-LN(2)/25))/(LN(2)/25)*Calculateur!V156*Calculateur!X156*VLOOKUP('Données projet'!$B$9,Paramètres!$A$1:$I$89,3,0)*0.475*44/12</f>
        <v>6.5031778354036636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28.42800194839559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349.5718186624772</v>
      </c>
      <c r="AO156" s="59">
        <f t="shared" si="144"/>
        <v>258.14152930815959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39.227205074744951</v>
      </c>
      <c r="AV156" s="21">
        <f>EXP(-LN(2)/25)*AV155+(1-EXP(-LN(2)/25))/(LN(2)/25)*Calculateur!AQ156*Calculateur!AS156*VLOOKUP('Données projet'!$B$10,Paramètres!$A$1:$I$89,3,0)*0.475*44/12</f>
        <v>10.955317365472444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50.182522440217397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323.42286600000034</v>
      </c>
      <c r="BF156" s="13">
        <f t="shared" si="167"/>
        <v>76.065105891538806</v>
      </c>
      <c r="BG156" s="20">
        <f t="shared" si="168"/>
        <v>695.7748843777639</v>
      </c>
      <c r="BH156" s="59">
        <f t="shared" si="116"/>
        <v>989.10821771109727</v>
      </c>
      <c r="BI156" s="59">
        <f ca="1">AVERAGE(OFFSET($BH$3,0,0,'Données projet'!$E$11+1,1))-AVERAGE(OFFSET($H$3,0,0,'Données projet'!$E$11+1,1))</f>
        <v>442.85175349826028</v>
      </c>
      <c r="BJ156" s="59">
        <f t="shared" si="146"/>
        <v>210.70697808232501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52.994805997351556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52.994805997351556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300.80663531652721</v>
      </c>
      <c r="T157" s="59">
        <f t="shared" si="142"/>
        <v>306.01967513533549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21.494891684958404</v>
      </c>
      <c r="AA157" s="21">
        <f>EXP(-LN(2)/25)*AA156+(1-EXP(-LN(2)/25))/(LN(2)/25)*Calculateur!V157*Calculateur!X157*VLOOKUP('Données projet'!$B$9,Paramètres!$A$1:$I$89,3,0)*0.475*44/12</f>
        <v>6.3253480955072909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27.820239780465695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349.5718186624772</v>
      </c>
      <c r="AO157" s="59">
        <f t="shared" si="144"/>
        <v>258.14152930815959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38.457983509461776</v>
      </c>
      <c r="AV157" s="21">
        <f>EXP(-LN(2)/25)*AV156+(1-EXP(-LN(2)/25))/(LN(2)/25)*Calculateur!AQ157*Calculateur!AS157*VLOOKUP('Données projet'!$B$10,Paramètres!$A$1:$I$89,3,0)*0.475*44/12</f>
        <v>10.655743635998499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49.113727145460274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329.00727600000033</v>
      </c>
      <c r="BF157" s="13">
        <f t="shared" si="167"/>
        <v>77.224454083940515</v>
      </c>
      <c r="BG157" s="20">
        <f t="shared" si="168"/>
        <v>707.52026322953031</v>
      </c>
      <c r="BH157" s="59">
        <f t="shared" si="116"/>
        <v>1000.8535965628637</v>
      </c>
      <c r="BI157" s="59">
        <f ca="1">AVERAGE(OFFSET($BH$3,0,0,'Données projet'!$E$11+1,1))-AVERAGE(OFFSET($H$3,0,0,'Données projet'!$E$11+1,1))</f>
        <v>442.85175349826028</v>
      </c>
      <c r="BJ157" s="59">
        <f t="shared" si="146"/>
        <v>210.70697808232501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0.318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64.955967123009472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64.955967123009472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300.80663531652721</v>
      </c>
      <c r="T158" s="59">
        <f t="shared" si="142"/>
        <v>306.01967513533549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21.073389969605735</v>
      </c>
      <c r="AA158" s="21">
        <f>EXP(-LN(2)/25)*AA157+(1-EXP(-LN(2)/25))/(LN(2)/25)*Calculateur!V158*Calculateur!X158*VLOOKUP('Données projet'!$B$9,Paramètres!$A$1:$I$89,3,0)*0.475*44/12</f>
        <v>6.1523811192000446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27.225771088805779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349.5718186624772</v>
      </c>
      <c r="AO158" s="59">
        <f t="shared" si="144"/>
        <v>258.14152930815959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37.70384590989498</v>
      </c>
      <c r="AV158" s="21">
        <f>EXP(-LN(2)/25)*AV157+(1-EXP(-LN(2)/25))/(LN(2)/25)*Calculateur!AQ158*Calculateur!AS158*VLOOKUP('Données projet'!$B$10,Paramètres!$A$1:$I$89,3,0)*0.475*44/12</f>
        <v>10.364361765910918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48.068207675805894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297.68963640000032</v>
      </c>
      <c r="BF158" s="13">
        <f t="shared" si="167"/>
        <v>70.691904811673083</v>
      </c>
      <c r="BG158" s="20">
        <f t="shared" si="168"/>
        <v>641.59785094366441</v>
      </c>
      <c r="BH158" s="59">
        <f t="shared" si="116"/>
        <v>934.93118427699778</v>
      </c>
      <c r="BI158" s="59">
        <f ca="1">AVERAGE(OFFSET($BH$3,0,0,'Données projet'!$E$11+1,1))-AVERAGE(OFFSET($H$3,0,0,'Données projet'!$E$11+1,1))</f>
        <v>442.85175349826028</v>
      </c>
      <c r="BJ158" s="59">
        <f t="shared" si="146"/>
        <v>210.70697808232501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63.682220226955131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63.682220226955131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300.80663531652721</v>
      </c>
      <c r="T159" s="59">
        <f t="shared" si="142"/>
        <v>306.01967513533549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20.66015364580047</v>
      </c>
      <c r="AA159" s="21">
        <f>EXP(-LN(2)/25)*AA158+(1-EXP(-LN(2)/25))/(LN(2)/25)*Calculateur!V159*Calculateur!X159*VLOOKUP('Données projet'!$B$9,Paramètres!$A$1:$I$89,3,0)*0.475*44/12</f>
        <v>5.984143933955858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26.644297579756326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349.5718186624772</v>
      </c>
      <c r="AO159" s="59">
        <f t="shared" si="144"/>
        <v>258.14152930815959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36.96449648867717</v>
      </c>
      <c r="AV159" s="21">
        <f>EXP(-LN(2)/25)*AV158+(1-EXP(-LN(2)/25))/(LN(2)/25)*Calculateur!AQ159*Calculateur!AS159*VLOOKUP('Données projet'!$B$10,Paramètres!$A$1:$I$89,3,0)*0.475*44/12</f>
        <v>10.080947748383986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47.045444237061155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303.35320080000031</v>
      </c>
      <c r="BF159" s="13">
        <f t="shared" si="167"/>
        <v>71.878967762133996</v>
      </c>
      <c r="BG159" s="20">
        <f t="shared" si="168"/>
        <v>653.52936024571716</v>
      </c>
      <c r="BH159" s="59">
        <f t="shared" si="116"/>
        <v>946.86269357905053</v>
      </c>
      <c r="BI159" s="59">
        <f ca="1">AVERAGE(OFFSET($BH$3,0,0,'Données projet'!$E$11+1,1))-AVERAGE(OFFSET($H$3,0,0,'Données projet'!$E$11+1,1))</f>
        <v>442.85175349826028</v>
      </c>
      <c r="BJ159" s="59">
        <f t="shared" si="146"/>
        <v>210.70697808232501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62.43345073062352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62.43345073062352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300.80663531652721</v>
      </c>
      <c r="T160" s="59">
        <f t="shared" si="142"/>
        <v>306.01967513533549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20.255020634255757</v>
      </c>
      <c r="AA160" s="21">
        <f>EXP(-LN(2)/25)*AA159+(1-EXP(-LN(2)/25))/(LN(2)/25)*Calculateur!V160*Calculateur!X160*VLOOKUP('Données projet'!$B$9,Paramètres!$A$1:$I$89,3,0)*0.475*44/12</f>
        <v>5.8205072033893828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26.07552783764514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349.5718186624772</v>
      </c>
      <c r="AO160" s="59">
        <f t="shared" si="144"/>
        <v>258.14152930815959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36.239645258650825</v>
      </c>
      <c r="AV160" s="21">
        <f>EXP(-LN(2)/25)*AV159+(1-EXP(-LN(2)/25))/(LN(2)/25)*Calculateur!AQ160*Calculateur!AS160*VLOOKUP('Données projet'!$B$10,Paramètres!$A$1:$I$89,3,0)*0.475*44/12</f>
        <v>9.8052837020704242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46.044928960721251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309.01676520000029</v>
      </c>
      <c r="BF160" s="13">
        <f t="shared" si="167"/>
        <v>73.063453662554991</v>
      </c>
      <c r="BG160" s="20">
        <f t="shared" si="168"/>
        <v>665.45638118561703</v>
      </c>
      <c r="BH160" s="59">
        <f t="shared" si="116"/>
        <v>958.7897145189504</v>
      </c>
      <c r="BI160" s="59">
        <f ca="1">AVERAGE(OFFSET($BH$3,0,0,'Données projet'!$E$11+1,1))-AVERAGE(OFFSET($H$3,0,0,'Données projet'!$E$11+1,1))</f>
        <v>442.85175349826028</v>
      </c>
      <c r="BJ160" s="59">
        <f t="shared" si="146"/>
        <v>210.70697808232501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61.209168842440789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61.209168842440789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300.80663531652721</v>
      </c>
      <c r="T161" s="59">
        <f t="shared" si="142"/>
        <v>306.01967513533549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19.857832033960698</v>
      </c>
      <c r="AA161" s="21">
        <f>EXP(-LN(2)/25)*AA160+(1-EXP(-LN(2)/25))/(LN(2)/25)*Calculateur!V161*Calculateur!X161*VLOOKUP('Données projet'!$B$9,Paramètres!$A$1:$I$89,3,0)*0.475*44/12</f>
        <v>5.6613451278255296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25.519177161786228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349.5718186624772</v>
      </c>
      <c r="AO161" s="59">
        <f t="shared" si="144"/>
        <v>258.14152930815959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35.529007919129704</v>
      </c>
      <c r="AV161" s="21">
        <f>EXP(-LN(2)/25)*AV160+(1-EXP(-LN(2)/25))/(LN(2)/25)*Calculateur!AQ161*Calculateur!AS161*VLOOKUP('Données projet'!$B$10,Paramètres!$A$1:$I$89,3,0)*0.475*44/12</f>
        <v>9.5371577035998492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45.066165622729557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314.68032960000028</v>
      </c>
      <c r="BF161" s="13">
        <f t="shared" si="167"/>
        <v>74.245415191793683</v>
      </c>
      <c r="BG161" s="20">
        <f t="shared" si="168"/>
        <v>677.37900551237442</v>
      </c>
      <c r="BH161" s="59">
        <f t="shared" si="116"/>
        <v>970.71233884570779</v>
      </c>
      <c r="BI161" s="59">
        <f ca="1">AVERAGE(OFFSET($BH$3,0,0,'Données projet'!$E$11+1,1))-AVERAGE(OFFSET($H$3,0,0,'Données projet'!$E$11+1,1))</f>
        <v>442.85175349826028</v>
      </c>
      <c r="BJ161" s="59">
        <f t="shared" si="146"/>
        <v>210.70697808232501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60.008894375347104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60.008894375347104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300.80663531652721</v>
      </c>
      <c r="T162" s="59">
        <f t="shared" si="142"/>
        <v>306.01967513533549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19.468432059856301</v>
      </c>
      <c r="AA162" s="21">
        <f>EXP(-LN(2)/25)*AA161+(1-EXP(-LN(2)/25))/(LN(2)/25)*Calculateur!V162*Calculateur!X162*VLOOKUP('Données projet'!$B$9,Paramètres!$A$1:$I$89,3,0)*0.475*44/12</f>
        <v>5.5065353475879393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24.97496740744424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349.5718186624772</v>
      </c>
      <c r="AO162" s="59">
        <f t="shared" si="144"/>
        <v>258.14152930815959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34.832305744390609</v>
      </c>
      <c r="AV162" s="21">
        <f>EXP(-LN(2)/25)*AV161+(1-EXP(-LN(2)/25))/(LN(2)/25)*Calculateur!AQ162*Calculateur!AS162*VLOOKUP('Données projet'!$B$10,Paramètres!$A$1:$I$89,3,0)*0.475*44/12</f>
        <v>9.2763636246575842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44.108669369048194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320.34389400000026</v>
      </c>
      <c r="BF162" s="13">
        <f t="shared" si="167"/>
        <v>75.424903023914041</v>
      </c>
      <c r="BG162" s="20">
        <f t="shared" si="168"/>
        <v>689.29732148331743</v>
      </c>
      <c r="BH162" s="59">
        <f t="shared" si="116"/>
        <v>982.6306548166508</v>
      </c>
      <c r="BI162" s="59">
        <f ca="1">AVERAGE(OFFSET($BH$3,0,0,'Données projet'!$E$11+1,1))-AVERAGE(OFFSET($H$3,0,0,'Données projet'!$E$11+1,1))</f>
        <v>442.85175349826028</v>
      </c>
      <c r="BJ162" s="59">
        <f t="shared" si="146"/>
        <v>210.70697808232501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58.832156558457989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58.832156558457989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300.80663531652721</v>
      </c>
      <c r="T163" s="59">
        <f t="shared" si="142"/>
        <v>306.01967513533549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19.086667981733559</v>
      </c>
      <c r="AA163" s="21">
        <f>EXP(-LN(2)/25)*AA162+(1-EXP(-LN(2)/25))/(LN(2)/25)*Calculateur!V163*Calculateur!X163*VLOOKUP('Données projet'!$B$9,Paramètres!$A$1:$I$89,3,0)*0.475*44/12</f>
        <v>5.3559588489320387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24.442626830665596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349.5718186624772</v>
      </c>
      <c r="AO163" s="59">
        <f t="shared" si="144"/>
        <v>258.14152930815959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34.149265474351786</v>
      </c>
      <c r="AV163" s="21">
        <f>EXP(-LN(2)/25)*AV162+(1-EXP(-LN(2)/25))/(LN(2)/25)*Calculateur!AQ163*Calculateur!AS163*VLOOKUP('Données projet'!$B$10,Paramètres!$A$1:$I$89,3,0)*0.475*44/12</f>
        <v>9.0227009735185604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43.171966447870346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326.0074584000003</v>
      </c>
      <c r="BF163" s="13">
        <f t="shared" si="167"/>
        <v>76.601965938553121</v>
      </c>
      <c r="BG163" s="20">
        <f t="shared" si="168"/>
        <v>701.21141405631386</v>
      </c>
      <c r="BH163" s="59">
        <f t="shared" si="116"/>
        <v>994.54474738964723</v>
      </c>
      <c r="BI163" s="59">
        <f ca="1">AVERAGE(OFFSET($BH$3,0,0,'Données projet'!$E$11+1,1))-AVERAGE(OFFSET($H$3,0,0,'Données projet'!$E$11+1,1))</f>
        <v>442.85175349826028</v>
      </c>
      <c r="BJ163" s="59">
        <f t="shared" si="146"/>
        <v>210.70697808232501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57.678493852418868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57.678493852418868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300.80663531652721</v>
      </c>
      <c r="T164" s="59">
        <f t="shared" si="142"/>
        <v>306.01967513533549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18.712390064329707</v>
      </c>
      <c r="AA164" s="21">
        <f>EXP(-LN(2)/25)*AA163+(1-EXP(-LN(2)/25))/(LN(2)/25)*Calculateur!V164*Calculateur!X164*VLOOKUP('Données projet'!$B$9,Paramètres!$A$1:$I$89,3,0)*0.475*44/12</f>
        <v>5.2094998725503574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23.921889936880063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349.5718186624772</v>
      </c>
      <c r="AO164" s="59">
        <f t="shared" si="144"/>
        <v>258.14152930815959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33.479619207394997</v>
      </c>
      <c r="AV164" s="21">
        <f>EXP(-LN(2)/25)*AV163+(1-EXP(-LN(2)/25))/(LN(2)/25)*Calculateur!AQ164*Calculateur!AS164*VLOOKUP('Données projet'!$B$10,Paramètres!$A$1:$I$89,3,0)*0.475*44/12</f>
        <v>8.7759747409144726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42.255593948309468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331.67102280000023</v>
      </c>
      <c r="BF164" s="13">
        <f t="shared" si="167"/>
        <v>77.776650923401959</v>
      </c>
      <c r="BG164" s="20">
        <f t="shared" si="168"/>
        <v>713.1213650682588</v>
      </c>
      <c r="BH164" s="59">
        <f t="shared" si="116"/>
        <v>1006.4546984015922</v>
      </c>
      <c r="BI164" s="59">
        <f ca="1">AVERAGE(OFFSET($BH$3,0,0,'Données projet'!$E$11+1,1))-AVERAGE(OFFSET($H$3,0,0,'Données projet'!$E$11+1,1))</f>
        <v>442.85175349826028</v>
      </c>
      <c r="BJ164" s="59">
        <f t="shared" si="146"/>
        <v>210.70697808232501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56.547453768380407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56.547453768380407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300.80663531652721</v>
      </c>
      <c r="T165" s="59">
        <f t="shared" si="142"/>
        <v>306.01967513533549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18.345451508599158</v>
      </c>
      <c r="AA165" s="21">
        <f>EXP(-LN(2)/25)*AA164+(1-EXP(-LN(2)/25))/(LN(2)/25)*Calculateur!V165*Calculateur!X165*VLOOKUP('Données projet'!$B$9,Paramètres!$A$1:$I$89,3,0)*0.475*44/12</f>
        <v>5.0670458245797763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23.412497333178933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349.5718186624772</v>
      </c>
      <c r="AO165" s="59">
        <f t="shared" si="144"/>
        <v>258.14152930815959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32.823104295289333</v>
      </c>
      <c r="AV165" s="21">
        <f>EXP(-LN(2)/25)*AV164+(1-EXP(-LN(2)/25))/(LN(2)/25)*Calculateur!AQ165*Calculateur!AS165*VLOOKUP('Données projet'!$B$10,Paramètres!$A$1:$I$89,3,0)*0.475*44/12</f>
        <v>8.5359952501157128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41.359099545405044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337.33458720000027</v>
      </c>
      <c r="BF165" s="13">
        <f t="shared" si="167"/>
        <v>78.949003269488188</v>
      </c>
      <c r="BG165" s="20">
        <f t="shared" si="168"/>
        <v>725.02725340102563</v>
      </c>
      <c r="BH165" s="59">
        <f t="shared" si="116"/>
        <v>1018.360586734359</v>
      </c>
      <c r="BI165" s="59">
        <f ca="1">AVERAGE(OFFSET($BH$3,0,0,'Données projet'!$E$11+1,1))-AVERAGE(OFFSET($H$3,0,0,'Données projet'!$E$11+1,1))</f>
        <v>442.85175349826028</v>
      </c>
      <c r="BJ165" s="59">
        <f t="shared" si="146"/>
        <v>210.70697808232501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55.438592690523606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55.438592690523606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300.80663531652721</v>
      </c>
      <c r="T166" s="59">
        <f t="shared" si="142"/>
        <v>306.01967513533549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17.985708394136065</v>
      </c>
      <c r="AA166" s="21">
        <f>EXP(-LN(2)/25)*AA165+(1-EXP(-LN(2)/25))/(LN(2)/25)*Calculateur!V166*Calculateur!X166*VLOOKUP('Données projet'!$B$9,Paramètres!$A$1:$I$89,3,0)*0.475*44/12</f>
        <v>4.9284871900422829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22.914195584178348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349.5718186624772</v>
      </c>
      <c r="AO166" s="59">
        <f t="shared" si="144"/>
        <v>258.14152930815959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32.179463240175508</v>
      </c>
      <c r="AV166" s="21">
        <f>EXP(-LN(2)/25)*AV165+(1-EXP(-LN(2)/25))/(LN(2)/25)*Calculateur!AQ166*Calculateur!AS166*VLOOKUP('Données projet'!$B$10,Paramètres!$A$1:$I$89,3,0)*0.475*44/12</f>
        <v>8.3025780111128178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40.482041251288322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342.99815160000026</v>
      </c>
      <c r="BF166" s="13">
        <f t="shared" si="167"/>
        <v>80.119066659877575</v>
      </c>
      <c r="BG166" s="20">
        <f t="shared" si="168"/>
        <v>736.92915513595392</v>
      </c>
      <c r="BH166" s="59">
        <f t="shared" si="116"/>
        <v>1030.2624884692873</v>
      </c>
      <c r="BI166" s="59">
        <f ca="1">AVERAGE(OFFSET($BH$3,0,0,'Données projet'!$E$11+1,1))-AVERAGE(OFFSET($H$3,0,0,'Données projet'!$E$11+1,1))</f>
        <v>442.85175349826028</v>
      </c>
      <c r="BJ166" s="59">
        <f t="shared" si="146"/>
        <v>210.70697808232501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54.351475702065102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54.351475702065102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300.80663531652721</v>
      </c>
      <c r="T167" s="59">
        <f t="shared" si="142"/>
        <v>306.01967513533549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17.633019622725961</v>
      </c>
      <c r="AA167" s="21">
        <f>EXP(-LN(2)/25)*AA166+(1-EXP(-LN(2)/25))/(LN(2)/25)*Calculateur!V167*Calculateur!X167*VLOOKUP('Données projet'!$B$9,Paramètres!$A$1:$I$89,3,0)*0.475*44/12</f>
        <v>4.7937174486526999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22.42673707137866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349.5718186624772</v>
      </c>
      <c r="AO167" s="59">
        <f t="shared" si="144"/>
        <v>258.14152930815959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31.548443593570184</v>
      </c>
      <c r="AV167" s="21">
        <f>EXP(-LN(2)/25)*AV166+(1-EXP(-LN(2)/25))/(LN(2)/25)*Calculateur!AQ167*Calculateur!AS167*VLOOKUP('Données projet'!$B$10,Paramètres!$A$1:$I$89,3,0)*0.475*44/12</f>
        <v>8.0755435787853358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39.62398717235552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348.66171600000018</v>
      </c>
      <c r="BF167" s="13">
        <f t="shared" si="167"/>
        <v>81.286883252352425</v>
      </c>
      <c r="BG167" s="20">
        <f t="shared" si="168"/>
        <v>748.82714369784742</v>
      </c>
      <c r="BH167" s="59">
        <f t="shared" si="116"/>
        <v>1042.1604770311808</v>
      </c>
      <c r="BI167" s="59">
        <f ca="1">AVERAGE(OFFSET($BH$3,0,0,'Données projet'!$E$11+1,1))-AVERAGE(OFFSET($H$3,0,0,'Données projet'!$E$11+1,1))</f>
        <v>442.85175349826028</v>
      </c>
      <c r="BJ167" s="59">
        <f t="shared" si="146"/>
        <v>210.70697808232501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0.318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67.335400103039305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67.335400103039305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300.80663531652721</v>
      </c>
      <c r="T168" s="59">
        <f t="shared" si="142"/>
        <v>306.01967513533549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17.287246863004299</v>
      </c>
      <c r="AA168" s="21">
        <f>EXP(-LN(2)/25)*AA167+(1-EXP(-LN(2)/25))/(LN(2)/25)*Calculateur!V168*Calculateur!X168*VLOOKUP('Données projet'!$B$9,Paramètres!$A$1:$I$89,3,0)*0.475*44/12</f>
        <v>4.6626329929286472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21.949879855932945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349.5718186624772</v>
      </c>
      <c r="AO168" s="59">
        <f t="shared" si="144"/>
        <v>258.14152930815959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30.92979785735081</v>
      </c>
      <c r="AV168" s="21">
        <f>EXP(-LN(2)/25)*AV167+(1-EXP(-LN(2)/25))/(LN(2)/25)*Calculateur!AQ168*Calculateur!AS168*VLOOKUP('Données projet'!$B$10,Paramètres!$A$1:$I$89,3,0)*0.475*44/12</f>
        <v>7.8547174149490706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38.784515272299878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314.42810880000025</v>
      </c>
      <c r="BF168" s="13">
        <f t="shared" si="167"/>
        <v>74.192830792807456</v>
      </c>
      <c r="BG168" s="20">
        <f t="shared" si="168"/>
        <v>676.84813645747329</v>
      </c>
      <c r="BH168" s="59">
        <f t="shared" si="116"/>
        <v>970.18146979080666</v>
      </c>
      <c r="BI168" s="59">
        <f ca="1">AVERAGE(OFFSET($BH$3,0,0,'Données projet'!$E$11+1,1))-AVERAGE(OFFSET($H$3,0,0,'Données projet'!$E$11+1,1))</f>
        <v>442.85175349826028</v>
      </c>
      <c r="BJ168" s="59">
        <f t="shared" si="146"/>
        <v>210.70697808232501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66.014993977557381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66.014993977557381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300.80663531652721</v>
      </c>
      <c r="T169" s="59">
        <f t="shared" si="142"/>
        <v>306.01967513533549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16.948254496200221</v>
      </c>
      <c r="AA169" s="21">
        <f>EXP(-LN(2)/25)*AA168+(1-EXP(-LN(2)/25))/(LN(2)/25)*Calculateur!V169*Calculateur!X169*VLOOKUP('Données projet'!$B$9,Paramètres!$A$1:$I$89,3,0)*0.475*44/12</f>
        <v>4.5351330485398007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21.483387544740022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349.5718186624772</v>
      </c>
      <c r="AO169" s="59">
        <f t="shared" si="144"/>
        <v>258.14152930815959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30.323283386682057</v>
      </c>
      <c r="AV169" s="21">
        <f>EXP(-LN(2)/25)*AV168+(1-EXP(-LN(2)/25))/(LN(2)/25)*Calculateur!AQ169*Calculateur!AS169*VLOOKUP('Données projet'!$B$10,Paramètres!$A$1:$I$89,3,0)*0.475*44/12</f>
        <v>7.6399297541756512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37.963213140857711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320.16076560000027</v>
      </c>
      <c r="BF169" s="13">
        <f t="shared" si="167"/>
        <v>75.386803094564755</v>
      </c>
      <c r="BG169" s="20">
        <f t="shared" si="168"/>
        <v>688.91201547636729</v>
      </c>
      <c r="BH169" s="59">
        <f t="shared" si="116"/>
        <v>982.24534880970054</v>
      </c>
      <c r="BI169" s="59">
        <f ca="1">AVERAGE(OFFSET($BH$3,0,0,'Données projet'!$E$11+1,1))-AVERAGE(OFFSET($H$3,0,0,'Données projet'!$E$11+1,1))</f>
        <v>442.85175349826028</v>
      </c>
      <c r="BJ169" s="59">
        <f t="shared" si="146"/>
        <v>210.70697808232501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64.720480210827958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64.720480210827958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300.80663531652721</v>
      </c>
      <c r="T170" s="59">
        <f t="shared" si="142"/>
        <v>306.01967513533549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16.615909562944243</v>
      </c>
      <c r="AA170" s="21">
        <f>EXP(-LN(2)/25)*AA169+(1-EXP(-LN(2)/25))/(LN(2)/25)*Calculateur!V170*Calculateur!X170*VLOOKUP('Données projet'!$B$9,Paramètres!$A$1:$I$89,3,0)*0.475*44/12</f>
        <v>4.4111195968351984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21.027029159779442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349.5718186624772</v>
      </c>
      <c r="AO170" s="59">
        <f t="shared" si="144"/>
        <v>258.14152930815959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29.728662294845822</v>
      </c>
      <c r="AV170" s="21">
        <f>EXP(-LN(2)/25)*AV169+(1-EXP(-LN(2)/25))/(LN(2)/25)*Calculateur!AQ170*Calculateur!AS170*VLOOKUP('Données projet'!$B$10,Paramètres!$A$1:$I$89,3,0)*0.475*44/12</f>
        <v>7.4310154732812732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37.159677768127096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325.89342240000025</v>
      </c>
      <c r="BF170" s="13">
        <f t="shared" si="167"/>
        <v>76.578289362128245</v>
      </c>
      <c r="BG170" s="20">
        <f t="shared" si="168"/>
        <v>700.97156465237379</v>
      </c>
      <c r="BH170" s="59">
        <f t="shared" si="116"/>
        <v>994.30489798570716</v>
      </c>
      <c r="BI170" s="59">
        <f ca="1">AVERAGE(OFFSET($BH$3,0,0,'Données projet'!$E$11+1,1))-AVERAGE(OFFSET($H$3,0,0,'Données projet'!$E$11+1,1))</f>
        <v>442.85175349826028</v>
      </c>
      <c r="BJ170" s="59">
        <f t="shared" si="146"/>
        <v>210.70697808232501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63.451351069488659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63.451351069488659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300.80663531652721</v>
      </c>
      <c r="T171" s="59">
        <f t="shared" si="142"/>
        <v>306.01967513533549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16.290081711119022</v>
      </c>
      <c r="AA171" s="21">
        <f>EXP(-LN(2)/25)*AA170+(1-EXP(-LN(2)/25))/(LN(2)/25)*Calculateur!V171*Calculateur!X171*VLOOKUP('Données projet'!$B$9,Paramètres!$A$1:$I$89,3,0)*0.475*44/12</f>
        <v>4.2904972994890418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20.580579010608062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349.5718186624772</v>
      </c>
      <c r="AO171" s="59">
        <f t="shared" si="144"/>
        <v>258.14152930815959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29.145701359937441</v>
      </c>
      <c r="AV171" s="21">
        <f>EXP(-LN(2)/25)*AV170+(1-EXP(-LN(2)/25))/(LN(2)/25)*Calculateur!AQ171*Calculateur!AS171*VLOOKUP('Données projet'!$B$10,Paramètres!$A$1:$I$89,3,0)*0.475*44/12</f>
        <v>7.2278139643842767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36.373515324321716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331.62607920000028</v>
      </c>
      <c r="BF171" s="13">
        <f t="shared" si="167"/>
        <v>77.767338371688979</v>
      </c>
      <c r="BG171" s="20">
        <f t="shared" si="168"/>
        <v>713.0268689373587</v>
      </c>
      <c r="BH171" s="59">
        <f t="shared" si="116"/>
        <v>1006.3602022706921</v>
      </c>
      <c r="BI171" s="59">
        <f ca="1">AVERAGE(OFFSET($BH$3,0,0,'Données projet'!$E$11+1,1))-AVERAGE(OFFSET($H$3,0,0,'Données projet'!$E$11+1,1))</f>
        <v>442.85175349826028</v>
      </c>
      <c r="BJ171" s="59">
        <f t="shared" si="146"/>
        <v>210.70697808232501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62.20710877651868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62.20710877651868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300.80663531652721</v>
      </c>
      <c r="T172" s="59">
        <f t="shared" si="142"/>
        <v>306.01967513533549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15.970643144732726</v>
      </c>
      <c r="AA172" s="21">
        <f>EXP(-LN(2)/25)*AA171+(1-EXP(-LN(2)/25))/(LN(2)/25)*Calculateur!V172*Calculateur!X172*VLOOKUP('Données projet'!$B$9,Paramètres!$A$1:$I$89,3,0)*0.475*44/12</f>
        <v>4.1731734252070671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20.143816569939794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349.5718186624772</v>
      </c>
      <c r="AO172" s="59">
        <f t="shared" si="144"/>
        <v>258.14152930815959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28.57417193339155</v>
      </c>
      <c r="AV172" s="21">
        <f>EXP(-LN(2)/25)*AV171+(1-EXP(-LN(2)/25))/(LN(2)/25)*Calculateur!AQ172*Calculateur!AS172*VLOOKUP('Données projet'!$B$10,Paramètres!$A$1:$I$89,3,0)*0.475*44/12</f>
        <v>7.0301690114339719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35.604340944825523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337.35873600000025</v>
      </c>
      <c r="BF172" s="13">
        <f t="shared" si="167"/>
        <v>78.953997116481773</v>
      </c>
      <c r="BG172" s="20">
        <f t="shared" si="168"/>
        <v>725.0780101778729</v>
      </c>
      <c r="BH172" s="59">
        <f t="shared" si="116"/>
        <v>1018.4113435112063</v>
      </c>
      <c r="BI172" s="59">
        <f ca="1">AVERAGE(OFFSET($BH$3,0,0,'Données projet'!$E$11+1,1))-AVERAGE(OFFSET($H$3,0,0,'Données projet'!$E$11+1,1))</f>
        <v>442.85175349826028</v>
      </c>
      <c r="BJ172" s="59">
        <f t="shared" si="146"/>
        <v>210.70697808232501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60.987265316000986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60.987265316000986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300.80663531652721</v>
      </c>
      <c r="T173" s="59">
        <f t="shared" si="142"/>
        <v>306.01967513533549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15.657468573794979</v>
      </c>
      <c r="AA173" s="21">
        <f>EXP(-LN(2)/25)*AA172+(1-EXP(-LN(2)/25))/(LN(2)/25)*Calculateur!V173*Calculateur!X173*VLOOKUP('Données projet'!$B$9,Paramètres!$A$1:$I$89,3,0)*0.475*44/12</f>
        <v>4.0590577784371273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19.716526352232108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349.5718186624772</v>
      </c>
      <c r="AO173" s="59">
        <f t="shared" si="144"/>
        <v>258.14152930815959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28.013849850301696</v>
      </c>
      <c r="AV173" s="21">
        <f>EXP(-LN(2)/25)*AV172+(1-EXP(-LN(2)/25))/(LN(2)/25)*Calculateur!AQ173*Calculateur!AS173*VLOOKUP('Données projet'!$B$10,Paramètres!$A$1:$I$89,3,0)*0.475*44/12</f>
        <v>6.8379286701157893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34.851778520417483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343.09139280000028</v>
      </c>
      <c r="BF173" s="13">
        <f t="shared" si="167"/>
        <v>80.138310901128222</v>
      </c>
      <c r="BG173" s="20">
        <f t="shared" si="168"/>
        <v>737.1250672794655</v>
      </c>
      <c r="BH173" s="59">
        <f t="shared" si="116"/>
        <v>1030.4584006127989</v>
      </c>
      <c r="BI173" s="59">
        <f ca="1">AVERAGE(OFFSET($BH$3,0,0,'Données projet'!$E$11+1,1))-AVERAGE(OFFSET($H$3,0,0,'Données projet'!$E$11+1,1))</f>
        <v>442.85175349826028</v>
      </c>
      <c r="BJ173" s="59">
        <f t="shared" si="146"/>
        <v>210.70697808232501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59.791342241712996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59.791342241712996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300.80663531652721</v>
      </c>
      <c r="T174" s="59">
        <f t="shared" si="142"/>
        <v>306.01967513533549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15.350435165175695</v>
      </c>
      <c r="AA174" s="21">
        <f>EXP(-LN(2)/25)*AA173+(1-EXP(-LN(2)/25))/(LN(2)/25)*Calculateur!V174*Calculateur!X174*VLOOKUP('Données projet'!$B$9,Paramètres!$A$1:$I$89,3,0)*0.475*44/12</f>
        <v>3.9480626300291926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19.298497795204888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349.5718186624772</v>
      </c>
      <c r="AO174" s="59">
        <f t="shared" si="144"/>
        <v>258.14152930815959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27.464515341498512</v>
      </c>
      <c r="AV174" s="21">
        <f>EXP(-LN(2)/25)*AV173+(1-EXP(-LN(2)/25))/(LN(2)/25)*Calculateur!AQ174*Calculateur!AS174*VLOOKUP('Données projet'!$B$10,Paramètres!$A$1:$I$89,3,0)*0.475*44/12</f>
        <v>6.6509451510404327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34.115460492538944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348.82404960000025</v>
      </c>
      <c r="BF174" s="13">
        <f t="shared" si="167"/>
        <v>81.320323429496455</v>
      </c>
      <c r="BG174" s="20">
        <f t="shared" si="168"/>
        <v>749.1681163597068</v>
      </c>
      <c r="BH174" s="59">
        <f t="shared" si="116"/>
        <v>1042.5014496930401</v>
      </c>
      <c r="BI174" s="59">
        <f ca="1">AVERAGE(OFFSET($BH$3,0,0,'Données projet'!$E$11+1,1))-AVERAGE(OFFSET($H$3,0,0,'Données projet'!$E$11+1,1))</f>
        <v>442.85175349826028</v>
      </c>
      <c r="BJ174" s="59">
        <f t="shared" si="146"/>
        <v>210.70697808232501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58.618870489470744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58.618870489470744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300.80663531652721</v>
      </c>
      <c r="T175" s="59">
        <f t="shared" si="142"/>
        <v>306.01967513533549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15.049422494427546</v>
      </c>
      <c r="AA175" s="21">
        <f>EXP(-LN(2)/25)*AA174+(1-EXP(-LN(2)/25))/(LN(2)/25)*Calculateur!V175*Calculateur!X175*VLOOKUP('Données projet'!$B$9,Paramètres!$A$1:$I$89,3,0)*0.475*44/12</f>
        <v>3.8401026497914539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18.889525144219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349.5718186624772</v>
      </c>
      <c r="AO175" s="59">
        <f t="shared" si="144"/>
        <v>258.14152930815959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26.925952947351991</v>
      </c>
      <c r="AV175" s="21">
        <f>EXP(-LN(2)/25)*AV174+(1-EXP(-LN(2)/25))/(LN(2)/25)*Calculateur!AQ175*Calculateur!AS175*VLOOKUP('Données projet'!$B$10,Paramètres!$A$1:$I$89,3,0)*0.475*44/12</f>
        <v>6.4690747061272278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33.395027653479218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354.55670640000028</v>
      </c>
      <c r="BF175" s="13">
        <f t="shared" si="167"/>
        <v>82.500076886620221</v>
      </c>
      <c r="BG175" s="20">
        <f t="shared" si="168"/>
        <v>761.20723089086403</v>
      </c>
      <c r="BH175" s="59">
        <f t="shared" si="116"/>
        <v>1054.5405642241974</v>
      </c>
      <c r="BI175" s="59">
        <f ca="1">AVERAGE(OFFSET($BH$3,0,0,'Données projet'!$E$11+1,1))-AVERAGE(OFFSET($H$3,0,0,'Données projet'!$E$11+1,1))</f>
        <v>442.85175349826028</v>
      </c>
      <c r="BJ175" s="59">
        <f t="shared" si="146"/>
        <v>210.70697808232501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57.469390193152812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57.469390193152812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300.80663531652721</v>
      </c>
      <c r="T176" s="59">
        <f t="shared" si="142"/>
        <v>306.01967513533549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14.754312498553169</v>
      </c>
      <c r="AA176" s="21">
        <f>EXP(-LN(2)/25)*AA175+(1-EXP(-LN(2)/25))/(LN(2)/25)*Calculateur!V176*Calculateur!X176*VLOOKUP('Données projet'!$B$9,Paramètres!$A$1:$I$89,3,0)*0.475*44/12</f>
        <v>3.7350948408906848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18.489407339443854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349.5718186624772</v>
      </c>
      <c r="AO176" s="59">
        <f t="shared" si="144"/>
        <v>258.14152930815959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26.397951433264058</v>
      </c>
      <c r="AV176" s="21">
        <f>EXP(-LN(2)/25)*AV175+(1-EXP(-LN(2)/25))/(LN(2)/25)*Calculateur!AQ176*Calculateur!AS176*VLOOKUP('Données projet'!$B$10,Paramètres!$A$1:$I$89,3,0)*0.475*44/12</f>
        <v>6.2921775180943254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32.690128951358382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360.28936320000031</v>
      </c>
      <c r="BF176" s="13">
        <f t="shared" si="167"/>
        <v>83.677612015171519</v>
      </c>
      <c r="BG176" s="20">
        <f t="shared" si="168"/>
        <v>773.24248183309089</v>
      </c>
      <c r="BH176" s="59">
        <f t="shared" si="116"/>
        <v>1066.5758151664243</v>
      </c>
      <c r="BI176" s="59">
        <f ca="1">AVERAGE(OFFSET($BH$3,0,0,'Données projet'!$E$11+1,1))-AVERAGE(OFFSET($H$3,0,0,'Données projet'!$E$11+1,1))</f>
        <v>442.85175349826028</v>
      </c>
      <c r="BJ176" s="59">
        <f t="shared" si="146"/>
        <v>210.70697808232501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56.342450504331921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56.342450504331921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300.80663531652721</v>
      </c>
      <c r="T177" s="59">
        <f t="shared" si="142"/>
        <v>306.01967513533549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14.464989429698564</v>
      </c>
      <c r="AA177" s="21">
        <f>EXP(-LN(2)/25)*AA176+(1-EXP(-LN(2)/25))/(LN(2)/25)*Calculateur!V177*Calculateur!X177*VLOOKUP('Données projet'!$B$9,Paramètres!$A$1:$I$89,3,0)*0.475*44/12</f>
        <v>3.632958476046428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18.097947905744991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349.5718186624772</v>
      </c>
      <c r="AO177" s="59">
        <f t="shared" si="144"/>
        <v>258.14152930815959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25.880303706818268</v>
      </c>
      <c r="AV177" s="21">
        <f>EXP(-LN(2)/25)*AV176+(1-EXP(-LN(2)/25))/(LN(2)/25)*Calculateur!AQ177*Calculateur!AS177*VLOOKUP('Données projet'!$B$10,Paramètres!$A$1:$I$89,3,0)*0.475*44/12</f>
        <v>6.1201175929708009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32.000421299789068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366.0220200000004</v>
      </c>
      <c r="BF177" s="13">
        <f t="shared" si="167"/>
        <v>84.852968186926802</v>
      </c>
      <c r="BG177" s="20">
        <f t="shared" si="168"/>
        <v>785.27393775889823</v>
      </c>
      <c r="BH177" s="59">
        <f t="shared" si="116"/>
        <v>1078.6072710922315</v>
      </c>
      <c r="BI177" s="59">
        <f ca="1">AVERAGE(OFFSET($BH$3,0,0,'Données projet'!$E$11+1,1))-AVERAGE(OFFSET($H$3,0,0,'Données projet'!$E$11+1,1))</f>
        <v>442.85175349826028</v>
      </c>
      <c r="BJ177" s="59">
        <f t="shared" si="146"/>
        <v>210.70697808232501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0.318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105.88311388926243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105.88311388926243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300.80663531652721</v>
      </c>
      <c r="T178" s="59">
        <f t="shared" si="142"/>
        <v>306.01967513533549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14.181339809754551</v>
      </c>
      <c r="AA178" s="21">
        <f>EXP(-LN(2)/25)*AA177+(1-EXP(-LN(2)/25))/(LN(2)/25)*Calculateur!V178*Calculateur!X178*VLOOKUP('Données projet'!$B$9,Paramètres!$A$1:$I$89,3,0)*0.475*44/12</f>
        <v>3.5336150354699556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17.714954845224508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349.5718186624772</v>
      </c>
      <c r="AO178" s="59">
        <f t="shared" si="144"/>
        <v>258.14152930815959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25.372806736554143</v>
      </c>
      <c r="AV178" s="21">
        <f>EXP(-LN(2)/25)*AV177+(1-EXP(-LN(2)/25))/(LN(2)/25)*Calculateur!AQ178*Calculateur!AS178*VLOOKUP('Données projet'!$B$10,Paramètres!$A$1:$I$89,3,0)*0.475*44/12</f>
        <v>5.9527626555480175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31.32556939210216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225.56768000000039</v>
      </c>
      <c r="BF178" s="13">
        <f t="shared" si="167"/>
        <v>55.323227651487805</v>
      </c>
      <c r="BG178" s="20">
        <f t="shared" si="168"/>
        <v>489.21833082634186</v>
      </c>
      <c r="BH178" s="59">
        <f t="shared" si="116"/>
        <v>782.55166415967517</v>
      </c>
      <c r="BI178" s="59">
        <f ca="1">AVERAGE(OFFSET($BH$3,0,0,'Données projet'!$E$11+1,1))-AVERAGE(OFFSET($H$3,0,0,'Données projet'!$E$11+1,1))</f>
        <v>442.85175349826028</v>
      </c>
      <c r="BJ178" s="59">
        <f t="shared" si="146"/>
        <v>210.70697808232501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103.80681060821649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103.80681060821649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300.80663531652721</v>
      </c>
      <c r="T179" s="59">
        <f t="shared" si="142"/>
        <v>306.01967513533549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13.903252385848456</v>
      </c>
      <c r="AA179" s="21">
        <f>EXP(-LN(2)/25)*AA178+(1-EXP(-LN(2)/25))/(LN(2)/25)*Calculateur!V179*Calculateur!X179*VLOOKUP('Données projet'!$B$9,Paramètres!$A$1:$I$89,3,0)*0.475*44/12</f>
        <v>3.4369881465002909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17.340240532348748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349.5718186624772</v>
      </c>
      <c r="AO179" s="59">
        <f t="shared" si="144"/>
        <v>258.14152930815959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24.875261472334309</v>
      </c>
      <c r="AV179" s="21">
        <f>EXP(-LN(2)/25)*AV178+(1-EXP(-LN(2)/25))/(LN(2)/25)*Calculateur!AQ179*Calculateur!AS179*VLOOKUP('Données projet'!$B$10,Paramètres!$A$1:$I$89,3,0)*0.475*44/12</f>
        <v>5.7899840476898738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30.665245520024182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229.18105600000035</v>
      </c>
      <c r="BF179" s="13">
        <f t="shared" si="167"/>
        <v>56.105569947770974</v>
      </c>
      <c r="BG179" s="20">
        <f t="shared" si="168"/>
        <v>496.87420685903498</v>
      </c>
      <c r="BH179" s="59">
        <f t="shared" si="116"/>
        <v>790.20754019236824</v>
      </c>
      <c r="BI179" s="59">
        <f ca="1">AVERAGE(OFFSET($BH$3,0,0,'Données projet'!$E$11+1,1))-AVERAGE(OFFSET($H$3,0,0,'Données projet'!$E$11+1,1))</f>
        <v>442.85175349826028</v>
      </c>
      <c r="BJ179" s="59">
        <f t="shared" si="146"/>
        <v>210.70697808232501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101.77122236809191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101.77122236809191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300.80663531652721</v>
      </c>
      <c r="T180" s="59">
        <f t="shared" si="142"/>
        <v>306.01967513533549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13.630618086708578</v>
      </c>
      <c r="AA180" s="21">
        <f>EXP(-LN(2)/25)*AA179+(1-EXP(-LN(2)/25))/(LN(2)/25)*Calculateur!V180*Calculateur!X180*VLOOKUP('Données projet'!$B$9,Paramètres!$A$1:$I$89,3,0)*0.475*44/12</f>
        <v>3.3430035248908894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16.973621611599469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349.5718186624772</v>
      </c>
      <c r="AO180" s="59">
        <f t="shared" si="144"/>
        <v>258.14152930815959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24.387472767273181</v>
      </c>
      <c r="AV180" s="21">
        <f>EXP(-LN(2)/25)*AV179+(1-EXP(-LN(2)/25))/(LN(2)/25)*Calculateur!AQ180*Calculateur!AS180*VLOOKUP('Données projet'!$B$10,Paramètres!$A$1:$I$89,3,0)*0.475*44/12</f>
        <v>5.631656629423766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30.019129396696947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232.79443200000037</v>
      </c>
      <c r="BF180" s="13">
        <f t="shared" si="167"/>
        <v>56.886477730014597</v>
      </c>
      <c r="BG180" s="20">
        <f t="shared" si="168"/>
        <v>504.52758444644269</v>
      </c>
      <c r="BH180" s="59">
        <f t="shared" si="116"/>
        <v>797.86091777977595</v>
      </c>
      <c r="BI180" s="59">
        <f ca="1">AVERAGE(OFFSET($BH$3,0,0,'Données projet'!$E$11+1,1))-AVERAGE(OFFSET($H$3,0,0,'Données projet'!$E$11+1,1))</f>
        <v>442.85175349826028</v>
      </c>
      <c r="BJ180" s="59">
        <f t="shared" si="146"/>
        <v>210.70697808232501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0.318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126.93882152811024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126.93882152811024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300.80663531652721</v>
      </c>
      <c r="T181" s="59">
        <f t="shared" si="142"/>
        <v>306.01967513533549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13.36332997988433</v>
      </c>
      <c r="AA181" s="21">
        <f>EXP(-LN(2)/25)*AA180+(1-EXP(-LN(2)/25))/(LN(2)/25)*Calculateur!V181*Calculateur!X181*VLOOKUP('Données projet'!$B$9,Paramètres!$A$1:$I$89,3,0)*0.475*44/12</f>
        <v>3.2515889177018331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16.614918897586165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349.5718186624772</v>
      </c>
      <c r="AO181" s="59">
        <f t="shared" si="144"/>
        <v>258.14152930815959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23.909249301196567</v>
      </c>
      <c r="AV181" s="21">
        <f>EXP(-LN(2)/25)*AV180+(1-EXP(-LN(2)/25))/(LN(2)/25)*Calculateur!AQ181*Calculateur!AS181*VLOOKUP('Données projet'!$B$10,Paramètres!$A$1:$I$89,3,0)*0.475*44/12</f>
        <v>5.4776586827362221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29.38690798393279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157.70955200000037</v>
      </c>
      <c r="BF181" s="13">
        <f t="shared" si="167"/>
        <v>40.325465736795366</v>
      </c>
      <c r="BG181" s="20">
        <f t="shared" si="168"/>
        <v>344.91098922491921</v>
      </c>
      <c r="BH181" s="59">
        <f t="shared" si="116"/>
        <v>638.24432255825252</v>
      </c>
      <c r="BI181" s="59">
        <f ca="1">AVERAGE(OFFSET($BH$3,0,0,'Données projet'!$E$11+1,1))-AVERAGE(OFFSET($H$3,0,0,'Données projet'!$E$11+1,1))</f>
        <v>442.85175349826028</v>
      </c>
      <c r="BJ181" s="59">
        <f t="shared" si="146"/>
        <v>210.70697808232501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124.44962866298005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124.44962866298005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300.80663531652721</v>
      </c>
      <c r="T182" s="59">
        <f t="shared" si="142"/>
        <v>306.01967513533549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13.10128322980526</v>
      </c>
      <c r="AA182" s="21">
        <f>EXP(-LN(2)/25)*AA181+(1-EXP(-LN(2)/25))/(LN(2)/25)*Calculateur!V182*Calculateur!X182*VLOOKUP('Données projet'!$B$9,Paramètres!$A$1:$I$89,3,0)*0.475*44/12</f>
        <v>3.1626740477536468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16.263957277558905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349.5718186624772</v>
      </c>
      <c r="AO182" s="59">
        <f t="shared" si="144"/>
        <v>258.14152930815959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23.440403505602205</v>
      </c>
      <c r="AV182" s="21">
        <f>EXP(-LN(2)/25)*AV181+(1-EXP(-LN(2)/25))/(LN(2)/25)*Calculateur!AQ182*Calculateur!AS182*VLOOKUP('Données projet'!$B$10,Paramètres!$A$1:$I$89,3,0)*0.475*44/12</f>
        <v>5.3278718179992497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28.768275323601454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159.89412400000035</v>
      </c>
      <c r="BF182" s="13">
        <f t="shared" si="167"/>
        <v>40.818633859433973</v>
      </c>
      <c r="BG182" s="20">
        <f t="shared" si="168"/>
        <v>349.57471993851476</v>
      </c>
      <c r="BH182" s="59">
        <f t="shared" si="116"/>
        <v>642.90805327184808</v>
      </c>
      <c r="BI182" s="59">
        <f ca="1">AVERAGE(OFFSET($BH$3,0,0,'Données projet'!$E$11+1,1))-AVERAGE(OFFSET($H$3,0,0,'Données projet'!$E$11+1,1))</f>
        <v>442.85175349826028</v>
      </c>
      <c r="BJ182" s="59">
        <f t="shared" si="146"/>
        <v>210.70697808232501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122.00924735167732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122.00924735167732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300.80663531652721</v>
      </c>
      <c r="T183" s="59">
        <f t="shared" si="142"/>
        <v>306.01967513533549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12.844375056662503</v>
      </c>
      <c r="AA183" s="21">
        <f>EXP(-LN(2)/25)*AA182+(1-EXP(-LN(2)/25))/(LN(2)/25)*Calculateur!V183*Calculateur!X183*VLOOKUP('Données projet'!$B$9,Paramètres!$A$1:$I$89,3,0)*0.475*44/12</f>
        <v>3.0761905596000236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15.920565616262527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349.5718186624772</v>
      </c>
      <c r="AO183" s="59">
        <f t="shared" si="144"/>
        <v>258.14152930815959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22.980751490091748</v>
      </c>
      <c r="AV183" s="21">
        <f>EXP(-LN(2)/25)*AV182+(1-EXP(-LN(2)/25))/(LN(2)/25)*Calculateur!AQ183*Calculateur!AS183*VLOOKUP('Données projet'!$B$10,Paramètres!$A$1:$I$89,3,0)*0.475*44/12</f>
        <v>5.1821808829554588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28.162932373047205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162.07869600000035</v>
      </c>
      <c r="BF183" s="13">
        <f t="shared" si="167"/>
        <v>41.311018280291471</v>
      </c>
      <c r="BG183" s="20">
        <f t="shared" si="168"/>
        <v>354.2370857048416</v>
      </c>
      <c r="BH183" s="59">
        <f t="shared" si="116"/>
        <v>647.57041903817492</v>
      </c>
      <c r="BI183" s="59">
        <f ca="1">AVERAGE(OFFSET($BH$3,0,0,'Données projet'!$E$11+1,1))-AVERAGE(OFFSET($H$3,0,0,'Données projet'!$E$11+1,1))</f>
        <v>442.85175349826028</v>
      </c>
      <c r="BJ183" s="59">
        <f t="shared" si="146"/>
        <v>210.70697808232501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0.318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137.94408741597161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137.94408741597161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300.80663531652721</v>
      </c>
      <c r="T184" s="59">
        <f t="shared" si="142"/>
        <v>306.01967513533549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12.592504696096563</v>
      </c>
      <c r="AA184" s="21">
        <f>EXP(-LN(2)/25)*AA183+(1-EXP(-LN(2)/25))/(LN(2)/25)*Calculateur!V184*Calculateur!X184*VLOOKUP('Données projet'!$B$9,Paramètres!$A$1:$I$89,3,0)*0.475*44/12</f>
        <v>2.9920719669779303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15.584576663074493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349.5718186624772</v>
      </c>
      <c r="AO184" s="59">
        <f t="shared" si="144"/>
        <v>258.14152930815959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22.530112970245408</v>
      </c>
      <c r="AV184" s="21">
        <f>EXP(-LN(2)/25)*AV183+(1-EXP(-LN(2)/25))/(LN(2)/25)*Calculateur!AQ184*Calculateur!AS184*VLOOKUP('Données projet'!$B$10,Paramètres!$A$1:$I$89,3,0)*0.475*44/12</f>
        <v>5.040473874191993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27.5705868444374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111.25441600000035</v>
      </c>
      <c r="BF184" s="13">
        <f t="shared" si="167"/>
        <v>29.626339436997185</v>
      </c>
      <c r="BG184" s="20">
        <f t="shared" si="168"/>
        <v>245.36731571943736</v>
      </c>
      <c r="BH184" s="59">
        <f t="shared" si="116"/>
        <v>538.7006490527707</v>
      </c>
      <c r="BI184" s="59">
        <f ca="1">AVERAGE(OFFSET($BH$3,0,0,'Données projet'!$E$11+1,1))-AVERAGE(OFFSET($H$3,0,0,'Données projet'!$E$11+1,1))</f>
        <v>442.85175349826028</v>
      </c>
      <c r="BJ184" s="59">
        <f t="shared" si="146"/>
        <v>210.70697808232501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135.23908799932983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135.23908799932983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300.80663531652721</v>
      </c>
      <c r="T185" s="59">
        <f t="shared" si="142"/>
        <v>306.01967513533549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12.345573359675571</v>
      </c>
      <c r="AA185" s="21">
        <f>EXP(-LN(2)/25)*AA184+(1-EXP(-LN(2)/25))/(LN(2)/25)*Calculateur!V185*Calculateur!X185*VLOOKUP('Données projet'!$B$9,Paramètres!$A$1:$I$89,3,0)*0.475*44/12</f>
        <v>2.9102536016946927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15.255826961370264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349.5718186624772</v>
      </c>
      <c r="AO185" s="59">
        <f t="shared" si="144"/>
        <v>258.14152930815959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22.088311196910897</v>
      </c>
      <c r="AV185" s="21">
        <f>EXP(-LN(2)/25)*AV184+(1-EXP(-LN(2)/25))/(LN(2)/25)*Calculateur!AQ185*Calculateur!AS185*VLOOKUP('Données projet'!$B$10,Paramètres!$A$1:$I$89,3,0)*0.475*44/12</f>
        <v>4.9026418510352121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26.99095304794611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112.56471200000033</v>
      </c>
      <c r="BF185" s="13">
        <f t="shared" si="167"/>
        <v>29.934437783215401</v>
      </c>
      <c r="BG185" s="20">
        <f t="shared" si="168"/>
        <v>248.18601920576737</v>
      </c>
      <c r="BH185" s="59">
        <f t="shared" si="116"/>
        <v>541.51935253910074</v>
      </c>
      <c r="BI185" s="59">
        <f ca="1">AVERAGE(OFFSET($BH$3,0,0,'Données projet'!$E$11+1,1))-AVERAGE(OFFSET($H$3,0,0,'Données projet'!$E$11+1,1))</f>
        <v>442.85175349826028</v>
      </c>
      <c r="BJ185" s="59">
        <f t="shared" si="146"/>
        <v>210.70697808232501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132.58713197136166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132.58713197136166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300.80663531652721</v>
      </c>
      <c r="T186" s="59">
        <f t="shared" si="142"/>
        <v>306.01967513533549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12.103484196148552</v>
      </c>
      <c r="AA186" s="21">
        <f>EXP(-LN(2)/25)*AA185+(1-EXP(-LN(2)/25))/(LN(2)/25)*Calculateur!V186*Calculateur!X186*VLOOKUP('Données projet'!$B$9,Paramètres!$A$1:$I$89,3,0)*0.475*44/12</f>
        <v>2.8306725639127661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14.934156760061317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349.5718186624772</v>
      </c>
      <c r="AO186" s="59">
        <f t="shared" si="144"/>
        <v>258.14152930815959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21.655172886879001</v>
      </c>
      <c r="AV186" s="21">
        <f>EXP(-LN(2)/25)*AV185+(1-EXP(-LN(2)/25))/(LN(2)/25)*Calculateur!AQ186*Calculateur!AS186*VLOOKUP('Données projet'!$B$10,Paramètres!$A$1:$I$89,3,0)*0.475*44/12</f>
        <v>4.7685788517999246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26.423751738678924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113.87500800000032</v>
      </c>
      <c r="BF186" s="13">
        <f t="shared" si="167"/>
        <v>30.242118947318353</v>
      </c>
      <c r="BG186" s="20">
        <f t="shared" si="168"/>
        <v>251.00399609991334</v>
      </c>
      <c r="BH186" s="59">
        <f t="shared" si="116"/>
        <v>544.33732943324662</v>
      </c>
      <c r="BI186" s="59">
        <f ca="1">AVERAGE(OFFSET($BH$3,0,0,'Données projet'!$E$11+1,1))-AVERAGE(OFFSET($H$3,0,0,'Données projet'!$E$11+1,1))</f>
        <v>442.85175349826028</v>
      </c>
      <c r="BJ186" s="59">
        <f t="shared" si="146"/>
        <v>210.70697808232501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0.318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170.0187517471272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170.0187517471272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300.80663531652721</v>
      </c>
      <c r="T187" s="59">
        <f t="shared" si="142"/>
        <v>306.01967513533549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11.866142253458486</v>
      </c>
      <c r="AA187" s="21">
        <f>EXP(-LN(2)/25)*AA186+(1-EXP(-LN(2)/25))/(LN(2)/25)*Calculateur!V187*Calculateur!X187*VLOOKUP('Données projet'!$B$9,Paramètres!$A$1:$I$89,3,0)*0.475*44/12</f>
        <v>2.753267673793971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14.619409927252457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349.5718186624772</v>
      </c>
      <c r="AO187" s="59">
        <f t="shared" si="144"/>
        <v>258.14152930815959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21.230528154918549</v>
      </c>
      <c r="AV187" s="21">
        <f>EXP(-LN(2)/25)*AV186+(1-EXP(-LN(2)/25))/(LN(2)/25)*Calculateur!AQ187*Calculateur!AS187*VLOOKUP('Données projet'!$B$10,Paramètres!$A$1:$I$89,3,0)*0.475*44/12</f>
        <v>4.6381818123287921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25.868709967247341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3.2410980566055511E-13</v>
      </c>
      <c r="BF187" s="13">
        <f t="shared" si="167"/>
        <v>4.246192380365624E-12</v>
      </c>
      <c r="BG187" s="20">
        <f t="shared" si="168"/>
        <v>7.9599429739955953E-12</v>
      </c>
      <c r="BH187" s="59">
        <f t="shared" si="116"/>
        <v>293.33333333334127</v>
      </c>
      <c r="BI187" s="59">
        <f ca="1">AVERAGE(OFFSET($BH$3,0,0,'Données projet'!$E$11+1,1))-AVERAGE(OFFSET($H$3,0,0,'Données projet'!$E$11+1,1))</f>
        <v>442.85175349826028</v>
      </c>
      <c r="BJ187" s="59">
        <f t="shared" si="146"/>
        <v>210.70697808232501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166.68478772656496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166.68478772656496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300.80663531652721</v>
      </c>
      <c r="T188" s="59">
        <f t="shared" si="142"/>
        <v>306.01967513533549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11.633454441500284</v>
      </c>
      <c r="AA188" s="21">
        <f>EXP(-LN(2)/25)*AA187+(1-EXP(-LN(2)/25))/(LN(2)/25)*Calculateur!V188*Calculateur!X188*VLOOKUP('Données projet'!$B$9,Paramètres!$A$1:$I$89,3,0)*0.475*44/12</f>
        <v>2.6779794244660207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14.311433865966304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349.5718186624772</v>
      </c>
      <c r="AO188" s="59">
        <f t="shared" si="144"/>
        <v>258.14152930815959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20.814210447144131</v>
      </c>
      <c r="AV188" s="21">
        <f>EXP(-LN(2)/25)*AV187+(1-EXP(-LN(2)/25))/(LN(2)/25)*Calculateur!AQ188*Calculateur!AS188*VLOOKUP('Données projet'!$B$10,Paramètres!$A$1:$I$89,3,0)*0.475*44/12</f>
        <v>4.5113504867592802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25.325560933903411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3.2410980566055511E-13</v>
      </c>
      <c r="BF188" s="13">
        <f t="shared" si="167"/>
        <v>4.246192380365624E-12</v>
      </c>
      <c r="BG188" s="20">
        <f t="shared" si="168"/>
        <v>7.9599429739955953E-12</v>
      </c>
      <c r="BH188" s="59">
        <f t="shared" si="116"/>
        <v>293.33333333334127</v>
      </c>
      <c r="BI188" s="59">
        <f ca="1">AVERAGE(OFFSET($BH$3,0,0,'Données projet'!$E$11+1,1))-AVERAGE(OFFSET($H$3,0,0,'Données projet'!$E$11+1,1))</f>
        <v>442.85175349826028</v>
      </c>
      <c r="BJ188" s="59">
        <f t="shared" si="146"/>
        <v>210.70697808232501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163.41620070692869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163.41620070692869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300.80663531652721</v>
      </c>
      <c r="T189" s="59">
        <f t="shared" si="142"/>
        <v>306.01967513533549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11.405329495609029</v>
      </c>
      <c r="AA189" s="21">
        <f>EXP(-LN(2)/25)*AA188+(1-EXP(-LN(2)/25))/(LN(2)/25)*Calculateur!V189*Calculateur!X189*VLOOKUP('Données projet'!$B$9,Paramètres!$A$1:$I$89,3,0)*0.475*44/12</f>
        <v>2.60474993627518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14.010079431884209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349.5718186624772</v>
      </c>
      <c r="AO189" s="59">
        <f t="shared" si="144"/>
        <v>258.14152930815959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20.406056475690438</v>
      </c>
      <c r="AV189" s="21">
        <f>EXP(-LN(2)/25)*AV188+(1-EXP(-LN(2)/25))/(LN(2)/25)*Calculateur!AQ189*Calculateur!AS189*VLOOKUP('Données projet'!$B$10,Paramètres!$A$1:$I$89,3,0)*0.475*44/12</f>
        <v>4.3879873704572363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24.794043846147673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3.2410980566055511E-13</v>
      </c>
      <c r="BF189" s="13">
        <f t="shared" si="167"/>
        <v>4.246192380365624E-12</v>
      </c>
      <c r="BG189" s="20">
        <f t="shared" si="168"/>
        <v>7.9599429739955953E-12</v>
      </c>
      <c r="BH189" s="59">
        <f t="shared" si="116"/>
        <v>293.33333333334127</v>
      </c>
      <c r="BI189" s="59">
        <f ca="1">AVERAGE(OFFSET($BH$3,0,0,'Données projet'!$E$11+1,1))-AVERAGE(OFFSET($H$3,0,0,'Données projet'!$E$11+1,1))</f>
        <v>442.85175349826028</v>
      </c>
      <c r="BJ189" s="59">
        <f t="shared" si="146"/>
        <v>210.70697808232501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160.21170868510626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160.21170868510626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300.80663531652721</v>
      </c>
      <c r="T190" s="59">
        <f t="shared" si="142"/>
        <v>306.01967513533549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11.181677940764224</v>
      </c>
      <c r="AA190" s="21">
        <f>EXP(-LN(2)/25)*AA189+(1-EXP(-LN(2)/25))/(LN(2)/25)*Calculateur!V190*Calculateur!X190*VLOOKUP('Données projet'!$B$9,Paramètres!$A$1:$I$89,3,0)*0.475*44/12</f>
        <v>2.5335229122898895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13.715200853054114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349.5718186624772</v>
      </c>
      <c r="AO190" s="59">
        <f t="shared" si="144"/>
        <v>258.14152930815959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20.005906154667613</v>
      </c>
      <c r="AV190" s="21">
        <f>EXP(-LN(2)/25)*AV189+(1-EXP(-LN(2)/25))/(LN(2)/25)*Calculateur!AQ190*Calculateur!AS190*VLOOKUP('Données projet'!$B$10,Paramètres!$A$1:$I$89,3,0)*0.475*44/12</f>
        <v>4.2679976250578564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24.273903779725469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3.2410980566055511E-13</v>
      </c>
      <c r="BF190" s="13">
        <f t="shared" si="167"/>
        <v>4.246192380365624E-12</v>
      </c>
      <c r="BG190" s="20">
        <f t="shared" si="168"/>
        <v>7.9599429739955953E-12</v>
      </c>
      <c r="BH190" s="59">
        <f t="shared" si="116"/>
        <v>293.33333333334127</v>
      </c>
      <c r="BI190" s="59">
        <f ca="1">AVERAGE(OFFSET($BH$3,0,0,'Données projet'!$E$11+1,1))-AVERAGE(OFFSET($H$3,0,0,'Données projet'!$E$11+1,1))</f>
        <v>442.85175349826028</v>
      </c>
      <c r="BJ190" s="59">
        <f t="shared" si="146"/>
        <v>210.70697808232501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157.07005479728463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157.07005479728463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300.80663531652721</v>
      </c>
      <c r="T191" s="59">
        <f t="shared" si="142"/>
        <v>306.01967513533549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10.962412056495948</v>
      </c>
      <c r="AA191" s="21">
        <f>EXP(-LN(2)/25)*AA190+(1-EXP(-LN(2)/25))/(LN(2)/25)*Calculateur!V191*Calculateur!X191*VLOOKUP('Données projet'!$B$9,Paramètres!$A$1:$I$89,3,0)*0.475*44/12</f>
        <v>2.4642435950211428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13.426655651517091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349.5718186624772</v>
      </c>
      <c r="AO191" s="59">
        <f t="shared" si="144"/>
        <v>258.14152930815959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19.613602537372451</v>
      </c>
      <c r="AV191" s="21">
        <f>EXP(-LN(2)/25)*AV190+(1-EXP(-LN(2)/25))/(LN(2)/25)*Calculateur!AQ191*Calculateur!AS191*VLOOKUP('Données projet'!$B$10,Paramètres!$A$1:$I$89,3,0)*0.475*44/12</f>
        <v>4.1512890055564089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23.764891542928858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3.2410980566055511E-13</v>
      </c>
      <c r="BF191" s="13">
        <f t="shared" si="167"/>
        <v>4.246192380365624E-12</v>
      </c>
      <c r="BG191" s="20">
        <f t="shared" si="168"/>
        <v>7.9599429739955953E-12</v>
      </c>
      <c r="BH191" s="59">
        <f t="shared" si="116"/>
        <v>293.33333333334127</v>
      </c>
      <c r="BI191" s="59">
        <f ca="1">AVERAGE(OFFSET($BH$3,0,0,'Données projet'!$E$11+1,1))-AVERAGE(OFFSET($H$3,0,0,'Données projet'!$E$11+1,1))</f>
        <v>442.85175349826028</v>
      </c>
      <c r="BJ191" s="59">
        <f t="shared" si="146"/>
        <v>210.70697808232501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153.99000682598353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153.99000682598353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300.80663531652721</v>
      </c>
      <c r="T192" s="59">
        <f t="shared" si="142"/>
        <v>306.01967513533549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10.747445842479189</v>
      </c>
      <c r="AA192" s="21">
        <f>EXP(-LN(2)/25)*AA191+(1-EXP(-LN(2)/25))/(LN(2)/25)*Calculateur!V192*Calculateur!X192*VLOOKUP('Données projet'!$B$9,Paramètres!$A$1:$I$89,3,0)*0.475*44/12</f>
        <v>2.3968587243263513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13.144304566805541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349.5718186624772</v>
      </c>
      <c r="AO192" s="59">
        <f t="shared" si="144"/>
        <v>258.14152930815959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19.228991754730867</v>
      </c>
      <c r="AV192" s="21">
        <f>EXP(-LN(2)/25)*AV191+(1-EXP(-LN(2)/25))/(LN(2)/25)*Calculateur!AQ192*Calculateur!AS192*VLOOKUP('Données projet'!$B$10,Paramètres!$A$1:$I$89,3,0)*0.475*44/12</f>
        <v>4.0377717893926679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23.266763544123535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3.2410980566055511E-13</v>
      </c>
      <c r="BF192" s="13">
        <f t="shared" si="167"/>
        <v>4.246192380365624E-12</v>
      </c>
      <c r="BG192" s="20">
        <f t="shared" si="168"/>
        <v>7.9599429739955953E-12</v>
      </c>
      <c r="BH192" s="59">
        <f t="shared" si="116"/>
        <v>293.33333333334127</v>
      </c>
      <c r="BI192" s="59">
        <f ca="1">AVERAGE(OFFSET($BH$3,0,0,'Données projet'!$E$11+1,1))-AVERAGE(OFFSET($H$3,0,0,'Données projet'!$E$11+1,1))</f>
        <v>442.85175349826028</v>
      </c>
      <c r="BJ192" s="59">
        <f t="shared" si="146"/>
        <v>210.70697808232501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150.97035671675587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150.97035671675587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300.80663531652721</v>
      </c>
      <c r="T193" s="59">
        <f t="shared" si="142"/>
        <v>306.01967513533549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10.536694984802855</v>
      </c>
      <c r="AA193" s="21">
        <f>EXP(-LN(2)/25)*AA192+(1-EXP(-LN(2)/25))/(LN(2)/25)*Calculateur!V193*Calculateur!X193*VLOOKUP('Données projet'!$B$9,Paramètres!$A$1:$I$89,3,0)*0.475*44/12</f>
        <v>2.3313164964643249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12.86801148126718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349.5718186624772</v>
      </c>
      <c r="AO193" s="59">
        <f t="shared" si="144"/>
        <v>258.14152930815959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18.851922954947469</v>
      </c>
      <c r="AV193" s="21">
        <f>EXP(-LN(2)/25)*AV192+(1-EXP(-LN(2)/25))/(LN(2)/25)*Calculateur!AQ193*Calculateur!AS193*VLOOKUP('Données projet'!$B$10,Paramètres!$A$1:$I$89,3,0)*0.475*44/12</f>
        <v>3.9273587074745353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22.779281662422004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3.2410980566055511E-13</v>
      </c>
      <c r="BF193" s="13">
        <f t="shared" si="167"/>
        <v>4.246192380365624E-12</v>
      </c>
      <c r="BG193" s="20">
        <f t="shared" si="168"/>
        <v>7.9599429739955953E-12</v>
      </c>
      <c r="BH193" s="59">
        <f t="shared" si="116"/>
        <v>293.33333333334127</v>
      </c>
      <c r="BI193" s="59">
        <f ca="1">AVERAGE(OFFSET($BH$3,0,0,'Données projet'!$E$11+1,1))-AVERAGE(OFFSET($H$3,0,0,'Données projet'!$E$11+1,1))</f>
        <v>442.85175349826028</v>
      </c>
      <c r="BJ193" s="59">
        <f t="shared" si="146"/>
        <v>210.70697808232501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148.00992010436548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148.00992010436548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300.80663531652721</v>
      </c>
      <c r="T194" s="59">
        <f t="shared" si="142"/>
        <v>306.01967513533549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10.330076822900223</v>
      </c>
      <c r="AA194" s="21">
        <f>EXP(-LN(2)/25)*AA193+(1-EXP(-LN(2)/25))/(LN(2)/25)*Calculateur!V194*Calculateur!X194*VLOOKUP('Données projet'!$B$9,Paramètres!$A$1:$I$89,3,0)*0.475*44/12</f>
        <v>2.2675665242699017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12.597643347170123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349.5718186624772</v>
      </c>
      <c r="AO194" s="59">
        <f t="shared" si="144"/>
        <v>258.14152930815959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18.482248244338564</v>
      </c>
      <c r="AV194" s="21">
        <f>EXP(-LN(2)/25)*AV193+(1-EXP(-LN(2)/25))/(LN(2)/25)*Calculateur!AQ194*Calculateur!AS194*VLOOKUP('Données projet'!$B$10,Paramètres!$A$1:$I$89,3,0)*0.475*44/12</f>
        <v>3.8199648770878256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22.302213121426391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3.2410980566055511E-13</v>
      </c>
      <c r="BF194" s="13">
        <f t="shared" si="167"/>
        <v>4.246192380365624E-12</v>
      </c>
      <c r="BG194" s="20">
        <f t="shared" si="168"/>
        <v>7.9599429739955953E-12</v>
      </c>
      <c r="BH194" s="59">
        <f t="shared" si="116"/>
        <v>293.33333333334127</v>
      </c>
      <c r="BI194" s="59">
        <f ca="1">AVERAGE(OFFSET($BH$3,0,0,'Données projet'!$E$11+1,1))-AVERAGE(OFFSET($H$3,0,0,'Données projet'!$E$11+1,1))</f>
        <v>442.85175349826028</v>
      </c>
      <c r="BJ194" s="59">
        <f t="shared" si="146"/>
        <v>210.70697808232501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145.10753584825602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145.10753584825602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300.80663531652721</v>
      </c>
      <c r="T195" s="59">
        <f t="shared" si="142"/>
        <v>306.01967513533549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10.127510317127866</v>
      </c>
      <c r="AA195" s="21">
        <f>EXP(-LN(2)/25)*AA194+(1-EXP(-LN(2)/25))/(LN(2)/25)*Calculateur!V195*Calculateur!X195*VLOOKUP('Données projet'!$B$9,Paramètres!$A$1:$I$89,3,0)*0.475*44/12</f>
        <v>2.2055597984176005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12.333070115545468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349.5718186624772</v>
      </c>
      <c r="AO195" s="59">
        <f t="shared" si="144"/>
        <v>258.14152930815959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18.119822629325391</v>
      </c>
      <c r="AV195" s="21">
        <f>EXP(-LN(2)/25)*AV194+(1-EXP(-LN(2)/25))/(LN(2)/25)*Calculateur!AQ195*Calculateur!AS195*VLOOKUP('Données projet'!$B$10,Paramètres!$A$1:$I$89,3,0)*0.475*44/12</f>
        <v>3.7155077366406366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21.835330365966026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3.2410980566055511E-13</v>
      </c>
      <c r="BF195" s="13">
        <f t="shared" si="167"/>
        <v>4.246192380365624E-12</v>
      </c>
      <c r="BG195" s="20">
        <f t="shared" si="168"/>
        <v>7.9599429739955953E-12</v>
      </c>
      <c r="BH195" s="59">
        <f t="shared" si="116"/>
        <v>293.33333333334127</v>
      </c>
      <c r="BI195" s="59">
        <f ca="1">AVERAGE(OFFSET($BH$3,0,0,'Données projet'!$E$11+1,1))-AVERAGE(OFFSET($H$3,0,0,'Données projet'!$E$11+1,1))</f>
        <v>442.85175349826028</v>
      </c>
      <c r="BJ195" s="59">
        <f t="shared" si="146"/>
        <v>210.70697808232501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142.26206557712925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142.26206557712925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300.80663531652721</v>
      </c>
      <c r="T196" s="59">
        <f t="shared" si="142"/>
        <v>306.01967513533549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9.9289160169803363</v>
      </c>
      <c r="AA196" s="21">
        <f>EXP(-LN(2)/25)*AA195+(1-EXP(-LN(2)/25))/(LN(2)/25)*Calculateur!V196*Calculateur!X196*VLOOKUP('Données projet'!$B$9,Paramètres!$A$1:$I$89,3,0)*0.475*44/12</f>
        <v>2.1452486497445222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12.074164666724858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349.5718186624772</v>
      </c>
      <c r="AO196" s="59">
        <f t="shared" si="144"/>
        <v>258.14152930815959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17.764503959564831</v>
      </c>
      <c r="AV196" s="21">
        <f>EXP(-LN(2)/25)*AV195+(1-EXP(-LN(2)/25))/(LN(2)/25)*Calculateur!AQ196*Calculateur!AS196*VLOOKUP('Données projet'!$B$10,Paramètres!$A$1:$I$89,3,0)*0.475*44/12</f>
        <v>3.6139069821921384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21.378410941756968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3.2410980566055511E-13</v>
      </c>
      <c r="BF196" s="13">
        <f t="shared" si="167"/>
        <v>4.246192380365624E-12</v>
      </c>
      <c r="BG196" s="20">
        <f t="shared" si="168"/>
        <v>7.9599429739955953E-12</v>
      </c>
      <c r="BH196" s="59">
        <f t="shared" ref="BH196:BH203" si="194">BG196+(AY196+AZ196)*44/12</f>
        <v>293.33333333334127</v>
      </c>
      <c r="BI196" s="59">
        <f ca="1">AVERAGE(OFFSET($BH$3,0,0,'Données projet'!$E$11+1,1))-AVERAGE(OFFSET($H$3,0,0,'Données projet'!$E$11+1,1))</f>
        <v>442.85175349826028</v>
      </c>
      <c r="BJ196" s="59">
        <f t="shared" si="146"/>
        <v>210.70697808232501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139.47239324245379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139.47239324245379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300.80663531652721</v>
      </c>
      <c r="T197" s="59">
        <f t="shared" ref="T197:T203" si="204">$T$3</f>
        <v>306.01967513533549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9.7342160299281382</v>
      </c>
      <c r="AA197" s="21">
        <f>EXP(-LN(2)/25)*AA196+(1-EXP(-LN(2)/25))/(LN(2)/25)*Calculateur!V197*Calculateur!X197*VLOOKUP('Données projet'!$B$9,Paramètres!$A$1:$I$89,3,0)*0.475*44/12</f>
        <v>2.0865867126035349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11.820802742531672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349.5718186624772</v>
      </c>
      <c r="AO197" s="59">
        <f t="shared" ref="AO197:AO203" si="205">$AO$3</f>
        <v>258.14152930815959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17.416152872195283</v>
      </c>
      <c r="AV197" s="21">
        <f>EXP(-LN(2)/25)*AV196+(1-EXP(-LN(2)/25))/(LN(2)/25)*Calculateur!AQ197*Calculateur!AS197*VLOOKUP('Données projet'!$B$10,Paramètres!$A$1:$I$89,3,0)*0.475*44/12</f>
        <v>3.5150845057169859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20.931237377912268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3.2410980566055511E-13</v>
      </c>
      <c r="BF197" s="13">
        <f t="shared" si="167"/>
        <v>4.246192380365624E-12</v>
      </c>
      <c r="BG197" s="20">
        <f t="shared" si="168"/>
        <v>7.9599429739955953E-12</v>
      </c>
      <c r="BH197" s="59">
        <f t="shared" si="194"/>
        <v>293.33333333334127</v>
      </c>
      <c r="BI197" s="59">
        <f ca="1">AVERAGE(OFFSET($BH$3,0,0,'Données projet'!$E$11+1,1))-AVERAGE(OFFSET($H$3,0,0,'Données projet'!$E$11+1,1))</f>
        <v>442.85175349826028</v>
      </c>
      <c r="BJ197" s="59">
        <f t="shared" ref="BJ197:BJ203" si="206">$BJ$3</f>
        <v>210.70697808232501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136.73742468072922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136.73742468072922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300.80663531652721</v>
      </c>
      <c r="T198" s="59">
        <f t="shared" si="204"/>
        <v>306.01967513533549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9.5433339908667669</v>
      </c>
      <c r="AA198" s="21">
        <f>EXP(-LN(2)/25)*AA197+(1-EXP(-LN(2)/25))/(LN(2)/25)*Calculateur!V198*Calculateur!X198*VLOOKUP('Données projet'!$B$9,Paramètres!$A$1:$I$89,3,0)*0.475*44/12</f>
        <v>2.029528889218565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11.572862880085331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349.5718186624772</v>
      </c>
      <c r="AO198" s="59">
        <f t="shared" si="205"/>
        <v>258.14152930815959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17.074632737175872</v>
      </c>
      <c r="AV198" s="21">
        <f>EXP(-LN(2)/25)*AV197+(1-EXP(-LN(2)/25))/(LN(2)/25)*Calculateur!AQ198*Calculateur!AS198*VLOOKUP('Données projet'!$B$10,Paramètres!$A$1:$I$89,3,0)*0.475*44/12</f>
        <v>3.4189643350578947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20.493597072233765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3.2410980566055511E-13</v>
      </c>
      <c r="BF198" s="13">
        <f t="shared" si="167"/>
        <v>4.246192380365624E-12</v>
      </c>
      <c r="BG198" s="20">
        <f t="shared" si="168"/>
        <v>7.9599429739955953E-12</v>
      </c>
      <c r="BH198" s="59">
        <f t="shared" si="194"/>
        <v>293.33333333334127</v>
      </c>
      <c r="BI198" s="59">
        <f ca="1">AVERAGE(OFFSET($BH$3,0,0,'Données projet'!$E$11+1,1))-AVERAGE(OFFSET($H$3,0,0,'Données projet'!$E$11+1,1))</f>
        <v>442.85175349826028</v>
      </c>
      <c r="BJ198" s="59">
        <f t="shared" si="206"/>
        <v>210.70697808232501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134.05608718433396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134.05608718433396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300.80663531652721</v>
      </c>
      <c r="T199" s="59">
        <f t="shared" si="204"/>
        <v>306.01967513533549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9.3561950321648428</v>
      </c>
      <c r="AA199" s="21">
        <f>EXP(-LN(2)/25)*AA198+(1-EXP(-LN(2)/25))/(LN(2)/25)*Calculateur!V199*Calculateur!X199*VLOOKUP('Données projet'!$B$9,Paramètres!$A$1:$I$89,3,0)*0.475*44/12</f>
        <v>1.9740313150145976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11.33022634717944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349.5718186624772</v>
      </c>
      <c r="AO199" s="59">
        <f t="shared" si="205"/>
        <v>258.14152930815959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16.739809603697477</v>
      </c>
      <c r="AV199" s="21">
        <f>EXP(-LN(2)/25)*AV198+(1-EXP(-LN(2)/25))/(LN(2)/25)*Calculateur!AQ199*Calculateur!AS199*VLOOKUP('Données projet'!$B$10,Paramètres!$A$1:$I$89,3,0)*0.475*44/12</f>
        <v>3.3254725755202164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20.065282179217693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3.2410980566055511E-13</v>
      </c>
      <c r="BF199" s="13">
        <f t="shared" si="167"/>
        <v>4.246192380365624E-12</v>
      </c>
      <c r="BG199" s="20">
        <f t="shared" si="168"/>
        <v>7.9599429739955953E-12</v>
      </c>
      <c r="BH199" s="59">
        <f t="shared" si="194"/>
        <v>293.33333333334127</v>
      </c>
      <c r="BI199" s="59">
        <f ca="1">AVERAGE(OFFSET($BH$3,0,0,'Données projet'!$E$11+1,1))-AVERAGE(OFFSET($H$3,0,0,'Données projet'!$E$11+1,1))</f>
        <v>442.85175349826028</v>
      </c>
      <c r="BJ199" s="59">
        <f t="shared" si="206"/>
        <v>210.70697808232501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131.42732908078861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131.42732908078861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300.80663531652721</v>
      </c>
      <c r="T200" s="59">
        <f t="shared" si="204"/>
        <v>306.01967513533549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9.1727257542995684</v>
      </c>
      <c r="AA200" s="21">
        <f>EXP(-LN(2)/25)*AA199+(1-EXP(-LN(2)/25))/(LN(2)/25)*Calculateur!V200*Calculateur!X200*VLOOKUP('Données projet'!$B$9,Paramètres!$A$1:$I$89,3,0)*0.475*44/12</f>
        <v>1.9200513248957283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11.092777079195297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349.5718186624772</v>
      </c>
      <c r="AO200" s="59">
        <f t="shared" si="205"/>
        <v>258.14152930815959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16.411552147644645</v>
      </c>
      <c r="AV200" s="21">
        <f>EXP(-LN(2)/25)*AV199+(1-EXP(-LN(2)/25))/(LN(2)/25)*Calculateur!AQ200*Calculateur!AS200*VLOOKUP('Données projet'!$B$10,Paramètres!$A$1:$I$89,3,0)*0.475*44/12</f>
        <v>3.2345373530636139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19.646089500708261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3.2410980566055511E-13</v>
      </c>
      <c r="BF200" s="13">
        <f t="shared" si="167"/>
        <v>4.246192380365624E-12</v>
      </c>
      <c r="BG200" s="20">
        <f t="shared" si="168"/>
        <v>7.9599429739955953E-12</v>
      </c>
      <c r="BH200" s="59">
        <f t="shared" si="194"/>
        <v>293.33333333334127</v>
      </c>
      <c r="BI200" s="59">
        <f ca="1">AVERAGE(OFFSET($BH$3,0,0,'Données projet'!$E$11+1,1))-AVERAGE(OFFSET($H$3,0,0,'Données projet'!$E$11+1,1))</f>
        <v>442.85175349826028</v>
      </c>
      <c r="BJ200" s="59">
        <f t="shared" si="206"/>
        <v>210.70697808232501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128.85011932026967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128.85011932026967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300.80663531652721</v>
      </c>
      <c r="T201" s="59">
        <f t="shared" si="204"/>
        <v>306.01967513533549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8.9928541970680218</v>
      </c>
      <c r="AA201" s="21">
        <f>EXP(-LN(2)/25)*AA200+(1-EXP(-LN(2)/25))/(LN(2)/25)*Calculateur!V201*Calculateur!X201*VLOOKUP('Données projet'!$B$9,Paramètres!$A$1:$I$89,3,0)*0.475*44/12</f>
        <v>1.8675474204453437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10.860401617513366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349.5718186624772</v>
      </c>
      <c r="AO201" s="59">
        <f t="shared" si="205"/>
        <v>258.14152930815959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16.089731620087733</v>
      </c>
      <c r="AV201" s="21">
        <f>EXP(-LN(2)/25)*AV200+(1-EXP(-LN(2)/25))/(LN(2)/25)*Calculateur!AQ201*Calculateur!AS201*VLOOKUP('Données projet'!$B$10,Paramètres!$A$1:$I$89,3,0)*0.475*44/12</f>
        <v>3.1460887590471627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19.235820379134896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3.2410980566055511E-13</v>
      </c>
      <c r="BF201" s="13">
        <f t="shared" si="167"/>
        <v>4.246192380365624E-12</v>
      </c>
      <c r="BG201" s="20">
        <f t="shared" si="168"/>
        <v>7.9599429739955953E-12</v>
      </c>
      <c r="BH201" s="59">
        <f t="shared" si="194"/>
        <v>293.33333333334127</v>
      </c>
      <c r="BI201" s="59">
        <f ca="1">AVERAGE(OFFSET($BH$3,0,0,'Données projet'!$E$11+1,1))-AVERAGE(OFFSET($H$3,0,0,'Données projet'!$E$11+1,1))</f>
        <v>442.85175349826028</v>
      </c>
      <c r="BJ201" s="59">
        <f t="shared" si="206"/>
        <v>210.70697808232501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126.32344707121177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126.32344707121177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300.80663531652721</v>
      </c>
      <c r="T202" s="59">
        <f t="shared" si="204"/>
        <v>306.01967513533549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8.8165098113629696</v>
      </c>
      <c r="AA202" s="21">
        <f>EXP(-LN(2)/25)*AA201+(1-EXP(-LN(2)/25))/(LN(2)/25)*Calculateur!V202*Calculateur!X202*VLOOKUP('Données projet'!$B$9,Paramètres!$A$1:$I$89,3,0)*0.475*44/12</f>
        <v>1.8164792380232153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10.632989049386184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349.5718186624772</v>
      </c>
      <c r="AO202" s="59">
        <f t="shared" si="205"/>
        <v>258.14152930815959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15.774221796785071</v>
      </c>
      <c r="AV202" s="21">
        <f>EXP(-LN(2)/25)*AV201+(1-EXP(-LN(2)/25))/(LN(2)/25)*Calculateur!AQ202*Calculateur!AS202*VLOOKUP('Données projet'!$B$10,Paramètres!$A$1:$I$89,3,0)*0.475*44/12</f>
        <v>3.0600587964854005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18.834280593270471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3.2410980566055511E-13</v>
      </c>
      <c r="BF202" s="13">
        <f t="shared" si="167"/>
        <v>4.246192380365624E-12</v>
      </c>
      <c r="BG202" s="20">
        <f t="shared" si="168"/>
        <v>7.9599429739955953E-12</v>
      </c>
      <c r="BH202" s="59">
        <f t="shared" si="194"/>
        <v>293.33333333334127</v>
      </c>
      <c r="BI202" s="59">
        <f ca="1">AVERAGE(OFFSET($BH$3,0,0,'Données projet'!$E$11+1,1))-AVERAGE(OFFSET($H$3,0,0,'Données projet'!$E$11+1,1))</f>
        <v>442.85175349826028</v>
      </c>
      <c r="BJ202" s="59">
        <f t="shared" si="206"/>
        <v>210.70697808232501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123.84632132384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123.84632132384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300.80663531652721</v>
      </c>
      <c r="T203" s="59">
        <f t="shared" si="204"/>
        <v>306.01967513533549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8.6436234315021387</v>
      </c>
      <c r="AA203" s="21">
        <f>EXP(-LN(2)/25)*AA202+(1-EXP(-LN(2)/25))/(LN(2)/25)*Calculateur!V203*Calculateur!X203*VLOOKUP('Données projet'!$B$9,Paramètres!$A$1:$I$89,3,0)*0.475*44/12</f>
        <v>1.7668075177349789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10.410430949237117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349.5718186624772</v>
      </c>
      <c r="AO203" s="59">
        <f t="shared" si="205"/>
        <v>258.14152930815959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15.464898928675385</v>
      </c>
      <c r="AV203" s="21">
        <f>EXP(-LN(2)/25)*AV202+(1-EXP(-LN(2)/25))/(LN(2)/25)*Calculateur!AQ203*Calculateur!AS203*VLOOKUP('Données projet'!$B$10,Paramètres!$A$1:$I$89,3,0)*0.475*44/12</f>
        <v>2.9763813277740088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18.441280256449396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3.2410980566055511E-13</v>
      </c>
      <c r="BF203" s="13">
        <f t="shared" si="167"/>
        <v>4.246192380365624E-12</v>
      </c>
      <c r="BG203" s="20">
        <f t="shared" si="168"/>
        <v>7.9599429739955953E-12</v>
      </c>
      <c r="BH203" s="59">
        <f t="shared" si="194"/>
        <v>293.33333333334127</v>
      </c>
      <c r="BI203" s="59">
        <f ca="1">AVERAGE(OFFSET($BH$3,0,0,'Données projet'!$E$11+1,1))-AVERAGE(OFFSET($H$3,0,0,'Données projet'!$E$11+1,1))</f>
        <v>442.85175349826028</v>
      </c>
      <c r="BJ203" s="59">
        <f t="shared" si="206"/>
        <v>210.70697808232501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121.41777050147667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121.41777050147667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1.3267648858502221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1.2472301622014093</v>
      </c>
      <c r="BA205" s="82">
        <f>EXP(LN('Données projet'!B88)/'Données projet'!A88)</f>
        <v>1.1289835501862808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1.86</v>
      </c>
      <c r="C6" s="147">
        <f ca="1">IF(OR('Données projet'!B9="",'Données projet'!C9="",'Données projet'!C9=0%),0,Calculateur!S3)</f>
        <v>300.80663531652721</v>
      </c>
      <c r="D6" s="147">
        <f>IF(OR('Données projet'!B9="",'Données projet'!C9="",'Données projet'!C9=0%),0,Calculateur!T3)</f>
        <v>306.01967513533549</v>
      </c>
      <c r="E6" s="147">
        <f ca="1">MIN(C6,D6)</f>
        <v>300.80663531652721</v>
      </c>
      <c r="F6" s="147">
        <f ca="1">E6*B6</f>
        <v>559.5003416887406</v>
      </c>
      <c r="G6" s="147">
        <f ca="1">F6*(100%-'Données projet'!$C$24)*(100%-'Données projet'!$C$25)*(100%-'Données projet'!$C$26)*(100%-'Données projet'!$C$27)</f>
        <v>478.37279214387326</v>
      </c>
      <c r="H6" s="148">
        <f>IF(OR('Données projet'!B9="",'Données projet'!C9="",'Données projet'!C9=0%),0,AVERAGE(Calculateur!$AC$3:$AC$33)*B6)</f>
        <v>20.396223144980056</v>
      </c>
      <c r="I6" s="149">
        <f>H6*(100%-'Données projet'!$C$24)*(100%-'Données projet'!$C$25)*(100%-'Données projet'!$C$26)*(100%-'Données projet'!$C$27)</f>
        <v>17.43877078895795</v>
      </c>
      <c r="J6" s="150">
        <f>IF(OR('Données projet'!B9="",'Données projet'!C9="",'Données projet'!C9=0%),0,SUM(Calculateur!$V$3:$V$33)*VLOOKUP('Données projet'!$B$9,Paramètres!$A$1:$I$89,9,0)*B6)</f>
        <v>168.06680999999998</v>
      </c>
      <c r="K6" s="151">
        <f>J6*(100%-'Données projet'!$C$24)*(100%-'Données projet'!$C$25)*(100%-'Données projet'!$C$26)*(100%-'Données projet'!$C$27)</f>
        <v>143.69712254999996</v>
      </c>
      <c r="L6" s="152">
        <f ca="1">G6+I6+K6</f>
        <v>639.5086854828312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1.96</v>
      </c>
      <c r="C7" s="147">
        <f ca="1">IF(OR('Données projet'!B10="",'Données projet'!C10="",'Données projet'!C10=0%),0,Calculateur!AN3)</f>
        <v>349.5718186624772</v>
      </c>
      <c r="D7" s="147">
        <f>IF(OR('Données projet'!B10="",'Données projet'!C10="",'Données projet'!C10=0%),0,Calculateur!AO3)</f>
        <v>258.14152930815959</v>
      </c>
      <c r="E7" s="147">
        <f t="shared" ref="E7:E15" ca="1" si="0">MIN(C7,D7)</f>
        <v>258.14152930815959</v>
      </c>
      <c r="F7" s="147">
        <f t="shared" ref="F7:F15" ca="1" si="1">E7*B7</f>
        <v>505.95739744399276</v>
      </c>
      <c r="G7" s="147">
        <f ca="1">F7*(100%-'Données projet'!$C$24)*(100%-'Données projet'!$C$25)*(100%-'Données projet'!$C$26)*(100%-'Données projet'!$C$27)</f>
        <v>432.59357481461376</v>
      </c>
      <c r="H7" s="155">
        <f>IF(OR('Données projet'!B10="",'Données projet'!C10="",'Données projet'!C10=0%),0,AVERAGE(Calculateur!$AX$3:$AX$33)*B7)</f>
        <v>11.541437737461107</v>
      </c>
      <c r="I7" s="149">
        <f>H7*(100%-'Données projet'!$C$24)*(100%-'Données projet'!$C$25)*(100%-'Données projet'!$C$26)*(100%-'Données projet'!$C$27)</f>
        <v>9.8679292655292468</v>
      </c>
      <c r="J7" s="150">
        <f>IF(OR('Données projet'!B10="",'Données projet'!C10="",'Données projet'!C10=0%),0,SUM(Calculateur!$AQ$3:$AQ$33)*VLOOKUP('Données projet'!$B$10,Paramètres!$A$1:$I$89,9,0)*B7)</f>
        <v>76.062699999999992</v>
      </c>
      <c r="K7" s="151">
        <f>J7*(100%-'Données projet'!$C$24)*(100%-'Données projet'!$C$25)*(100%-'Données projet'!$C$26)*(100%-'Données projet'!$C$27)</f>
        <v>65.0336085</v>
      </c>
      <c r="L7" s="152">
        <f t="shared" ref="L7:L15" ca="1" si="2">G7+I7+K7</f>
        <v>507.49511258014303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Tilleul</v>
      </c>
      <c r="B8" s="154">
        <f>'Données projet'!D11</f>
        <v>0.11</v>
      </c>
      <c r="C8" s="147">
        <f ca="1">IF(OR('Données projet'!B11="",'Données projet'!C11="",'Données projet'!C11=0%),0,Calculateur!BI3)</f>
        <v>442.85175349826028</v>
      </c>
      <c r="D8" s="147">
        <f>IF(OR('Données projet'!B11="",'Données projet'!C11="",'Données projet'!C11=0%),0,Calculateur!BJ3)</f>
        <v>210.70697808232501</v>
      </c>
      <c r="E8" s="147">
        <f t="shared" ca="1" si="0"/>
        <v>210.70697808232501</v>
      </c>
      <c r="F8" s="147">
        <f t="shared" ca="1" si="1"/>
        <v>23.177767589055751</v>
      </c>
      <c r="G8" s="147">
        <f ca="1">F8*(100%-'Données projet'!$C$24)*(100%-'Données projet'!$C$25)*(100%-'Données projet'!$C$26)*(100%-'Données projet'!$C$27)</f>
        <v>19.816991288642669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19.816991288642669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1088.6355067217892</v>
      </c>
      <c r="G16" s="166">
        <f t="shared" ca="1" si="3"/>
        <v>930.78335824712963</v>
      </c>
      <c r="H16" s="167">
        <f t="shared" si="3"/>
        <v>31.937660882441165</v>
      </c>
      <c r="I16" s="167">
        <f t="shared" si="3"/>
        <v>27.306700054487195</v>
      </c>
      <c r="J16" s="168">
        <f t="shared" si="3"/>
        <v>244.12950999999998</v>
      </c>
      <c r="K16" s="168">
        <f t="shared" si="3"/>
        <v>208.73073104999997</v>
      </c>
      <c r="L16" s="169">
        <f t="shared" ca="1" si="3"/>
        <v>1166.8207893516169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U41" sqref="U41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315</v>
      </c>
      <c r="I4" s="266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-2160.1799351640793</v>
      </c>
      <c r="U10" s="178">
        <f>'Données projet'!D9</f>
        <v>1.86</v>
      </c>
      <c r="V10" s="177">
        <f>U10*T10</f>
        <v>-4017.9346794051876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-2783.4837440812812</v>
      </c>
      <c r="U11" s="178">
        <f>'Données projet'!D10</f>
        <v>1.96</v>
      </c>
      <c r="V11" s="177">
        <f t="shared" ref="V11" si="0">U11*T11</f>
        <v>-5455.628138399311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Tilleul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-9847.3175997488888</v>
      </c>
      <c r="U12" s="178">
        <f>'Données projet'!D11</f>
        <v>0.11</v>
      </c>
      <c r="V12" s="177">
        <f t="shared" ref="V12:V19" si="1">U12*T12</f>
        <v>-1083.2049359723778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((167.04+503.04+190.08)/U10)+(0.75+0.29)*2588/U10</f>
        <v>1909.505376344086</v>
      </c>
      <c r="F17" s="230"/>
      <c r="G17" s="311"/>
      <c r="I17" s="195"/>
      <c r="J17" s="202"/>
      <c r="K17" s="208"/>
      <c r="L17" s="268" t="s">
        <v>289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1"/>
      <c r="J18" s="202"/>
      <c r="K18" s="208"/>
      <c r="L18" s="268" t="s">
        <v>255</v>
      </c>
      <c r="M18" s="270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1116.425806451613</v>
      </c>
      <c r="F19" s="230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1"/>
      <c r="H20" s="190">
        <v>1</v>
      </c>
      <c r="I20" s="191">
        <f>20+(400/SUM(U10:U19)+20)+(200/SUM(U10:U19)+10)</f>
        <v>202.67175572519085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20+200/SUM(U10:U19)+10</f>
        <v>80.890585241730278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17</v>
      </c>
      <c r="B23" s="181">
        <f>'Données projet'!D36</f>
        <v>40.76</v>
      </c>
      <c r="C23" s="193">
        <v>5</v>
      </c>
      <c r="D23" s="182">
        <f>B23*C23</f>
        <v>203.79999999999998</v>
      </c>
      <c r="E23" s="193"/>
      <c r="F23" s="230"/>
      <c r="H23" s="190">
        <v>4</v>
      </c>
      <c r="I23" s="191">
        <v>20</v>
      </c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-14045.441827067887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23</v>
      </c>
      <c r="B24" s="181">
        <f>'Données projet'!D37</f>
        <v>57.75</v>
      </c>
      <c r="C24" s="193">
        <v>8.5</v>
      </c>
      <c r="D24" s="182">
        <f t="shared" ref="D24:D42" si="2">B24*C24</f>
        <v>490.875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380.18780661577614</v>
      </c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29</v>
      </c>
      <c r="B25" s="181">
        <f>'Données projet'!D38</f>
        <v>54.64</v>
      </c>
      <c r="C25" s="193">
        <v>8.5</v>
      </c>
      <c r="D25" s="182">
        <f t="shared" si="2"/>
        <v>464.44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7">
        <f ca="1">T23-T24</f>
        <v>-14045.441827067887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76.069999999999993</v>
      </c>
      <c r="C26" s="193">
        <v>15.5</v>
      </c>
      <c r="D26" s="182">
        <f t="shared" si="2"/>
        <v>1179.0849999999998</v>
      </c>
      <c r="E26" s="193"/>
      <c r="F26" s="233"/>
      <c r="G26" s="229"/>
      <c r="H26" s="190">
        <v>7</v>
      </c>
      <c r="I26" s="191">
        <v>20</v>
      </c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44</v>
      </c>
      <c r="B27" s="181">
        <f>'Données projet'!D40</f>
        <v>77.91</v>
      </c>
      <c r="C27" s="193">
        <v>15.5</v>
      </c>
      <c r="D27" s="182">
        <f t="shared" si="2"/>
        <v>1207.605</v>
      </c>
      <c r="E27" s="193"/>
      <c r="F27" s="233"/>
      <c r="G27" s="229"/>
      <c r="H27" s="190">
        <v>8</v>
      </c>
      <c r="I27" s="191">
        <v>20</v>
      </c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52</v>
      </c>
      <c r="B28" s="181">
        <f>'Données projet'!D41</f>
        <v>75.37</v>
      </c>
      <c r="C28" s="193">
        <v>29.5</v>
      </c>
      <c r="D28" s="182">
        <f t="shared" si="2"/>
        <v>2223.415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60</v>
      </c>
      <c r="B29" s="181">
        <f>'Données projet'!D42</f>
        <v>436.34</v>
      </c>
      <c r="C29" s="193">
        <v>29.5</v>
      </c>
      <c r="D29" s="182">
        <f t="shared" si="2"/>
        <v>12872.029999999999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17694.226000000002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1271.6000000000001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20465.826000000001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((198.36+597.36+166.32)/U11)+(0.75+0.29)*2688/U11</f>
        <v>1917.1224489795918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1117.5683673469389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22</v>
      </c>
      <c r="B54" s="181">
        <f>'Données projet'!D62</f>
        <v>52.41</v>
      </c>
      <c r="C54" s="191">
        <v>8.5</v>
      </c>
      <c r="D54" s="179">
        <f>B54*C54</f>
        <v>445.48499999999996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27</v>
      </c>
      <c r="B55" s="181">
        <f>'Données projet'!D63</f>
        <v>37.840000000000003</v>
      </c>
      <c r="C55" s="191">
        <v>8.5</v>
      </c>
      <c r="D55" s="179">
        <f t="shared" ref="D55:D73" si="4">B55*C55</f>
        <v>321.64000000000004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33</v>
      </c>
      <c r="B56" s="181">
        <f>'Données projet'!D64</f>
        <v>50.41</v>
      </c>
      <c r="C56" s="191">
        <v>15.5</v>
      </c>
      <c r="D56" s="179">
        <f t="shared" si="4"/>
        <v>781.3549999999999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41</v>
      </c>
      <c r="B57" s="181">
        <f>'Données projet'!D65</f>
        <v>72.13</v>
      </c>
      <c r="C57" s="191">
        <v>15.5</v>
      </c>
      <c r="D57" s="179">
        <f t="shared" si="4"/>
        <v>1118.0149999999999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50</v>
      </c>
      <c r="B58" s="181">
        <f>'Données projet'!D66</f>
        <v>70.2</v>
      </c>
      <c r="C58" s="191">
        <v>15.5</v>
      </c>
      <c r="D58" s="179">
        <f t="shared" si="4"/>
        <v>1088.1000000000001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60</v>
      </c>
      <c r="B59" s="181">
        <f>'Données projet'!D67</f>
        <v>69.849999999999994</v>
      </c>
      <c r="C59" s="191">
        <v>29.5</v>
      </c>
      <c r="D59" s="179">
        <f t="shared" si="4"/>
        <v>2060.5749999999998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70</v>
      </c>
      <c r="B60" s="181">
        <f>'Données projet'!D68</f>
        <v>67.88</v>
      </c>
      <c r="C60" s="191">
        <v>29.5</v>
      </c>
      <c r="D60" s="179">
        <f t="shared" si="4"/>
        <v>2002.4599999999998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80</v>
      </c>
      <c r="B61" s="181">
        <f>'Données projet'!D69</f>
        <v>520</v>
      </c>
      <c r="C61" s="191">
        <v>29.5</v>
      </c>
      <c r="D61" s="179">
        <f t="shared" si="4"/>
        <v>15340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Tilleul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((63+108)/U12)+(0.75+2.8+1.95)*114/U12</f>
        <v>7254.545454545454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1918.181818181818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42</v>
      </c>
      <c r="B85" s="181">
        <f>'Données projet'!D88</f>
        <v>43.21</v>
      </c>
      <c r="C85" s="191">
        <v>12.5</v>
      </c>
      <c r="D85" s="179">
        <f>B85*C85</f>
        <v>540.125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50</v>
      </c>
      <c r="B86" s="181">
        <f>'Données projet'!D89</f>
        <v>35.58</v>
      </c>
      <c r="C86" s="191">
        <v>12.5</v>
      </c>
      <c r="D86" s="179">
        <f t="shared" ref="D86:D104" si="6">B86*C86</f>
        <v>444.75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58</v>
      </c>
      <c r="B87" s="181">
        <f>'Données projet'!D90</f>
        <v>44.93</v>
      </c>
      <c r="C87" s="191">
        <v>12.5</v>
      </c>
      <c r="D87" s="179">
        <f t="shared" si="6"/>
        <v>561.625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66</v>
      </c>
      <c r="B88" s="181">
        <f>'Données projet'!D91</f>
        <v>49.91</v>
      </c>
      <c r="C88" s="191">
        <v>20</v>
      </c>
      <c r="D88" s="179">
        <f t="shared" si="6"/>
        <v>998.19999999999993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74</v>
      </c>
      <c r="B89" s="181">
        <f>'Données projet'!D92</f>
        <v>47.4</v>
      </c>
      <c r="C89" s="191">
        <v>20</v>
      </c>
      <c r="D89" s="179">
        <f t="shared" si="6"/>
        <v>948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84</v>
      </c>
      <c r="B90" s="181">
        <f>'Données projet'!D93</f>
        <v>61.47</v>
      </c>
      <c r="C90" s="191">
        <v>20</v>
      </c>
      <c r="D90" s="179">
        <f t="shared" si="6"/>
        <v>1229.4000000000001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94</v>
      </c>
      <c r="B91" s="181">
        <f>'Données projet'!D94</f>
        <v>61.85</v>
      </c>
      <c r="C91" s="191">
        <v>20</v>
      </c>
      <c r="D91" s="179">
        <f t="shared" si="6"/>
        <v>1237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104</v>
      </c>
      <c r="B92" s="181">
        <f>'Données projet'!D95</f>
        <v>60.19</v>
      </c>
      <c r="C92" s="191">
        <v>20</v>
      </c>
      <c r="D92" s="179">
        <f t="shared" si="6"/>
        <v>1203.8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114</v>
      </c>
      <c r="B93" s="181">
        <f>'Données projet'!D96</f>
        <v>56.07</v>
      </c>
      <c r="C93" s="191">
        <v>20</v>
      </c>
      <c r="D93" s="179">
        <f t="shared" si="6"/>
        <v>1121.4000000000001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124</v>
      </c>
      <c r="B94" s="181">
        <f>'Données projet'!D97</f>
        <v>52.53</v>
      </c>
      <c r="C94" s="191">
        <v>20</v>
      </c>
      <c r="D94" s="179">
        <f t="shared" si="6"/>
        <v>1050.5999999999999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134</v>
      </c>
      <c r="B95" s="181">
        <f>'Données projet'!D98</f>
        <v>54.95</v>
      </c>
      <c r="C95" s="191">
        <v>20</v>
      </c>
      <c r="D95" s="179">
        <f t="shared" si="6"/>
        <v>1099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144</v>
      </c>
      <c r="B96" s="181">
        <f>'Données projet'!D99</f>
        <v>56.01</v>
      </c>
      <c r="C96" s="191">
        <v>20</v>
      </c>
      <c r="D96" s="179">
        <f t="shared" si="6"/>
        <v>1120.2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154</v>
      </c>
      <c r="B97" s="181">
        <f>'Données projet'!D100</f>
        <v>55.13</v>
      </c>
      <c r="C97" s="191">
        <v>20</v>
      </c>
      <c r="D97" s="179">
        <f t="shared" si="6"/>
        <v>1102.6000000000001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164</v>
      </c>
      <c r="B98" s="181">
        <f>'Données projet'!D101</f>
        <v>59.58</v>
      </c>
      <c r="C98" s="191">
        <v>20</v>
      </c>
      <c r="D98" s="179">
        <f t="shared" si="6"/>
        <v>1191.5999999999999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174</v>
      </c>
      <c r="B99" s="181">
        <f>'Données projet'!D102</f>
        <v>214.77</v>
      </c>
      <c r="C99" s="191">
        <v>20</v>
      </c>
      <c r="D99" s="179">
        <f t="shared" si="6"/>
        <v>4295.4000000000005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177</v>
      </c>
      <c r="B100" s="181">
        <f>'Données projet'!D103</f>
        <v>115.19</v>
      </c>
      <c r="C100" s="191">
        <v>20</v>
      </c>
      <c r="D100" s="179">
        <f t="shared" si="6"/>
        <v>2303.8000000000002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180</v>
      </c>
      <c r="B101" s="181">
        <f>'Données projet'!D104</f>
        <v>77.72</v>
      </c>
      <c r="C101" s="191">
        <v>20</v>
      </c>
      <c r="D101" s="179">
        <f t="shared" si="6"/>
        <v>1554.4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183</v>
      </c>
      <c r="B102" s="181">
        <f>'Données projet'!D105</f>
        <v>169.76</v>
      </c>
      <c r="C102" s="191">
        <v>20</v>
      </c>
      <c r="D102" s="179">
        <f t="shared" si="6"/>
        <v>3395.2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Cédric Mimran</cp:lastModifiedBy>
  <dcterms:created xsi:type="dcterms:W3CDTF">2021-02-01T08:22:39Z</dcterms:created>
  <dcterms:modified xsi:type="dcterms:W3CDTF">2024-12-16T17:16:26Z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