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Albret-Garonne\V-ST PEY DE CASTETS - AMBLEVERT David\Dossier déposé 30092024\"/>
    </mc:Choice>
  </mc:AlternateContent>
  <xr:revisionPtr revIDLastSave="0" documentId="13_ncr:1_{A347419D-E501-4A51-BCF6-0DF6EB845C23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<sst xmlns="http://schemas.openxmlformats.org/spreadsheetml/2006/main" count="1170" uniqueCount="324">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</sst>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1.9285569793979918</c:v>
                </c:pt>
                <c:pt idx="2">
                  <c:v>2.8033164970558988</c:v>
                </c:pt>
                <c:pt idx="3">
                  <c:v>4.0766425833505249</c:v>
                </c:pt>
                <c:pt idx="4">
                  <c:v>5.9309014029818741</c:v>
                </c:pt>
                <c:pt idx="5">
                  <c:v>8.6322289556645373</c:v>
                </c:pt>
                <c:pt idx="6">
                  <c:v>12.56914971350772</c:v>
                </c:pt>
                <c:pt idx="7">
                  <c:v>18.309057593386452</c:v>
                </c:pt>
                <c:pt idx="8">
                  <c:v>26.680845942153244</c:v>
                </c:pt>
                <c:pt idx="9">
                  <c:v>38.89582797388573</c:v>
                </c:pt>
                <c:pt idx="10">
                  <c:v>56.724741363098552</c:v>
                </c:pt>
                <c:pt idx="11">
                  <c:v>82.756920477153685</c:v>
                </c:pt>
                <c:pt idx="12">
                  <c:v>120.77988035046717</c:v>
                </c:pt>
                <c:pt idx="13">
                  <c:v>176.33539907771384</c:v>
                </c:pt>
                <c:pt idx="14">
                  <c:v>257.53436986850755</c:v>
                </c:pt>
                <c:pt idx="15">
                  <c:v>376.25112806295652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190.41659540288185</c:v>
                </c:pt>
                <c:pt idx="42">
                  <c:v>202.69601208813609</c:v>
                </c:pt>
                <c:pt idx="43">
                  <c:v>214.95821110174333</c:v>
                </c:pt>
                <c:pt idx="44">
                  <c:v>227.20431355624603</c:v>
                </c:pt>
                <c:pt idx="45">
                  <c:v>239.43530973942802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282.13675189211068</c:v>
                </c:pt>
                <c:pt idx="57">
                  <c:v>294.30944959160257</c:v>
                </c:pt>
                <c:pt idx="58">
                  <c:v>306.47091553365232</c:v>
                </c:pt>
                <c:pt idx="59">
                  <c:v>318.62165837327228</c:v>
                </c:pt>
                <c:pt idx="60">
                  <c:v>330.76214478850392</c:v>
                </c:pt>
                <c:pt idx="61">
                  <c:v>311.67966166895121</c:v>
                </c:pt>
                <c:pt idx="62">
                  <c:v>322.95870071836038</c:v>
                </c:pt>
                <c:pt idx="63">
                  <c:v>334.22903233500955</c:v>
                </c:pt>
                <c:pt idx="64">
                  <c:v>345.49099163191596</c:v>
                </c:pt>
                <c:pt idx="65">
                  <c:v>356.74489008321876</c:v>
                </c:pt>
                <c:pt idx="66">
                  <c:v>337.69512740436579</c:v>
                </c:pt>
                <c:pt idx="67">
                  <c:v>348.95457429716549</c:v>
                </c:pt>
                <c:pt idx="68">
                  <c:v>360.20605180325543</c:v>
                </c:pt>
                <c:pt idx="69">
                  <c:v>371.44984402165892</c:v>
                </c:pt>
                <c:pt idx="70">
                  <c:v>382.68621644309695</c:v>
                </c:pt>
                <c:pt idx="71">
                  <c:v>362.80144525672193</c:v>
                </c:pt>
                <c:pt idx="72">
                  <c:v>373.17899323636624</c:v>
                </c:pt>
                <c:pt idx="73">
                  <c:v>383.55025268886453</c:v>
                </c:pt>
                <c:pt idx="74">
                  <c:v>393.91541769108909</c:v>
                </c:pt>
                <c:pt idx="75">
                  <c:v>404.27467126938285</c:v>
                </c:pt>
                <c:pt idx="76">
                  <c:v>383.98225493635533</c:v>
                </c:pt>
                <c:pt idx="77">
                  <c:v>393.91541769108909</c:v>
                </c:pt>
                <c:pt idx="78">
                  <c:v>403.84315144097815</c:v>
                </c:pt>
                <c:pt idx="79">
                  <c:v>413.7656085136046</c:v>
                </c:pt>
                <c:pt idx="80">
                  <c:v>423.68293333202655</c:v>
                </c:pt>
                <c:pt idx="81">
                  <c:v>402.98008185125144</c:v>
                </c:pt>
                <c:pt idx="82">
                  <c:v>412.47166904727516</c:v>
                </c:pt>
                <c:pt idx="83">
                  <c:v>421.95854377334359</c:v>
                </c:pt>
                <c:pt idx="84">
                  <c:v>431.44082695809334</c:v>
                </c:pt>
                <c:pt idx="85">
                  <c:v>440.91863377904127</c:v>
                </c:pt>
                <c:pt idx="86">
                  <c:v>419.80284331345206</c:v>
                </c:pt>
                <c:pt idx="87">
                  <c:v>428.85519840828539</c:v>
                </c:pt>
                <c:pt idx="88">
                  <c:v>437.90344674688322</c:v>
                </c:pt>
                <c:pt idx="89">
                  <c:v>446.94768518373326</c:v>
                </c:pt>
                <c:pt idx="90">
                  <c:v>455.98800633231912</c:v>
                </c:pt>
                <c:pt idx="91">
                  <c:v>434.02612258593155</c:v>
                </c:pt>
                <c:pt idx="92">
                  <c:v>442.21072127655128</c:v>
                </c:pt>
                <c:pt idx="93">
                  <c:v>450.39207405650836</c:v>
                </c:pt>
                <c:pt idx="94">
                  <c:v>458.57024822962609</c:v>
                </c:pt>
                <c:pt idx="95">
                  <c:v>466.74530850225341</c:v>
                </c:pt>
                <c:pt idx="96">
                  <c:v>444.36402075569305</c:v>
                </c:pt>
                <c:pt idx="97">
                  <c:v>452.114056877471</c:v>
                </c:pt>
                <c:pt idx="98">
                  <c:v>459.86125261266903</c:v>
                </c:pt>
                <c:pt idx="99">
                  <c:v>467.60566258446198</c:v>
                </c:pt>
                <c:pt idx="100">
                  <c:v>475.34733945827821</c:v>
                </c:pt>
                <c:pt idx="101">
                  <c:v>454.69676831549197</c:v>
                </c:pt>
                <c:pt idx="102">
                  <c:v>462.01275475576307</c:v>
                </c:pt>
                <c:pt idx="103">
                  <c:v>469.32626959947976</c:v>
                </c:pt>
                <c:pt idx="104">
                  <c:v>476.63735681327233</c:v>
                </c:pt>
                <c:pt idx="105">
                  <c:v>483.94605890429216</c:v>
                </c:pt>
                <c:pt idx="106">
                  <c:v>462.44302949249544</c:v>
                </c:pt>
                <c:pt idx="107">
                  <c:v>468.89613046728755</c:v>
                </c:pt>
                <c:pt idx="108">
                  <c:v>475.34733945827838</c:v>
                </c:pt>
                <c:pt idx="109">
                  <c:v>481.79668577992356</c:v>
                </c:pt>
                <c:pt idx="110">
                  <c:v>488.24419789739909</c:v>
                </c:pt>
                <c:pt idx="111">
                  <c:v>466.31511878642374</c:v>
                </c:pt>
                <c:pt idx="112">
                  <c:v>472.3370088245801</c:v>
                </c:pt>
                <c:pt idx="113">
                  <c:v>478.35726445603859</c:v>
                </c:pt>
                <c:pt idx="114">
                  <c:v>484.37590916507139</c:v>
                </c:pt>
                <c:pt idx="115">
                  <c:v>490.39296580436979</c:v>
                </c:pt>
                <c:pt idx="116">
                  <c:v>467.60566258446215</c:v>
                </c:pt>
                <c:pt idx="117">
                  <c:v>472.76708100439259</c:v>
                </c:pt>
                <c:pt idx="118">
                  <c:v>477.9272998945782</c:v>
                </c:pt>
                <c:pt idx="119">
                  <c:v>483.08633404340475</c:v>
                </c:pt>
                <c:pt idx="120">
                  <c:v>488.24419789739915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G29" sqref="G2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5.36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112</v>
      </c>
      <c r="C9" s="35">
        <v>0.92900000000000005</v>
      </c>
      <c r="D9" s="36">
        <f t="shared" ref="D9:D18" si="0">C9*$C$5</f>
        <v>4.9794400000000003</v>
      </c>
      <c r="E9" s="37">
        <v>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7.0800000000000002E-2</v>
      </c>
      <c r="D10" s="36">
        <f t="shared" si="0"/>
        <v>0.37948800000000005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0.99980000000000002</v>
      </c>
      <c r="D19" s="41">
        <f>SUM(D9:D18)</f>
        <v>5.3589280000000006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v>339</v>
      </c>
      <c r="C36" s="63">
        <v>1</v>
      </c>
      <c r="D36" s="63">
        <v>339</v>
      </c>
      <c r="E36" s="54">
        <v>0.8</v>
      </c>
      <c r="F36" s="54">
        <v>0.2</v>
      </c>
      <c r="G36" s="54"/>
      <c r="H36" s="54"/>
      <c r="I36" s="52">
        <f>IFERROR(B36/A36,"")</f>
        <v>22.6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30</v>
      </c>
      <c r="C62" s="63">
        <v>1</v>
      </c>
      <c r="D62" s="63">
        <v>0</v>
      </c>
      <c r="E62" s="54"/>
      <c r="F62" s="54"/>
      <c r="G62" s="54">
        <v>5.2999999999999999E-2</v>
      </c>
      <c r="H62" s="54"/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54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79</v>
      </c>
      <c r="C64" s="63">
        <v>3</v>
      </c>
      <c r="D64" s="63">
        <v>13</v>
      </c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93</v>
      </c>
      <c r="C65" s="63">
        <v>4</v>
      </c>
      <c r="D65" s="63">
        <v>14</v>
      </c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107</v>
      </c>
      <c r="C66" s="63">
        <v>5</v>
      </c>
      <c r="D66" s="63">
        <v>14</v>
      </c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121</v>
      </c>
      <c r="C67" s="63">
        <v>6</v>
      </c>
      <c r="D67" s="63">
        <v>14</v>
      </c>
      <c r="E67" s="54"/>
      <c r="F67" s="54"/>
      <c r="G67" s="54"/>
      <c r="H67" s="54"/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135</v>
      </c>
      <c r="C68" s="63">
        <v>7</v>
      </c>
      <c r="D68" s="63">
        <v>14</v>
      </c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149</v>
      </c>
      <c r="C69" s="53">
        <v>8</v>
      </c>
      <c r="D69" s="53">
        <v>14</v>
      </c>
      <c r="E69" s="54"/>
      <c r="F69" s="54"/>
      <c r="G69" s="54"/>
      <c r="H69" s="54"/>
      <c r="I69" s="52">
        <f t="shared" si="2"/>
        <v>5.6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161</v>
      </c>
      <c r="C70" s="53">
        <v>9</v>
      </c>
      <c r="D70" s="53">
        <v>14</v>
      </c>
      <c r="E70" s="54"/>
      <c r="F70" s="54"/>
      <c r="G70" s="54"/>
      <c r="H70" s="54"/>
      <c r="I70" s="52">
        <f t="shared" si="2"/>
        <v>5.2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173</v>
      </c>
      <c r="C71" s="53">
        <v>10</v>
      </c>
      <c r="D71" s="53">
        <v>14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183</v>
      </c>
      <c r="C72" s="53">
        <v>11</v>
      </c>
      <c r="D72" s="53">
        <v>14</v>
      </c>
      <c r="E72" s="54"/>
      <c r="F72" s="54"/>
      <c r="G72" s="54"/>
      <c r="H72" s="54"/>
      <c r="I72" s="52">
        <f t="shared" si="2"/>
        <v>4.8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192</v>
      </c>
      <c r="C73" s="53">
        <v>12</v>
      </c>
      <c r="D73" s="53">
        <v>14</v>
      </c>
      <c r="E73" s="54"/>
      <c r="F73" s="54"/>
      <c r="G73" s="54"/>
      <c r="H73" s="54"/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200</v>
      </c>
      <c r="C74" s="53">
        <v>13</v>
      </c>
      <c r="D74" s="53">
        <v>14</v>
      </c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207</v>
      </c>
      <c r="C75" s="53">
        <v>14</v>
      </c>
      <c r="D75" s="53">
        <v>14</v>
      </c>
      <c r="E75" s="54"/>
      <c r="F75" s="54"/>
      <c r="G75" s="54"/>
      <c r="H75" s="54"/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212</v>
      </c>
      <c r="C76" s="53">
        <v>15</v>
      </c>
      <c r="D76" s="53">
        <v>14</v>
      </c>
      <c r="E76" s="54"/>
      <c r="F76" s="54"/>
      <c r="G76" s="54"/>
      <c r="H76" s="54"/>
      <c r="I76" s="52">
        <f t="shared" si="2"/>
        <v>3.8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216</v>
      </c>
      <c r="C77" s="53">
        <v>16</v>
      </c>
      <c r="D77" s="53">
        <v>13</v>
      </c>
      <c r="E77" s="54"/>
      <c r="F77" s="54"/>
      <c r="G77" s="54"/>
      <c r="H77" s="54"/>
      <c r="I77" s="52">
        <f t="shared" si="2"/>
        <v>3.6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220</v>
      </c>
      <c r="C78" s="53">
        <v>17</v>
      </c>
      <c r="D78" s="53">
        <v>13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222</v>
      </c>
      <c r="C79" s="53">
        <v>18</v>
      </c>
      <c r="D79" s="53">
        <v>13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223</v>
      </c>
      <c r="C80" s="53">
        <v>19</v>
      </c>
      <c r="D80" s="53">
        <v>13</v>
      </c>
      <c r="E80" s="54"/>
      <c r="F80" s="54"/>
      <c r="G80" s="54"/>
      <c r="H80" s="54"/>
      <c r="I80" s="52">
        <f t="shared" si="2"/>
        <v>2.8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222</v>
      </c>
      <c r="C81" s="53">
        <v>20</v>
      </c>
      <c r="D81" s="53">
        <v>222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23" sqref="F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Koster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pubescent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81.961605366090254</v>
      </c>
      <c r="T3" s="62">
        <f>IF('Données projet'!E9&gt;30,$R$33-$H$33,LOOKUP('Données projet'!$E$9,$A$3:$A$203,R3:R203)-LOOKUP('Données projet'!$E$9,$A$3:$A$203,$H$3:$H$203))</f>
        <v>408.41952129426909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373.36760201946345</v>
      </c>
      <c r="AO3" s="62">
        <f>IF('Données projet'!E10&gt;30,$AM$33-$H$33,LOOKUP('Données projet'!$E$10,$A$3:$A$203,AM3:AM203)-LOOKUP('Données projet'!$E$10,$A$3:$A$203,$H$3:$H$203))</f>
        <v>198.19005615475365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22.6</v>
      </c>
      <c r="N4" s="14">
        <f>IF('Données projet'!$A$36&gt;35,N3+M4-V3,IF(A4&lt;'Données projet'!$A$36,$K$205^A4,IF(A4='Données projet'!$A$36,'Données projet'!$B$36,N3+M4-V3)))</f>
        <v>1.4746195246963181</v>
      </c>
      <c r="O4" s="14">
        <f>N4*VLOOKUP('Données projet'!$B$9,Paramètres!$A$1:$I$89,3,0)*VLOOKUP('Données projet'!$B$9,Paramètres!$A$1:$I$89,5,0)</f>
        <v>0.74993250547955959</v>
      </c>
      <c r="P4" s="14">
        <f>EXP(-1.0587+0.8836*LN(O4)+0.284)</f>
        <v>0.3573729372369906</v>
      </c>
      <c r="Q4" s="22">
        <f t="shared" ref="Q4:Q34" si="2">(O4+P4)*0.475*44/12</f>
        <v>1.9285569793979918</v>
      </c>
      <c r="R4" s="62">
        <f t="shared" si="0"/>
        <v>122.90123436562003</v>
      </c>
      <c r="S4" s="62">
        <f ca="1">AVERAGE(OFFSET($R$3,0,0,'Données projet'!$E$9+1,1))-AVERAGE(OFFSET($H$3,0,0,'Données projet'!$E$9+1,1))</f>
        <v>81.961605366090254</v>
      </c>
      <c r="T4" s="62">
        <f>$T$3</f>
        <v>408.41952129426909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1.161777082395637</v>
      </c>
      <c r="AK4" s="14">
        <f>EXP(-1.0587+0.8836*LN(AJ4)+0.284)</f>
        <v>0.52613182870286601</v>
      </c>
      <c r="AL4" s="22">
        <f t="shared" ref="AL4:AL67" si="4">(AJ4+AK4)*0.475*44/12</f>
        <v>2.9397746868298928</v>
      </c>
      <c r="AM4" s="62">
        <f t="shared" ref="AM4:AM67" si="5">AL4+(AD4+AE4)*44/12</f>
        <v>123.91245207305192</v>
      </c>
      <c r="AN4" s="62">
        <f ca="1">AVERAGE(OFFSET($AM$3,0,0,'Données projet'!$E$10+1,1))-AVERAGE(OFFSET($H$3,0,0,'Données projet'!$E$10+1,1))</f>
        <v>373.36760201946345</v>
      </c>
      <c r="AO4" s="62">
        <f>$AO$3</f>
        <v>198.19005615475365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22.6</v>
      </c>
      <c r="N5" s="14">
        <f>IF('Données projet'!$A$36&gt;35,N4+M5-V4,IF(A5&lt;'Données projet'!$A$36,$K$205^A5,IF(A5='Données projet'!$A$36,'Données projet'!$B$36,N4+M5-V4)))</f>
        <v>2.1745027426155952</v>
      </c>
      <c r="O5" s="14">
        <f>N5*VLOOKUP('Données projet'!$B$9,Paramètres!$A$1:$I$89,3,0)*VLOOKUP('Données projet'!$B$9,Paramètres!$A$1:$I$89,5,0)</f>
        <v>1.105865114784587</v>
      </c>
      <c r="P5" s="14">
        <f t="shared" ref="P5:P68" si="33">EXP(-1.0587+0.8836*LN(O5)+0.284)</f>
        <v>0.5036945964436802</v>
      </c>
      <c r="Q5" s="22">
        <f t="shared" si="2"/>
        <v>2.8033164970558988</v>
      </c>
      <c r="R5" s="62">
        <f t="shared" si="0"/>
        <v>127.37340627627943</v>
      </c>
      <c r="S5" s="62">
        <f ca="1">AVERAGE(OFFSET($R$3,0,0,'Données projet'!$E$9+1,1))-AVERAGE(OFFSET($H$3,0,0,'Données projet'!$E$9+1,1))</f>
        <v>81.961605366090254</v>
      </c>
      <c r="T5" s="62">
        <f t="shared" ref="T5:T68" si="34">$T$3</f>
        <v>408.41952129426909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1.3310907191121488</v>
      </c>
      <c r="AK5" s="14">
        <f t="shared" ref="AK5:AK68" si="35">EXP(-1.0587+0.8836*LN(AJ5)+0.284)</f>
        <v>0.59333770733536928</v>
      </c>
      <c r="AL5" s="22">
        <f t="shared" si="4"/>
        <v>3.3517128427294267</v>
      </c>
      <c r="AM5" s="62">
        <f t="shared" si="5"/>
        <v>127.92180262195295</v>
      </c>
      <c r="AN5" s="62">
        <f ca="1">AVERAGE(OFFSET($AM$3,0,0,'Données projet'!$E$10+1,1))-AVERAGE(OFFSET($H$3,0,0,'Données projet'!$E$10+1,1))</f>
        <v>373.36760201946345</v>
      </c>
      <c r="AO5" s="62">
        <f t="shared" ref="AO5:AO68" si="36">$AO$3</f>
        <v>198.19005615475365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22.6</v>
      </c>
      <c r="N6" s="14">
        <f>IF('Données projet'!$A$36&gt;35,N5+M6-V5,IF(A6&lt;'Données projet'!$A$36,$K$205^A6,IF(A6='Données projet'!$A$36,'Données projet'!$B$36,N5+M6-V5)))</f>
        <v>3.2065642007666488</v>
      </c>
      <c r="O6" s="14">
        <f>N6*VLOOKUP('Données projet'!$B$9,Paramètres!$A$1:$I$89,3,0)*VLOOKUP('Données projet'!$B$9,Paramètres!$A$1:$I$89,5,0)</f>
        <v>1.630730289941887</v>
      </c>
      <c r="P6" s="14">
        <f t="shared" si="33"/>
        <v>0.7099257387761182</v>
      </c>
      <c r="Q6" s="22">
        <f t="shared" si="2"/>
        <v>4.0766425833505249</v>
      </c>
      <c r="R6" s="62">
        <f t="shared" si="0"/>
        <v>132.20294051624222</v>
      </c>
      <c r="S6" s="62">
        <f ca="1">AVERAGE(OFFSET($R$3,0,0,'Données projet'!$E$9+1,1))-AVERAGE(OFFSET($H$3,0,0,'Données projet'!$E$9+1,1))</f>
        <v>81.961605366090254</v>
      </c>
      <c r="T6" s="62">
        <f t="shared" si="34"/>
        <v>408.41952129426909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1.525079577962547</v>
      </c>
      <c r="AK6" s="14">
        <f t="shared" si="35"/>
        <v>0.6691281837366525</v>
      </c>
      <c r="AL6" s="22">
        <f t="shared" si="4"/>
        <v>3.8215785182927724</v>
      </c>
      <c r="AM6" s="62">
        <f t="shared" si="5"/>
        <v>131.94787645118447</v>
      </c>
      <c r="AN6" s="62">
        <f ca="1">AVERAGE(OFFSET($AM$3,0,0,'Données projet'!$E$10+1,1))-AVERAGE(OFFSET($H$3,0,0,'Données projet'!$E$10+1,1))</f>
        <v>373.36760201946345</v>
      </c>
      <c r="AO6" s="62">
        <f t="shared" si="36"/>
        <v>198.19005615475365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22.6</v>
      </c>
      <c r="N7" s="14">
        <f>IF('Données projet'!$A$36&gt;35,N6+M7-V6,IF(A7&lt;'Données projet'!$A$36,$K$205^A7,IF(A7='Données projet'!$A$36,'Données projet'!$B$36,N6+M7-V6)))</f>
        <v>4.7284621776427453</v>
      </c>
      <c r="O7" s="14">
        <f>N7*VLOOKUP('Données projet'!$B$9,Paramètres!$A$1:$I$89,3,0)*VLOOKUP('Données projet'!$B$9,Paramètres!$A$1:$I$89,5,0)</f>
        <v>2.4047067250619949</v>
      </c>
      <c r="P7" s="14">
        <f t="shared" si="33"/>
        <v>1.0005955158845361</v>
      </c>
      <c r="Q7" s="22">
        <f t="shared" si="2"/>
        <v>5.9309014029818741</v>
      </c>
      <c r="R7" s="62">
        <f t="shared" si="0"/>
        <v>137.57291805164198</v>
      </c>
      <c r="S7" s="62">
        <f ca="1">AVERAGE(OFFSET($R$3,0,0,'Données projet'!$E$9+1,1))-AVERAGE(OFFSET($H$3,0,0,'Données projet'!$E$9+1,1))</f>
        <v>81.961605366090254</v>
      </c>
      <c r="T7" s="62">
        <f t="shared" si="34"/>
        <v>408.41952129426909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1.7473397460616347</v>
      </c>
      <c r="AK7" s="14">
        <f t="shared" si="35"/>
        <v>0.7545998185105095</v>
      </c>
      <c r="AL7" s="22">
        <f t="shared" si="4"/>
        <v>4.3575447416298188</v>
      </c>
      <c r="AM7" s="62">
        <f t="shared" si="5"/>
        <v>135.99956139028993</v>
      </c>
      <c r="AN7" s="62">
        <f ca="1">AVERAGE(OFFSET($AM$3,0,0,'Données projet'!$E$10+1,1))-AVERAGE(OFFSET($H$3,0,0,'Données projet'!$E$10+1,1))</f>
        <v>373.36760201946345</v>
      </c>
      <c r="AO7" s="62">
        <f t="shared" si="36"/>
        <v>198.19005615475365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22.6</v>
      </c>
      <c r="N8" s="14">
        <f>IF('Données projet'!$A$36&gt;35,N7+M8-V7,IF(A8&lt;'Données projet'!$A$36,$K$205^A8,IF(A8='Données projet'!$A$36,'Données projet'!$B$36,N7+M8-V7)))</f>
        <v>6.9726826489400624</v>
      </c>
      <c r="O8" s="14">
        <f>N8*VLOOKUP('Données projet'!$B$9,Paramètres!$A$1:$I$89,3,0)*VLOOKUP('Données projet'!$B$9,Paramètres!$A$1:$I$89,5,0)</f>
        <v>3.5460274879449587</v>
      </c>
      <c r="P8" s="14">
        <f t="shared" si="33"/>
        <v>1.4102762186566893</v>
      </c>
      <c r="Q8" s="22">
        <f t="shared" si="2"/>
        <v>8.6322289556645373</v>
      </c>
      <c r="R8" s="62">
        <f t="shared" si="0"/>
        <v>143.75017728342004</v>
      </c>
      <c r="S8" s="62">
        <f ca="1">AVERAGE(OFFSET($R$3,0,0,'Données projet'!$E$9+1,1))-AVERAGE(OFFSET($H$3,0,0,'Données projet'!$E$9+1,1))</f>
        <v>81.961605366090254</v>
      </c>
      <c r="T8" s="62">
        <f t="shared" si="34"/>
        <v>408.41952129426909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2.0019913926365076</v>
      </c>
      <c r="AK8" s="14">
        <f t="shared" si="35"/>
        <v>0.85098924232460604</v>
      </c>
      <c r="AL8" s="22">
        <f t="shared" si="4"/>
        <v>4.9689412725572728</v>
      </c>
      <c r="AM8" s="62">
        <f t="shared" si="5"/>
        <v>140.08688960031276</v>
      </c>
      <c r="AN8" s="62">
        <f ca="1">AVERAGE(OFFSET($AM$3,0,0,'Données projet'!$E$10+1,1))-AVERAGE(OFFSET($H$3,0,0,'Données projet'!$E$10+1,1))</f>
        <v>373.36760201946345</v>
      </c>
      <c r="AO8" s="62">
        <f t="shared" si="36"/>
        <v>198.19005615475365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22.6</v>
      </c>
      <c r="N9" s="14">
        <f>IF('Données projet'!$A$36&gt;35,N8+M9-V8,IF(A9&lt;'Données projet'!$A$36,$K$205^A9,IF(A9='Données projet'!$A$36,'Données projet'!$B$36,N8+M9-V8)))</f>
        <v>10.282053973638259</v>
      </c>
      <c r="O9" s="14">
        <f>N9*VLOOKUP('Données projet'!$B$9,Paramètres!$A$1:$I$89,3,0)*VLOOKUP('Données projet'!$B$9,Paramètres!$A$1:$I$89,5,0)</f>
        <v>5.2290413688334736</v>
      </c>
      <c r="P9" s="14">
        <f t="shared" si="33"/>
        <v>1.9876953087786147</v>
      </c>
      <c r="Q9" s="22">
        <f t="shared" si="2"/>
        <v>12.56914971350772</v>
      </c>
      <c r="R9" s="62">
        <f t="shared" si="0"/>
        <v>151.1239328998214</v>
      </c>
      <c r="S9" s="62">
        <f ca="1">AVERAGE(OFFSET($R$3,0,0,'Données projet'!$E$9+1,1))-AVERAGE(OFFSET($H$3,0,0,'Données projet'!$E$9+1,1))</f>
        <v>81.961605366090254</v>
      </c>
      <c r="T9" s="62">
        <f t="shared" si="34"/>
        <v>408.41952129426909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2.2937551470595863</v>
      </c>
      <c r="AK9" s="14">
        <f t="shared" si="35"/>
        <v>0.95969104787443238</v>
      </c>
      <c r="AL9" s="22">
        <f t="shared" si="4"/>
        <v>5.6664187895100824</v>
      </c>
      <c r="AM9" s="62">
        <f t="shared" si="5"/>
        <v>144.22120197582376</v>
      </c>
      <c r="AN9" s="62">
        <f ca="1">AVERAGE(OFFSET($AM$3,0,0,'Données projet'!$E$10+1,1))-AVERAGE(OFFSET($H$3,0,0,'Données projet'!$E$10+1,1))</f>
        <v>373.36760201946345</v>
      </c>
      <c r="AO9" s="62">
        <f t="shared" si="36"/>
        <v>198.19005615475365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22.6</v>
      </c>
      <c r="N10" s="14">
        <f>IF('Données projet'!$A$36&gt;35,N9+M10-V9,IF(A10&lt;'Données projet'!$A$36,$K$205^A10,IF(A10='Données projet'!$A$36,'Données projet'!$B$36,N9+M10-V9)))</f>
        <v>15.162117543508337</v>
      </c>
      <c r="O10" s="14">
        <f>N10*VLOOKUP('Données projet'!$B$9,Paramètres!$A$1:$I$89,3,0)*VLOOKUP('Données projet'!$B$9,Paramètres!$A$1:$I$89,5,0)</f>
        <v>7.7108464979266014</v>
      </c>
      <c r="P10" s="14">
        <f t="shared" si="33"/>
        <v>2.8015310676541363</v>
      </c>
      <c r="Q10" s="22">
        <f t="shared" si="2"/>
        <v>18.309057593386452</v>
      </c>
      <c r="R10" s="62">
        <f t="shared" si="0"/>
        <v>160.26225706014998</v>
      </c>
      <c r="S10" s="62">
        <f ca="1">AVERAGE(OFFSET($R$3,0,0,'Données projet'!$E$9+1,1))-AVERAGE(OFFSET($H$3,0,0,'Données projet'!$E$9+1,1))</f>
        <v>81.961605366090254</v>
      </c>
      <c r="T10" s="62">
        <f t="shared" si="34"/>
        <v>408.41952129426909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2.6280396079692911</v>
      </c>
      <c r="AK10" s="14">
        <f t="shared" si="35"/>
        <v>1.082277967291873</v>
      </c>
      <c r="AL10" s="22">
        <f t="shared" si="4"/>
        <v>6.4621364435798609</v>
      </c>
      <c r="AM10" s="62">
        <f t="shared" si="5"/>
        <v>148.41533591034337</v>
      </c>
      <c r="AN10" s="62">
        <f ca="1">AVERAGE(OFFSET($AM$3,0,0,'Données projet'!$E$10+1,1))-AVERAGE(OFFSET($H$3,0,0,'Données projet'!$E$10+1,1))</f>
        <v>373.36760201946345</v>
      </c>
      <c r="AO10" s="62">
        <f t="shared" si="36"/>
        <v>198.19005615475365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22.6</v>
      </c>
      <c r="N11" s="14">
        <f>IF('Données projet'!$A$36&gt;35,N10+M11-V10,IF(A11&lt;'Données projet'!$A$36,$K$205^A11,IF(A11='Données projet'!$A$36,'Données projet'!$B$36,N10+M11-V10)))</f>
        <v>22.358354565397974</v>
      </c>
      <c r="O11" s="14">
        <f>N11*VLOOKUP('Données projet'!$B$9,Paramètres!$A$1:$I$89,3,0)*VLOOKUP('Données projet'!$B$9,Paramètres!$A$1:$I$89,5,0)</f>
        <v>11.370564797778794</v>
      </c>
      <c r="P11" s="14">
        <f t="shared" si="33"/>
        <v>3.9485811977158924</v>
      </c>
      <c r="Q11" s="22">
        <f t="shared" si="2"/>
        <v>26.680845942153244</v>
      </c>
      <c r="R11" s="62">
        <f t="shared" si="0"/>
        <v>171.9947095876974</v>
      </c>
      <c r="S11" s="62">
        <f ca="1">AVERAGE(OFFSET($R$3,0,0,'Données projet'!$E$9+1,1))-AVERAGE(OFFSET($H$3,0,0,'Données projet'!$E$9+1,1))</f>
        <v>81.961605366090254</v>
      </c>
      <c r="T11" s="62">
        <f t="shared" si="34"/>
        <v>408.41952129426909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3.0110416056871174</v>
      </c>
      <c r="AK11" s="14">
        <f t="shared" si="35"/>
        <v>1.2205236269315363</v>
      </c>
      <c r="AL11" s="22">
        <f t="shared" si="4"/>
        <v>7.3699761134774882</v>
      </c>
      <c r="AM11" s="62">
        <f t="shared" si="5"/>
        <v>152.68383975902165</v>
      </c>
      <c r="AN11" s="62">
        <f ca="1">AVERAGE(OFFSET($AM$3,0,0,'Données projet'!$E$10+1,1))-AVERAGE(OFFSET($H$3,0,0,'Données projet'!$E$10+1,1))</f>
        <v>373.36760201946345</v>
      </c>
      <c r="AO11" s="62">
        <f t="shared" si="36"/>
        <v>198.19005615475365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22.6</v>
      </c>
      <c r="N12" s="14">
        <f>IF('Données projet'!$A$36&gt;35,N11+M12-V11,IF(A12&lt;'Données projet'!$A$36,$K$205^A12,IF(A12='Données projet'!$A$36,'Données projet'!$B$36,N11+M12-V11)))</f>
        <v>32.970066182218915</v>
      </c>
      <c r="O12" s="14">
        <f>N12*VLOOKUP('Données projet'!$B$9,Paramètres!$A$1:$I$89,3,0)*VLOOKUP('Données projet'!$B$9,Paramètres!$A$1:$I$89,5,0)</f>
        <v>16.767256857629253</v>
      </c>
      <c r="P12" s="14">
        <f t="shared" si="33"/>
        <v>5.5652759503434162</v>
      </c>
      <c r="Q12" s="22">
        <f t="shared" si="2"/>
        <v>38.89582797388573</v>
      </c>
      <c r="R12" s="62">
        <f t="shared" si="0"/>
        <v>187.53325861110423</v>
      </c>
      <c r="S12" s="62">
        <f ca="1">AVERAGE(OFFSET($R$3,0,0,'Données projet'!$E$9+1,1))-AVERAGE(OFFSET($H$3,0,0,'Données projet'!$E$9+1,1))</f>
        <v>81.961605366090254</v>
      </c>
      <c r="T12" s="62">
        <f t="shared" si="34"/>
        <v>408.41952129426909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3.4498610765552797</v>
      </c>
      <c r="AK12" s="14">
        <f t="shared" si="35"/>
        <v>1.3764282087582862</v>
      </c>
      <c r="AL12" s="22">
        <f t="shared" si="4"/>
        <v>8.4057871719211263</v>
      </c>
      <c r="AM12" s="62">
        <f t="shared" si="5"/>
        <v>157.04321780913963</v>
      </c>
      <c r="AN12" s="62">
        <f ca="1">AVERAGE(OFFSET($AM$3,0,0,'Données projet'!$E$10+1,1))-AVERAGE(OFFSET($H$3,0,0,'Données projet'!$E$10+1,1))</f>
        <v>373.36760201946345</v>
      </c>
      <c r="AO12" s="62">
        <f t="shared" si="36"/>
        <v>198.19005615475365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22.6</v>
      </c>
      <c r="N13" s="14">
        <f>IF('Données projet'!$A$36&gt;35,N12+M13-V12,IF(A13&lt;'Données projet'!$A$36,$K$205^A13,IF(A13='Données projet'!$A$36,'Données projet'!$B$36,N12+M13-V12)))</f>
        <v>48.61830332282981</v>
      </c>
      <c r="O13" s="14">
        <f>N13*VLOOKUP('Données projet'!$B$9,Paramètres!$A$1:$I$89,3,0)*VLOOKUP('Données projet'!$B$9,Paramètres!$A$1:$I$89,5,0)</f>
        <v>24.725324337858329</v>
      </c>
      <c r="P13" s="14">
        <f t="shared" si="33"/>
        <v>7.8439051529159638</v>
      </c>
      <c r="Q13" s="22">
        <f t="shared" si="2"/>
        <v>56.724741363098552</v>
      </c>
      <c r="R13" s="62">
        <f t="shared" si="0"/>
        <v>208.64928535814457</v>
      </c>
      <c r="S13" s="62">
        <f ca="1">AVERAGE(OFFSET($R$3,0,0,'Données projet'!$E$9+1,1))-AVERAGE(OFFSET($H$3,0,0,'Données projet'!$E$9+1,1))</f>
        <v>81.961605366090254</v>
      </c>
      <c r="T13" s="62">
        <f t="shared" si="34"/>
        <v>408.41952129426909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3.9526326786890178</v>
      </c>
      <c r="AK13" s="14">
        <f t="shared" si="35"/>
        <v>1.552247389613062</v>
      </c>
      <c r="AL13" s="22">
        <f t="shared" si="4"/>
        <v>9.5876661189594543</v>
      </c>
      <c r="AM13" s="62">
        <f t="shared" si="5"/>
        <v>161.51221011400546</v>
      </c>
      <c r="AN13" s="62">
        <f ca="1">AVERAGE(OFFSET($AM$3,0,0,'Données projet'!$E$10+1,1))-AVERAGE(OFFSET($H$3,0,0,'Données projet'!$E$10+1,1))</f>
        <v>373.36760201946345</v>
      </c>
      <c r="AO13" s="62">
        <f t="shared" si="36"/>
        <v>198.19005615475365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22.6</v>
      </c>
      <c r="N14" s="14">
        <f>IF('Données projet'!$A$36&gt;35,N13+M14-V13,IF(A14&lt;'Données projet'!$A$36,$K$205^A14,IF(A14='Données projet'!$A$36,'Données projet'!$B$36,N13+M14-V13)))</f>
        <v>71.693499337452707</v>
      </c>
      <c r="O14" s="14">
        <f>N14*VLOOKUP('Données projet'!$B$9,Paramètres!$A$1:$I$89,3,0)*VLOOKUP('Données projet'!$B$9,Paramètres!$A$1:$I$89,5,0)</f>
        <v>36.460446023054949</v>
      </c>
      <c r="P14" s="14">
        <f t="shared" si="33"/>
        <v>11.055489179138553</v>
      </c>
      <c r="Q14" s="22">
        <f t="shared" si="2"/>
        <v>82.756920477153685</v>
      </c>
      <c r="R14" s="62">
        <f t="shared" si="0"/>
        <v>237.93275658522936</v>
      </c>
      <c r="S14" s="62">
        <f ca="1">AVERAGE(OFFSET($R$3,0,0,'Données projet'!$E$9+1,1))-AVERAGE(OFFSET($H$3,0,0,'Données projet'!$E$9+1,1))</f>
        <v>81.961605366090254</v>
      </c>
      <c r="T14" s="62">
        <f t="shared" si="34"/>
        <v>408.41952129426909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4.5286765889832141</v>
      </c>
      <c r="AK14" s="14">
        <f t="shared" si="35"/>
        <v>1.7505249770594407</v>
      </c>
      <c r="AL14" s="22">
        <f t="shared" si="4"/>
        <v>10.936276060857622</v>
      </c>
      <c r="AM14" s="62">
        <f t="shared" si="5"/>
        <v>166.11211216893332</v>
      </c>
      <c r="AN14" s="62">
        <f ca="1">AVERAGE(OFFSET($AM$3,0,0,'Données projet'!$E$10+1,1))-AVERAGE(OFFSET($H$3,0,0,'Données projet'!$E$10+1,1))</f>
        <v>373.36760201946345</v>
      </c>
      <c r="AO14" s="62">
        <f t="shared" si="36"/>
        <v>198.19005615475365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22.6</v>
      </c>
      <c r="N15" s="14">
        <f>IF('Données projet'!$A$36&gt;35,N14+M15-V14,IF(A15&lt;'Données projet'!$A$36,$K$205^A15,IF(A15='Données projet'!$A$36,'Données projet'!$B$36,N14+M15-V14)))</f>
        <v>105.72063391681033</v>
      </c>
      <c r="O15" s="14">
        <f>N15*VLOOKUP('Données projet'!$B$9,Paramètres!$A$1:$I$89,3,0)*VLOOKUP('Données projet'!$B$9,Paramètres!$A$1:$I$89,5,0)</f>
        <v>53.765285584733064</v>
      </c>
      <c r="P15" s="14">
        <f t="shared" si="33"/>
        <v>15.58201413802321</v>
      </c>
      <c r="Q15" s="22">
        <f t="shared" si="2"/>
        <v>120.77988035046717</v>
      </c>
      <c r="R15" s="62">
        <f t="shared" si="0"/>
        <v>279.17180874528776</v>
      </c>
      <c r="S15" s="62">
        <f ca="1">AVERAGE(OFFSET($R$3,0,0,'Données projet'!$E$9+1,1))-AVERAGE(OFFSET($H$3,0,0,'Données projet'!$E$9+1,1))</f>
        <v>81.961605366090254</v>
      </c>
      <c r="T15" s="62">
        <f t="shared" si="34"/>
        <v>408.41952129426909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5.1886712767873213</v>
      </c>
      <c r="AK15" s="14">
        <f t="shared" si="35"/>
        <v>1.9741297139966976</v>
      </c>
      <c r="AL15" s="22">
        <f t="shared" si="4"/>
        <v>12.4752117256155</v>
      </c>
      <c r="AM15" s="62">
        <f t="shared" si="5"/>
        <v>170.86714012043612</v>
      </c>
      <c r="AN15" s="62">
        <f ca="1">AVERAGE(OFFSET($AM$3,0,0,'Données projet'!$E$10+1,1))-AVERAGE(OFFSET($H$3,0,0,'Données projet'!$E$10+1,1))</f>
        <v>373.36760201946345</v>
      </c>
      <c r="AO15" s="62">
        <f t="shared" si="36"/>
        <v>198.19005615475365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22.6</v>
      </c>
      <c r="N16" s="14">
        <f>IF('Données projet'!$A$36&gt;35,N15+M16-V15,IF(A16&lt;'Données projet'!$A$36,$K$205^A16,IF(A16='Données projet'!$A$36,'Données projet'!$B$36,N15+M16-V15)))</f>
        <v>155.89771093700028</v>
      </c>
      <c r="O16" s="14">
        <f>N16*VLOOKUP('Données projet'!$B$9,Paramètres!$A$1:$I$89,3,0)*VLOOKUP('Données projet'!$B$9,Paramètres!$A$1:$I$89,5,0)</f>
        <v>79.28333987412087</v>
      </c>
      <c r="P16" s="14">
        <f t="shared" si="33"/>
        <v>21.961865337963633</v>
      </c>
      <c r="Q16" s="22">
        <f t="shared" si="2"/>
        <v>176.33539907771384</v>
      </c>
      <c r="R16" s="62">
        <f t="shared" si="0"/>
        <v>337.90883057128553</v>
      </c>
      <c r="S16" s="62">
        <f ca="1">AVERAGE(OFFSET($R$3,0,0,'Données projet'!$E$9+1,1))-AVERAGE(OFFSET($H$3,0,0,'Données projet'!$E$9+1,1))</f>
        <v>81.961605366090254</v>
      </c>
      <c r="T16" s="62">
        <f t="shared" si="34"/>
        <v>408.41952129426909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5.9448514570572168</v>
      </c>
      <c r="AK16" s="14">
        <f t="shared" si="35"/>
        <v>2.2262967845401667</v>
      </c>
      <c r="AL16" s="22">
        <f t="shared" si="4"/>
        <v>14.231416520782107</v>
      </c>
      <c r="AM16" s="62">
        <f t="shared" si="5"/>
        <v>175.80484801435381</v>
      </c>
      <c r="AN16" s="62">
        <f ca="1">AVERAGE(OFFSET($AM$3,0,0,'Données projet'!$E$10+1,1))-AVERAGE(OFFSET($H$3,0,0,'Données projet'!$E$10+1,1))</f>
        <v>373.36760201946345</v>
      </c>
      <c r="AO16" s="62">
        <f t="shared" si="36"/>
        <v>198.19005615475365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22.6</v>
      </c>
      <c r="N17" s="14">
        <f>IF('Données projet'!$A$36&gt;35,N16+M17-V16,IF(A17&lt;'Données projet'!$A$36,$K$205^A17,IF(A17='Données projet'!$A$36,'Données projet'!$B$36,N16+M17-V16)))</f>
        <v>229.88980840316336</v>
      </c>
      <c r="O17" s="14">
        <f>N17*VLOOKUP('Données projet'!$B$9,Paramètres!$A$1:$I$89,3,0)*VLOOKUP('Données projet'!$B$9,Paramètres!$A$1:$I$89,5,0)</f>
        <v>116.91276096151277</v>
      </c>
      <c r="P17" s="14">
        <f t="shared" si="33"/>
        <v>30.953862886434159</v>
      </c>
      <c r="Q17" s="22">
        <f t="shared" si="2"/>
        <v>257.53436986850755</v>
      </c>
      <c r="R17" s="62">
        <f t="shared" si="0"/>
        <v>422.25531531791836</v>
      </c>
      <c r="S17" s="62">
        <f ca="1">AVERAGE(OFFSET($R$3,0,0,'Données projet'!$E$9+1,1))-AVERAGE(OFFSET($H$3,0,0,'Données projet'!$E$9+1,1))</f>
        <v>81.961605366090254</v>
      </c>
      <c r="T17" s="62">
        <f t="shared" si="34"/>
        <v>408.41952129426909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6.8112348925595523</v>
      </c>
      <c r="AK17" s="14">
        <f t="shared" si="35"/>
        <v>2.5106746216891089</v>
      </c>
      <c r="AL17" s="22">
        <f t="shared" si="4"/>
        <v>16.235659070649749</v>
      </c>
      <c r="AM17" s="62">
        <f t="shared" si="5"/>
        <v>180.95660452006055</v>
      </c>
      <c r="AN17" s="62">
        <f ca="1">AVERAGE(OFFSET($AM$3,0,0,'Données projet'!$E$10+1,1))-AVERAGE(OFFSET($H$3,0,0,'Données projet'!$E$10+1,1))</f>
        <v>373.36760201946345</v>
      </c>
      <c r="AO17" s="62">
        <f t="shared" si="36"/>
        <v>198.19005615475365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339</v>
      </c>
      <c r="L18" s="13">
        <f>VLOOKUP(A18,'Données projet'!$A$35:$I$55,9,0)</f>
        <v>22.6</v>
      </c>
      <c r="M18" s="13">
        <f t="array" ref="M18">INDEX(L:L,MIN(IF(ISNUMBER(L18:L214),ROW(L18:L214),"")))</f>
        <v>22.6</v>
      </c>
      <c r="N18" s="14">
        <f>IF('Données projet'!$A$36&gt;35,N17+M18-V17,IF(A18&lt;'Données projet'!$A$36,$K$205^A18,IF(A18='Données projet'!$A$36,'Données projet'!$B$36,N17+M18-V17)))</f>
        <v>339</v>
      </c>
      <c r="O18" s="14">
        <f>N18*VLOOKUP('Données projet'!$B$9,Paramètres!$A$1:$I$89,3,0)*VLOOKUP('Données projet'!$B$9,Paramètres!$A$1:$I$89,5,0)</f>
        <v>172.40184000000002</v>
      </c>
      <c r="P18" s="14">
        <f t="shared" si="33"/>
        <v>43.627515825620968</v>
      </c>
      <c r="Q18" s="22">
        <f t="shared" si="2"/>
        <v>376.25112806295652</v>
      </c>
      <c r="R18" s="62">
        <f t="shared" si="0"/>
        <v>544.08618796093572</v>
      </c>
      <c r="S18" s="62">
        <f ca="1">AVERAGE(OFFSET($R$3,0,0,'Données projet'!$E$9+1,1))-AVERAGE(OFFSET($H$3,0,0,'Données projet'!$E$9+1,1))</f>
        <v>81.961605366090254</v>
      </c>
      <c r="T18" s="62">
        <f t="shared" si="34"/>
        <v>408.41952129426909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339</v>
      </c>
      <c r="W18" s="17">
        <f>IF(ISNA(VLOOKUP(A18,'Données projet'!$A$35:$I$55,5,0)),0%,VLOOKUP(A18,'Données projet'!$A$35:$I$55,5,0)*VLOOKUP('Données projet'!$B$9,Paramètres!$A$1:$I$89,7,0))</f>
        <v>0.48</v>
      </c>
      <c r="X18" s="17">
        <f>IF(ISNA(VLOOKUP(A18,'Données projet'!$A$35:$I$55,6,0)),0%,VLOOKUP(A18,'Données projet'!$A$35:$I$55,6,0)*VLOOKUP('Données projet'!$B$9,Paramètres!$A$1:$I$89,7,0))</f>
        <v>0.12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91.480861198549903</v>
      </c>
      <c r="AA18" s="23">
        <f>EXP(-LN(2)/25)*AA17+(1-EXP(-LN(2)/25))/(LN(2)/25)*Calculateur!V18*Calculateur!X18*VLOOKUP('Données projet'!$B$9,Paramètres!$A$1:$I$89,3,0)*0.475*44/12</f>
        <v>22.780166547767589</v>
      </c>
      <c r="AB18" s="23">
        <f>EXP(-LN(2)/2)*AB17+(1-EXP(-LN(2)/2))/(LN(2)/2)*V18*Y18*VLOOKUP('Données projet'!$B$9,Paramètres!$A$1:$I$89,3,0)*0.475*44/12</f>
        <v>0</v>
      </c>
      <c r="AC18" s="24">
        <f t="shared" si="3"/>
        <v>114.2610277463175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7.8038822494962501</v>
      </c>
      <c r="AK18" s="14">
        <f t="shared" si="35"/>
        <v>2.8313776940102406</v>
      </c>
      <c r="AL18" s="22">
        <f t="shared" si="4"/>
        <v>18.523077734940472</v>
      </c>
      <c r="AM18" s="62">
        <f t="shared" si="5"/>
        <v>186.35813763291964</v>
      </c>
      <c r="AN18" s="62">
        <f ca="1">AVERAGE(OFFSET($AM$3,0,0,'Données projet'!$E$10+1,1))-AVERAGE(OFFSET($H$3,0,0,'Données projet'!$E$10+1,1))</f>
        <v>373.36760201946345</v>
      </c>
      <c r="AO18" s="62">
        <f t="shared" si="36"/>
        <v>198.19005615475365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0</v>
      </c>
      <c r="N19" s="14">
        <f>IF('Données projet'!$A$36&gt;35,N18+M19-V18,IF(A19&lt;'Données projet'!$A$36,$K$205^A19,IF(A19='Données projet'!$A$36,'Données projet'!$B$36,N18+M19-V18)))</f>
        <v>0</v>
      </c>
      <c r="O19" s="14">
        <f>N19*VLOOKUP('Données projet'!$B$9,Paramètres!$A$1:$I$89,3,0)*VLOOKUP('Données projet'!$B$9,Paramètres!$A$1:$I$89,5,0)</f>
        <v>0</v>
      </c>
      <c r="P19" s="14" t="e">
        <f t="shared" si="33"/>
        <v>#NUM!</v>
      </c>
      <c r="Q19" s="22" t="e">
        <f t="shared" si="2"/>
        <v>#NUM!</v>
      </c>
      <c r="R19" s="62" t="e">
        <f t="shared" si="0"/>
        <v>#NUM!</v>
      </c>
      <c r="S19" s="62">
        <f ca="1">AVERAGE(OFFSET($R$3,0,0,'Données projet'!$E$9+1,1))-AVERAGE(OFFSET($H$3,0,0,'Données projet'!$E$9+1,1))</f>
        <v>81.961605366090254</v>
      </c>
      <c r="T19" s="62">
        <f t="shared" si="34"/>
        <v>408.41952129426909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89.686977308262087</v>
      </c>
      <c r="AA19" s="23">
        <f>EXP(-LN(2)/25)*AA18+(1-EXP(-LN(2)/25))/(LN(2)/25)*Calculateur!V19*Calculateur!X19*VLOOKUP('Données projet'!$B$9,Paramètres!$A$1:$I$89,3,0)*0.475*44/12</f>
        <v>22.157241695561989</v>
      </c>
      <c r="AB19" s="23">
        <f>EXP(-LN(2)/2)*AB18+(1-EXP(-LN(2)/2))/(LN(2)/2)*V19*Y19*VLOOKUP('Données projet'!$B$9,Paramètres!$A$1:$I$89,3,0)*0.475*44/12</f>
        <v>0</v>
      </c>
      <c r="AC19" s="24">
        <f t="shared" si="3"/>
        <v>111.84421900382408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8.9411948236477841</v>
      </c>
      <c r="AK19" s="14">
        <f t="shared" si="35"/>
        <v>3.1930460350713803</v>
      </c>
      <c r="AL19" s="22">
        <f t="shared" si="4"/>
        <v>21.133802828935874</v>
      </c>
      <c r="AM19" s="62">
        <f t="shared" si="5"/>
        <v>192.05015707499368</v>
      </c>
      <c r="AN19" s="62">
        <f ca="1">AVERAGE(OFFSET($AM$3,0,0,'Données projet'!$E$10+1,1))-AVERAGE(OFFSET($H$3,0,0,'Données projet'!$E$10+1,1))</f>
        <v>373.36760201946345</v>
      </c>
      <c r="AO19" s="62">
        <f t="shared" si="36"/>
        <v>198.19005615475365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81.961605366090254</v>
      </c>
      <c r="T20" s="62">
        <f t="shared" si="34"/>
        <v>408.41952129426909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87.928270386901687</v>
      </c>
      <c r="AA20" s="23">
        <f>EXP(-LN(2)/25)*AA19+(1-EXP(-LN(2)/25))/(LN(2)/25)*Calculateur!V20*Calculateur!X20*VLOOKUP('Données projet'!$B$9,Paramètres!$A$1:$I$89,3,0)*0.475*44/12</f>
        <v>21.551350756198147</v>
      </c>
      <c r="AB20" s="23">
        <f>EXP(-LN(2)/2)*AB19+(1-EXP(-LN(2)/2))/(LN(2)/2)*V20*Y20*VLOOKUP('Données projet'!$B$9,Paramètres!$A$1:$I$89,3,0)*0.475*44/12</f>
        <v>0</v>
      </c>
      <c r="AC20" s="24">
        <f t="shared" si="3"/>
        <v>109.47962114309983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10.244255656162224</v>
      </c>
      <c r="AK20" s="14">
        <f t="shared" si="35"/>
        <v>3.6009123769158946</v>
      </c>
      <c r="AL20" s="22">
        <f t="shared" si="4"/>
        <v>24.113667657611057</v>
      </c>
      <c r="AM20" s="62">
        <f t="shared" si="5"/>
        <v>198.07906550662648</v>
      </c>
      <c r="AN20" s="62">
        <f ca="1">AVERAGE(OFFSET($AM$3,0,0,'Données projet'!$E$10+1,1))-AVERAGE(OFFSET($H$3,0,0,'Données projet'!$E$10+1,1))</f>
        <v>373.36760201946345</v>
      </c>
      <c r="AO20" s="62">
        <f t="shared" si="36"/>
        <v>198.19005615475365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81.961605366090254</v>
      </c>
      <c r="T21" s="62">
        <f t="shared" si="34"/>
        <v>408.41952129426909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86.20405063556386</v>
      </c>
      <c r="AA21" s="23">
        <f>EXP(-LN(2)/25)*AA20+(1-EXP(-LN(2)/25))/(LN(2)/25)*Calculateur!V21*Calculateur!X21*VLOOKUP('Données projet'!$B$9,Paramètres!$A$1:$I$89,3,0)*0.475*44/12</f>
        <v>20.962027936433628</v>
      </c>
      <c r="AB21" s="23">
        <f>EXP(-LN(2)/2)*AB20+(1-EXP(-LN(2)/2))/(LN(2)/2)*V21*Y21*VLOOKUP('Données projet'!$B$9,Paramètres!$A$1:$I$89,3,0)*0.475*44/12</f>
        <v>0</v>
      </c>
      <c r="AC21" s="24">
        <f t="shared" si="3"/>
        <v>107.16607857199749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11.737220362456757</v>
      </c>
      <c r="AK21" s="14">
        <f t="shared" si="35"/>
        <v>4.0608778588863084</v>
      </c>
      <c r="AL21" s="22">
        <f t="shared" si="4"/>
        <v>27.515021068839172</v>
      </c>
      <c r="AM21" s="62">
        <f t="shared" si="5"/>
        <v>204.49777125401727</v>
      </c>
      <c r="AN21" s="62">
        <f ca="1">AVERAGE(OFFSET($AM$3,0,0,'Données projet'!$E$10+1,1))-AVERAGE(OFFSET($H$3,0,0,'Données projet'!$E$10+1,1))</f>
        <v>373.36760201946345</v>
      </c>
      <c r="AO21" s="62">
        <f t="shared" si="36"/>
        <v>198.19005615475365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81.961605366090254</v>
      </c>
      <c r="T22" s="62">
        <f t="shared" si="34"/>
        <v>408.41952129426909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84.513641781879571</v>
      </c>
      <c r="AA22" s="23">
        <f>EXP(-LN(2)/25)*AA21+(1-EXP(-LN(2)/25))/(LN(2)/25)*Calculateur!V22*Calculateur!X22*VLOOKUP('Données projet'!$B$9,Paramètres!$A$1:$I$89,3,0)*0.475*44/12</f>
        <v>20.388820180166711</v>
      </c>
      <c r="AB22" s="23">
        <f>EXP(-LN(2)/2)*AB21+(1-EXP(-LN(2)/2))/(LN(2)/2)*V22*Y22*VLOOKUP('Données projet'!$B$9,Paramètres!$A$1:$I$89,3,0)*0.475*44/12</f>
        <v>0</v>
      </c>
      <c r="AC22" s="24">
        <f t="shared" si="3"/>
        <v>104.90246196204629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13.447764919260033</v>
      </c>
      <c r="AK22" s="14">
        <f t="shared" si="35"/>
        <v>4.5795974071762906</v>
      </c>
      <c r="AL22" s="22">
        <f t="shared" si="4"/>
        <v>31.397656051876599</v>
      </c>
      <c r="AM22" s="62">
        <f t="shared" si="5"/>
        <v>211.36661707905017</v>
      </c>
      <c r="AN22" s="62">
        <f ca="1">AVERAGE(OFFSET($AM$3,0,0,'Données projet'!$E$10+1,1))-AVERAGE(OFFSET($H$3,0,0,'Données projet'!$E$10+1,1))</f>
        <v>373.36760201946345</v>
      </c>
      <c r="AO22" s="62">
        <f t="shared" si="36"/>
        <v>198.19005615475365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81.961605366090254</v>
      </c>
      <c r="T23" s="62">
        <f t="shared" si="34"/>
        <v>408.41952129426909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82.856380814768428</v>
      </c>
      <c r="AA23" s="23">
        <f>EXP(-LN(2)/25)*AA22+(1-EXP(-LN(2)/25))/(LN(2)/25)*Calculateur!V23*Calculateur!X23*VLOOKUP('Données projet'!$B$9,Paramètres!$A$1:$I$89,3,0)*0.475*44/12</f>
        <v>19.831286820138597</v>
      </c>
      <c r="AB23" s="23">
        <f>EXP(-LN(2)/2)*AB22+(1-EXP(-LN(2)/2))/(LN(2)/2)*V23*Y23*VLOOKUP('Données projet'!$B$9,Paramètres!$A$1:$I$89,3,0)*0.475*44/12</f>
        <v>0</v>
      </c>
      <c r="AC23" s="24">
        <f t="shared" si="3"/>
        <v>102.68766763490703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15.407598710690648</v>
      </c>
      <c r="AK23" s="14">
        <f t="shared" si="35"/>
        <v>5.1645760204094255</v>
      </c>
      <c r="AL23" s="22">
        <f t="shared" si="4"/>
        <v>35.829870989999293</v>
      </c>
      <c r="AM23" s="62">
        <f t="shared" si="5"/>
        <v>218.75444160030298</v>
      </c>
      <c r="AN23" s="62">
        <f ca="1">AVERAGE(OFFSET($AM$3,0,0,'Données projet'!$E$10+1,1))-AVERAGE(OFFSET($H$3,0,0,'Données projet'!$E$10+1,1))</f>
        <v>373.36760201946345</v>
      </c>
      <c r="AO23" s="62">
        <f t="shared" si="36"/>
        <v>198.19005615475365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81.961605366090254</v>
      </c>
      <c r="T24" s="62">
        <f t="shared" si="34"/>
        <v>408.41952129426909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81.231617724392962</v>
      </c>
      <c r="AA24" s="23">
        <f>EXP(-LN(2)/25)*AA23+(1-EXP(-LN(2)/25))/(LN(2)/25)*Calculateur!V24*Calculateur!X24*VLOOKUP('Données projet'!$B$9,Paramètres!$A$1:$I$89,3,0)*0.475*44/12</f>
        <v>19.28899923915986</v>
      </c>
      <c r="AB24" s="23">
        <f>EXP(-LN(2)/2)*AB23+(1-EXP(-LN(2)/2))/(LN(2)/2)*V24*Y24*VLOOKUP('Données projet'!$B$9,Paramètres!$A$1:$I$89,3,0)*0.475*44/12</f>
        <v>0</v>
      </c>
      <c r="AC24" s="24">
        <f t="shared" si="3"/>
        <v>100.52061696355283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17.653052344012782</v>
      </c>
      <c r="AK24" s="14">
        <f t="shared" si="35"/>
        <v>5.8242773543349813</v>
      </c>
      <c r="AL24" s="22">
        <f t="shared" si="4"/>
        <v>40.889682557955688</v>
      </c>
      <c r="AM24" s="62">
        <f t="shared" si="5"/>
        <v>226.73979235595141</v>
      </c>
      <c r="AN24" s="62">
        <f ca="1">AVERAGE(OFFSET($AM$3,0,0,'Données projet'!$E$10+1,1))-AVERAGE(OFFSET($H$3,0,0,'Données projet'!$E$10+1,1))</f>
        <v>373.36760201946345</v>
      </c>
      <c r="AO24" s="62">
        <f t="shared" si="36"/>
        <v>198.19005615475365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81.961605366090254</v>
      </c>
      <c r="T25" s="62">
        <f t="shared" si="34"/>
        <v>408.41952129426909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79.638715247212133</v>
      </c>
      <c r="AA25" s="23">
        <f>EXP(-LN(2)/25)*AA24+(1-EXP(-LN(2)/25))/(LN(2)/25)*Calculateur!V25*Calculateur!X25*VLOOKUP('Données projet'!$B$9,Paramètres!$A$1:$I$89,3,0)*0.475*44/12</f>
        <v>18.761540540600649</v>
      </c>
      <c r="AB25" s="23">
        <f>EXP(-LN(2)/2)*AB24+(1-EXP(-LN(2)/2))/(LN(2)/2)*V25*Y25*VLOOKUP('Données projet'!$B$9,Paramètres!$A$1:$I$89,3,0)*0.475*44/12</f>
        <v>0</v>
      </c>
      <c r="AC25" s="24">
        <f t="shared" si="3"/>
        <v>98.400255787812782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20.225751131759992</v>
      </c>
      <c r="AK25" s="14">
        <f t="shared" si="35"/>
        <v>6.5682461766784241</v>
      </c>
      <c r="AL25" s="22">
        <f t="shared" si="4"/>
        <v>46.666211978863579</v>
      </c>
      <c r="AM25" s="62">
        <f t="shared" si="5"/>
        <v>235.41231222324657</v>
      </c>
      <c r="AN25" s="62">
        <f ca="1">AVERAGE(OFFSET($AM$3,0,0,'Données projet'!$E$10+1,1))-AVERAGE(OFFSET($H$3,0,0,'Données projet'!$E$10+1,1))</f>
        <v>373.36760201946345</v>
      </c>
      <c r="AO25" s="62">
        <f t="shared" si="36"/>
        <v>198.19005615475365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81.961605366090254</v>
      </c>
      <c r="T26" s="62">
        <f t="shared" si="34"/>
        <v>408.41952129426909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78.077048616034233</v>
      </c>
      <c r="AA26" s="23">
        <f>EXP(-LN(2)/25)*AA25+(1-EXP(-LN(2)/25))/(LN(2)/25)*Calculateur!V26*Calculateur!X26*VLOOKUP('Données projet'!$B$9,Paramètres!$A$1:$I$89,3,0)*0.475*44/12</f>
        <v>18.248505227891386</v>
      </c>
      <c r="AB26" s="23">
        <f>EXP(-LN(2)/2)*AB25+(1-EXP(-LN(2)/2))/(LN(2)/2)*V26*Y26*VLOOKUP('Données projet'!$B$9,Paramètres!$A$1:$I$89,3,0)*0.475*44/12</f>
        <v>0</v>
      </c>
      <c r="AC26" s="24">
        <f t="shared" si="3"/>
        <v>96.325553843925618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23.173386724966843</v>
      </c>
      <c r="AK26" s="14">
        <f t="shared" si="35"/>
        <v>7.4072464638622444</v>
      </c>
      <c r="AL26" s="22">
        <f t="shared" si="4"/>
        <v>53.261269470543994</v>
      </c>
      <c r="AM26" s="62">
        <f t="shared" si="5"/>
        <v>244.87432402461022</v>
      </c>
      <c r="AN26" s="62">
        <f ca="1">AVERAGE(OFFSET($AM$3,0,0,'Données projet'!$E$10+1,1))-AVERAGE(OFFSET($H$3,0,0,'Données projet'!$E$10+1,1))</f>
        <v>373.36760201946345</v>
      </c>
      <c r="AO26" s="62">
        <f t="shared" si="36"/>
        <v>198.19005615475365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81.961605366090254</v>
      </c>
      <c r="T27" s="62">
        <f t="shared" si="34"/>
        <v>408.41952129426909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76.54600531497114</v>
      </c>
      <c r="AA27" s="23">
        <f>EXP(-LN(2)/25)*AA26+(1-EXP(-LN(2)/25))/(LN(2)/25)*Calculateur!V27*Calculateur!X27*VLOOKUP('Données projet'!$B$9,Paramètres!$A$1:$I$89,3,0)*0.475*44/12</f>
        <v>17.749498892787514</v>
      </c>
      <c r="AB27" s="23">
        <f>EXP(-LN(2)/2)*AB26+(1-EXP(-LN(2)/2))/(LN(2)/2)*V27*Y27*VLOOKUP('Données projet'!$B$9,Paramètres!$A$1:$I$89,3,0)*0.475*44/12</f>
        <v>0</v>
      </c>
      <c r="AC27" s="24">
        <f t="shared" si="3"/>
        <v>94.295504207758654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26.550601201733496</v>
      </c>
      <c r="AK27" s="14">
        <f t="shared" si="35"/>
        <v>8.3534171376241328</v>
      </c>
      <c r="AL27" s="22">
        <f t="shared" si="4"/>
        <v>60.7911652743812</v>
      </c>
      <c r="AM27" s="62">
        <f t="shared" si="5"/>
        <v>255.24264171348329</v>
      </c>
      <c r="AN27" s="62">
        <f ca="1">AVERAGE(OFFSET($AM$3,0,0,'Données projet'!$E$10+1,1))-AVERAGE(OFFSET($H$3,0,0,'Données projet'!$E$10+1,1))</f>
        <v>373.36760201946345</v>
      </c>
      <c r="AO27" s="62">
        <f t="shared" si="36"/>
        <v>198.19005615475365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81.961605366090254</v>
      </c>
      <c r="T28" s="62">
        <f t="shared" si="34"/>
        <v>408.41952129426909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75.044984839197696</v>
      </c>
      <c r="AA28" s="23">
        <f>EXP(-LN(2)/25)*AA27+(1-EXP(-LN(2)/25))/(LN(2)/25)*Calculateur!V28*Calculateur!X28*VLOOKUP('Données projet'!$B$9,Paramètres!$A$1:$I$89,3,0)*0.475*44/12</f>
        <v>17.26413791215866</v>
      </c>
      <c r="AB28" s="23">
        <f>EXP(-LN(2)/2)*AB27+(1-EXP(-LN(2)/2))/(LN(2)/2)*V28*Y28*VLOOKUP('Données projet'!$B$9,Paramètres!$A$1:$I$89,3,0)*0.475*44/12</f>
        <v>0</v>
      </c>
      <c r="AC28" s="24">
        <f t="shared" si="3"/>
        <v>92.309122751356355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30.42</v>
      </c>
      <c r="AK28" s="14">
        <f t="shared" si="35"/>
        <v>9.4204476947792024</v>
      </c>
      <c r="AL28" s="22">
        <f t="shared" si="4"/>
        <v>69.388779735073783</v>
      </c>
      <c r="AM28" s="62">
        <f t="shared" si="5"/>
        <v>266.65064060834305</v>
      </c>
      <c r="AN28" s="62">
        <f ca="1">AVERAGE(OFFSET($AM$3,0,0,'Données projet'!$E$10+1,1))-AVERAGE(OFFSET($H$3,0,0,'Données projet'!$E$10+1,1))</f>
        <v>373.36760201946345</v>
      </c>
      <c r="AO28" s="62">
        <f t="shared" si="36"/>
        <v>198.19005615475365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5.2999999999999999E-2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81.961605366090254</v>
      </c>
      <c r="T29" s="62">
        <f t="shared" si="34"/>
        <v>408.41952129426909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73.57339845942208</v>
      </c>
      <c r="AA29" s="23">
        <f>EXP(-LN(2)/25)*AA28+(1-EXP(-LN(2)/25))/(LN(2)/25)*Calculateur!V29*Calculateur!X29*VLOOKUP('Données projet'!$B$9,Paramètres!$A$1:$I$89,3,0)*0.475*44/12</f>
        <v>16.792049153069126</v>
      </c>
      <c r="AB29" s="23">
        <f>EXP(-LN(2)/2)*AB28+(1-EXP(-LN(2)/2))/(LN(2)/2)*V29*Y29*VLOOKUP('Données projet'!$B$9,Paramètres!$A$1:$I$89,3,0)*0.475*44/12</f>
        <v>0</v>
      </c>
      <c r="AC29" s="24">
        <f t="shared" si="3"/>
        <v>90.365447612491209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35.287199999999999</v>
      </c>
      <c r="AK29" s="14">
        <f t="shared" si="35"/>
        <v>10.740552489323523</v>
      </c>
      <c r="AL29" s="22">
        <f t="shared" si="4"/>
        <v>80.165002252238452</v>
      </c>
      <c r="AM29" s="62">
        <f t="shared" si="5"/>
        <v>280.20969649589642</v>
      </c>
      <c r="AN29" s="62">
        <f ca="1">AVERAGE(OFFSET($AM$3,0,0,'Données projet'!$E$10+1,1))-AVERAGE(OFFSET($H$3,0,0,'Données projet'!$E$10+1,1))</f>
        <v>373.36760201946345</v>
      </c>
      <c r="AO29" s="62">
        <f t="shared" si="36"/>
        <v>198.19005615475365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81.961605366090254</v>
      </c>
      <c r="T30" s="62">
        <f t="shared" si="34"/>
        <v>408.41952129426909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72.130668990974797</v>
      </c>
      <c r="AA30" s="23">
        <f>EXP(-LN(2)/25)*AA29+(1-EXP(-LN(2)/25))/(LN(2)/25)*Calculateur!V30*Calculateur!X30*VLOOKUP('Données projet'!$B$9,Paramètres!$A$1:$I$89,3,0)*0.475*44/12</f>
        <v>16.332869685922965</v>
      </c>
      <c r="AB30" s="23">
        <f>EXP(-LN(2)/2)*AB29+(1-EXP(-LN(2)/2))/(LN(2)/2)*V30*Y30*VLOOKUP('Données projet'!$B$9,Paramètres!$A$1:$I$89,3,0)*0.475*44/12</f>
        <v>0</v>
      </c>
      <c r="AC30" s="24">
        <f t="shared" si="3"/>
        <v>88.46353867689777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40.154399999999995</v>
      </c>
      <c r="AK30" s="14">
        <f t="shared" si="35"/>
        <v>12.039561463286329</v>
      </c>
      <c r="AL30" s="22">
        <f t="shared" si="4"/>
        <v>90.90448288189036</v>
      </c>
      <c r="AM30" s="62">
        <f t="shared" si="5"/>
        <v>293.70493738152021</v>
      </c>
      <c r="AN30" s="62">
        <f ca="1">AVERAGE(OFFSET($AM$3,0,0,'Données projet'!$E$10+1,1))-AVERAGE(OFFSET($H$3,0,0,'Données projet'!$E$10+1,1))</f>
        <v>373.36760201946345</v>
      </c>
      <c r="AO30" s="62">
        <f t="shared" si="36"/>
        <v>198.19005615475365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81.961605366090254</v>
      </c>
      <c r="T31" s="62">
        <f t="shared" si="34"/>
        <v>408.41952129426909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70.716230567425683</v>
      </c>
      <c r="AA31" s="23">
        <f>EXP(-LN(2)/25)*AA30+(1-EXP(-LN(2)/25))/(LN(2)/25)*Calculateur!V31*Calculateur!X31*VLOOKUP('Données projet'!$B$9,Paramètres!$A$1:$I$89,3,0)*0.475*44/12</f>
        <v>15.886246505453114</v>
      </c>
      <c r="AB31" s="23">
        <f>EXP(-LN(2)/2)*AB30+(1-EXP(-LN(2)/2))/(LN(2)/2)*V31*Y31*VLOOKUP('Données projet'!$B$9,Paramètres!$A$1:$I$89,3,0)*0.475*44/12</f>
        <v>0</v>
      </c>
      <c r="AC31" s="24">
        <f t="shared" si="3"/>
        <v>86.602477072878798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45.021599999999992</v>
      </c>
      <c r="AK31" s="14">
        <f t="shared" si="35"/>
        <v>13.320324173992205</v>
      </c>
      <c r="AL31" s="22">
        <f t="shared" si="4"/>
        <v>101.6121846030364</v>
      </c>
      <c r="AM31" s="62">
        <f t="shared" si="5"/>
        <v>307.14179590223</v>
      </c>
      <c r="AN31" s="62">
        <f ca="1">AVERAGE(OFFSET($AM$3,0,0,'Données projet'!$E$10+1,1))-AVERAGE(OFFSET($H$3,0,0,'Données projet'!$E$10+1,1))</f>
        <v>373.36760201946345</v>
      </c>
      <c r="AO31" s="62">
        <f t="shared" si="36"/>
        <v>198.19005615475365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81.961605366090254</v>
      </c>
      <c r="T32" s="62">
        <f t="shared" si="34"/>
        <v>408.41952129426909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69.329528418640123</v>
      </c>
      <c r="AA32" s="23">
        <f>EXP(-LN(2)/25)*AA31+(1-EXP(-LN(2)/25))/(LN(2)/25)*Calculateur!V32*Calculateur!X32*VLOOKUP('Données projet'!$B$9,Paramètres!$A$1:$I$89,3,0)*0.475*44/12</f>
        <v>15.451836259340103</v>
      </c>
      <c r="AB32" s="23">
        <f>EXP(-LN(2)/2)*AB31+(1-EXP(-LN(2)/2))/(LN(2)/2)*V32*Y32*VLOOKUP('Données projet'!$B$9,Paramètres!$A$1:$I$89,3,0)*0.475*44/12</f>
        <v>0</v>
      </c>
      <c r="AC32" s="24">
        <f t="shared" si="3"/>
        <v>84.781364677980221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49.888799999999989</v>
      </c>
      <c r="AK32" s="14">
        <f t="shared" si="35"/>
        <v>14.585038058304724</v>
      </c>
      <c r="AL32" s="22">
        <f t="shared" si="4"/>
        <v>112.29193461821403</v>
      </c>
      <c r="AM32" s="62">
        <f t="shared" si="5"/>
        <v>320.52456077105546</v>
      </c>
      <c r="AN32" s="62">
        <f ca="1">AVERAGE(OFFSET($AM$3,0,0,'Données projet'!$E$10+1,1))-AVERAGE(OFFSET($H$3,0,0,'Données projet'!$E$10+1,1))</f>
        <v>373.36760201946345</v>
      </c>
      <c r="AO32" s="62">
        <f t="shared" si="36"/>
        <v>198.19005615475365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81.961605366090254</v>
      </c>
      <c r="T33" s="62">
        <f t="shared" si="34"/>
        <v>408.41952129426909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67.970018653187452</v>
      </c>
      <c r="AA33" s="23">
        <f>EXP(-LN(2)/25)*AA32+(1-EXP(-LN(2)/25))/(LN(2)/25)*Calculateur!V33*Calculateur!X33*VLOOKUP('Données projet'!$B$9,Paramètres!$A$1:$I$89,3,0)*0.475*44/12</f>
        <v>15.029304984251695</v>
      </c>
      <c r="AB33" s="23">
        <f>EXP(-LN(2)/2)*AB32+(1-EXP(-LN(2)/2))/(LN(2)/2)*V33*Y33*VLOOKUP('Données projet'!$B$9,Paramètres!$A$1:$I$89,3,0)*0.475*44/12</f>
        <v>0</v>
      </c>
      <c r="AC33" s="24">
        <f t="shared" si="3"/>
        <v>82.999323637439147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54.755999999999993</v>
      </c>
      <c r="AK33" s="14">
        <f t="shared" si="35"/>
        <v>15.835447037242044</v>
      </c>
      <c r="AL33" s="22">
        <f t="shared" si="4"/>
        <v>122.94677025652987</v>
      </c>
      <c r="AM33" s="62">
        <f t="shared" si="5"/>
        <v>333.85672282142031</v>
      </c>
      <c r="AN33" s="62">
        <f ca="1">AVERAGE(OFFSET($AM$3,0,0,'Données projet'!$E$10+1,1))-AVERAGE(OFFSET($H$3,0,0,'Données projet'!$E$10+1,1))</f>
        <v>373.36760201946345</v>
      </c>
      <c r="AO33" s="62">
        <f t="shared" si="36"/>
        <v>198.19005615475365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81.961605366090254</v>
      </c>
      <c r="T34" s="62">
        <f t="shared" si="34"/>
        <v>408.41952129426909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66.637168045016224</v>
      </c>
      <c r="AA34" s="23">
        <f>EXP(-LN(2)/25)*AA33+(1-EXP(-LN(2)/25))/(LN(2)/25)*Calculateur!V34*Calculateur!X34*VLOOKUP('Données projet'!$B$9,Paramètres!$A$1:$I$89,3,0)*0.475*44/12</f>
        <v>14.618327849100533</v>
      </c>
      <c r="AB34" s="23">
        <f>EXP(-LN(2)/2)*AB33+(1-EXP(-LN(2)/2))/(LN(2)/2)*V34*Y34*VLOOKUP('Données projet'!$B$9,Paramètres!$A$1:$I$89,3,0)*0.475*44/12</f>
        <v>0</v>
      </c>
      <c r="AC34" s="24">
        <f t="shared" si="3"/>
        <v>81.255495894116763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59.825999999999993</v>
      </c>
      <c r="AK34" s="14">
        <f t="shared" si="35"/>
        <v>17.124268920142534</v>
      </c>
      <c r="AL34" s="22">
        <f t="shared" si="4"/>
        <v>134.02171836924822</v>
      </c>
      <c r="AM34" s="62">
        <f t="shared" si="5"/>
        <v>346.3615323193975</v>
      </c>
      <c r="AN34" s="62">
        <f ca="1">AVERAGE(OFFSET($AM$3,0,0,'Données projet'!$E$10+1,1))-AVERAGE(OFFSET($H$3,0,0,'Données projet'!$E$10+1,1))</f>
        <v>373.36760201946345</v>
      </c>
      <c r="AO34" s="62">
        <f t="shared" si="36"/>
        <v>198.19005615475365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81.961605366090254</v>
      </c>
      <c r="T35" s="62">
        <f t="shared" si="34"/>
        <v>408.41952129426909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65.330453824312642</v>
      </c>
      <c r="AA35" s="23">
        <f>EXP(-LN(2)/25)*AA34+(1-EXP(-LN(2)/25))/(LN(2)/25)*Calculateur!V35*Calculateur!X35*VLOOKUP('Données projet'!$B$9,Paramètres!$A$1:$I$89,3,0)*0.475*44/12</f>
        <v>14.218588905322427</v>
      </c>
      <c r="AB35" s="23">
        <f>EXP(-LN(2)/2)*AB34+(1-EXP(-LN(2)/2))/(LN(2)/2)*V35*Y35*VLOOKUP('Données projet'!$B$9,Paramètres!$A$1:$I$89,3,0)*0.475*44/12</f>
        <v>0</v>
      </c>
      <c r="AC35" s="24">
        <f t="shared" si="3"/>
        <v>79.549042729635062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64.895999999999987</v>
      </c>
      <c r="AK35" s="14">
        <f t="shared" si="35"/>
        <v>18.400423846102949</v>
      </c>
      <c r="AL35" s="22">
        <f t="shared" si="4"/>
        <v>145.07460486529592</v>
      </c>
      <c r="AM35" s="62">
        <f t="shared" si="5"/>
        <v>358.81947530236107</v>
      </c>
      <c r="AN35" s="62">
        <f ca="1">AVERAGE(OFFSET($AM$3,0,0,'Données projet'!$E$10+1,1))-AVERAGE(OFFSET($H$3,0,0,'Données projet'!$E$10+1,1))</f>
        <v>373.36760201946345</v>
      </c>
      <c r="AO35" s="62">
        <f t="shared" si="36"/>
        <v>198.19005615475365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81.961605366090254</v>
      </c>
      <c r="T36" s="62">
        <f t="shared" si="34"/>
        <v>408.41952129426909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64.049363472460072</v>
      </c>
      <c r="AA36" s="23">
        <f>EXP(-LN(2)/25)*AA35+(1-EXP(-LN(2)/25))/(LN(2)/25)*Calculateur!V36*Calculateur!X36*VLOOKUP('Données projet'!$B$9,Paramètres!$A$1:$I$89,3,0)*0.475*44/12</f>
        <v>13.829780843983292</v>
      </c>
      <c r="AB36" s="23">
        <f>EXP(-LN(2)/2)*AB35+(1-EXP(-LN(2)/2))/(LN(2)/2)*V36*Y36*VLOOKUP('Données projet'!$B$9,Paramètres!$A$1:$I$89,3,0)*0.475*44/12</f>
        <v>0</v>
      </c>
      <c r="AC36" s="24">
        <f t="shared" si="3"/>
        <v>77.879144316443359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69.965999999999994</v>
      </c>
      <c r="AK36" s="14">
        <f t="shared" si="35"/>
        <v>19.665013934342461</v>
      </c>
      <c r="AL36" s="22">
        <f t="shared" si="4"/>
        <v>156.10734926897979</v>
      </c>
      <c r="AM36" s="62">
        <f t="shared" si="5"/>
        <v>371.23290160414842</v>
      </c>
      <c r="AN36" s="62">
        <f ca="1">AVERAGE(OFFSET($AM$3,0,0,'Données projet'!$E$10+1,1))-AVERAGE(OFFSET($H$3,0,0,'Données projet'!$E$10+1,1))</f>
        <v>373.36760201946345</v>
      </c>
      <c r="AO36" s="62">
        <f t="shared" si="36"/>
        <v>198.19005615475365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81.961605366090254</v>
      </c>
      <c r="T37" s="62">
        <f t="shared" si="34"/>
        <v>408.41952129426909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62.79339452101938</v>
      </c>
      <c r="AA37" s="23">
        <f>EXP(-LN(2)/25)*AA36+(1-EXP(-LN(2)/25))/(LN(2)/25)*Calculateur!V37*Calculateur!X37*VLOOKUP('Données projet'!$B$9,Paramètres!$A$1:$I$89,3,0)*0.475*44/12</f>
        <v>13.451604759528003</v>
      </c>
      <c r="AB37" s="23">
        <f>EXP(-LN(2)/2)*AB36+(1-EXP(-LN(2)/2))/(LN(2)/2)*V37*Y37*VLOOKUP('Données projet'!$B$9,Paramètres!$A$1:$I$89,3,0)*0.475*44/12</f>
        <v>0</v>
      </c>
      <c r="AC37" s="24">
        <f t="shared" si="3"/>
        <v>76.244999280547376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75.035999999999987</v>
      </c>
      <c r="AK37" s="14">
        <f t="shared" si="35"/>
        <v>20.918972521981534</v>
      </c>
      <c r="AL37" s="22">
        <f t="shared" si="4"/>
        <v>167.12157714245114</v>
      </c>
      <c r="AM37" s="62">
        <f t="shared" si="5"/>
        <v>383.60385963153351</v>
      </c>
      <c r="AN37" s="62">
        <f ca="1">AVERAGE(OFFSET($AM$3,0,0,'Données projet'!$E$10+1,1))-AVERAGE(OFFSET($H$3,0,0,'Données projet'!$E$10+1,1))</f>
        <v>373.36760201946345</v>
      </c>
      <c r="AO37" s="62">
        <f t="shared" si="36"/>
        <v>198.19005615475365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81.961605366090254</v>
      </c>
      <c r="T38" s="62">
        <f t="shared" si="34"/>
        <v>408.41952129426909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61.562054354651018</v>
      </c>
      <c r="AA38" s="23">
        <f>EXP(-LN(2)/25)*AA37+(1-EXP(-LN(2)/25))/(LN(2)/25)*Calculateur!V38*Calculateur!X38*VLOOKUP('Données projet'!$B$9,Paramètres!$A$1:$I$89,3,0)*0.475*44/12</f>
        <v>13.083769919989559</v>
      </c>
      <c r="AB38" s="23">
        <f>EXP(-LN(2)/2)*AB37+(1-EXP(-LN(2)/2))/(LN(2)/2)*V38*Y38*VLOOKUP('Données projet'!$B$9,Paramètres!$A$1:$I$89,3,0)*0.475*44/12</f>
        <v>0</v>
      </c>
      <c r="AC38" s="24">
        <f t="shared" si="3"/>
        <v>74.645824274640574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80.105999999999995</v>
      </c>
      <c r="AK38" s="14">
        <f t="shared" si="35"/>
        <v>22.163099682076496</v>
      </c>
      <c r="AL38" s="22">
        <f t="shared" si="4"/>
        <v>178.11868194628323</v>
      </c>
      <c r="AM38" s="62">
        <f t="shared" si="5"/>
        <v>395.93415835430312</v>
      </c>
      <c r="AN38" s="62">
        <f ca="1">AVERAGE(OFFSET($AM$3,0,0,'Données projet'!$E$10+1,1))-AVERAGE(OFFSET($H$3,0,0,'Données projet'!$E$10+1,1))</f>
        <v>373.36760201946345</v>
      </c>
      <c r="AO38" s="62">
        <f t="shared" si="36"/>
        <v>198.19005615475365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81.961605366090254</v>
      </c>
      <c r="T39" s="62">
        <f t="shared" si="34"/>
        <v>408.41952129426909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60.3548600179018</v>
      </c>
      <c r="AA39" s="23">
        <f>EXP(-LN(2)/25)*AA38+(1-EXP(-LN(2)/25))/(LN(2)/25)*Calculateur!V39*Calculateur!X39*VLOOKUP('Données projet'!$B$9,Paramètres!$A$1:$I$89,3,0)*0.475*44/12</f>
        <v>12.725993543481888</v>
      </c>
      <c r="AB39" s="23">
        <f>EXP(-LN(2)/2)*AB38+(1-EXP(-LN(2)/2))/(LN(2)/2)*V39*Y39*VLOOKUP('Données projet'!$B$9,Paramètres!$A$1:$I$89,3,0)*0.475*44/12</f>
        <v>0</v>
      </c>
      <c r="AC39" s="24">
        <f t="shared" si="3"/>
        <v>73.080853561383691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72.399599999999992</v>
      </c>
      <c r="AK39" s="14">
        <f t="shared" si="35"/>
        <v>20.268188832715463</v>
      </c>
      <c r="AL39" s="22">
        <f t="shared" si="4"/>
        <v>161.3963988836461</v>
      </c>
      <c r="AM39" s="62">
        <f t="shared" si="5"/>
        <v>380.52194127668508</v>
      </c>
      <c r="AN39" s="62">
        <f ca="1">AVERAGE(OFFSET($AM$3,0,0,'Données projet'!$E$10+1,1))-AVERAGE(OFFSET($H$3,0,0,'Données projet'!$E$10+1,1))</f>
        <v>373.36760201946345</v>
      </c>
      <c r="AO39" s="62">
        <f t="shared" si="36"/>
        <v>198.19005615475365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81.961605366090254</v>
      </c>
      <c r="T40" s="62">
        <f t="shared" si="34"/>
        <v>408.41952129426909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59.171338025780393</v>
      </c>
      <c r="AA40" s="23">
        <f>EXP(-LN(2)/25)*AA39+(1-EXP(-LN(2)/25))/(LN(2)/25)*Calculateur!V40*Calculateur!X40*VLOOKUP('Données projet'!$B$9,Paramètres!$A$1:$I$89,3,0)*0.475*44/12</f>
        <v>12.378000580804461</v>
      </c>
      <c r="AB40" s="23">
        <f>EXP(-LN(2)/2)*AB39+(1-EXP(-LN(2)/2))/(LN(2)/2)*V40*Y40*VLOOKUP('Données projet'!$B$9,Paramètres!$A$1:$I$89,3,0)*0.475*44/12</f>
        <v>0</v>
      </c>
      <c r="AC40" s="24">
        <f t="shared" si="3"/>
        <v>71.549338606584854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77.875200000000007</v>
      </c>
      <c r="AK40" s="14">
        <f t="shared" si="35"/>
        <v>21.616848354491538</v>
      </c>
      <c r="AL40" s="22">
        <f t="shared" si="4"/>
        <v>173.28198421740612</v>
      </c>
      <c r="AM40" s="62">
        <f t="shared" si="5"/>
        <v>393.69486587949291</v>
      </c>
      <c r="AN40" s="62">
        <f ca="1">AVERAGE(OFFSET($AM$3,0,0,'Données projet'!$E$10+1,1))-AVERAGE(OFFSET($H$3,0,0,'Données projet'!$E$10+1,1))</f>
        <v>373.36760201946345</v>
      </c>
      <c r="AO40" s="62">
        <f t="shared" si="36"/>
        <v>198.19005615475365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81.961605366090254</v>
      </c>
      <c r="T41" s="62">
        <f t="shared" si="34"/>
        <v>408.41952129426909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58.01102417804735</v>
      </c>
      <c r="AA41" s="23">
        <f>EXP(-LN(2)/25)*AA40+(1-EXP(-LN(2)/25))/(LN(2)/25)*Calculateur!V41*Calculateur!X41*VLOOKUP('Données projet'!$B$9,Paramètres!$A$1:$I$89,3,0)*0.475*44/12</f>
        <v>12.039523503991603</v>
      </c>
      <c r="AB41" s="23">
        <f>EXP(-LN(2)/2)*AB40+(1-EXP(-LN(2)/2))/(LN(2)/2)*V41*Y41*VLOOKUP('Données projet'!$B$9,Paramètres!$A$1:$I$89,3,0)*0.475*44/12</f>
        <v>0</v>
      </c>
      <c r="AC41" s="24">
        <f t="shared" si="3"/>
        <v>70.050547682038953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83.350800000000007</v>
      </c>
      <c r="AK41" s="14">
        <f t="shared" si="35"/>
        <v>22.954505421678146</v>
      </c>
      <c r="AL41" s="22">
        <f t="shared" si="4"/>
        <v>185.14840694275611</v>
      </c>
      <c r="AM41" s="62">
        <f t="shared" si="5"/>
        <v>406.82629541563205</v>
      </c>
      <c r="AN41" s="62">
        <f ca="1">AVERAGE(OFFSET($AM$3,0,0,'Données projet'!$E$10+1,1))-AVERAGE(OFFSET($H$3,0,0,'Données projet'!$E$10+1,1))</f>
        <v>373.36760201946345</v>
      </c>
      <c r="AO41" s="62">
        <f t="shared" si="36"/>
        <v>198.19005615475365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81.961605366090254</v>
      </c>
      <c r="T42" s="62">
        <f t="shared" si="34"/>
        <v>408.41952129426909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56.873463377146784</v>
      </c>
      <c r="AA42" s="23">
        <f>EXP(-LN(2)/25)*AA41+(1-EXP(-LN(2)/25))/(LN(2)/25)*Calculateur!V42*Calculateur!X42*VLOOKUP('Données projet'!$B$9,Paramètres!$A$1:$I$89,3,0)*0.475*44/12</f>
        <v>11.710302100643929</v>
      </c>
      <c r="AB42" s="23">
        <f>EXP(-LN(2)/2)*AB41+(1-EXP(-LN(2)/2))/(LN(2)/2)*V42*Y42*VLOOKUP('Données projet'!$B$9,Paramètres!$A$1:$I$89,3,0)*0.475*44/12</f>
        <v>0</v>
      </c>
      <c r="AC42" s="24">
        <f t="shared" si="3"/>
        <v>68.583765477790706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88.826400000000007</v>
      </c>
      <c r="AK42" s="14">
        <f t="shared" si="35"/>
        <v>24.28196507443278</v>
      </c>
      <c r="AL42" s="22">
        <f t="shared" si="4"/>
        <v>196.99706917130376</v>
      </c>
      <c r="AM42" s="62">
        <f t="shared" si="5"/>
        <v>419.91801941493327</v>
      </c>
      <c r="AN42" s="62">
        <f ca="1">AVERAGE(OFFSET($AM$3,0,0,'Données projet'!$E$10+1,1))-AVERAGE(OFFSET($H$3,0,0,'Données projet'!$E$10+1,1))</f>
        <v>373.36760201946345</v>
      </c>
      <c r="AO42" s="62">
        <f t="shared" si="36"/>
        <v>198.19005615475365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81.961605366090254</v>
      </c>
      <c r="T43" s="62">
        <f t="shared" si="34"/>
        <v>408.41952129426909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55.758209449708303</v>
      </c>
      <c r="AA43" s="23">
        <f>EXP(-LN(2)/25)*AA42+(1-EXP(-LN(2)/25))/(LN(2)/25)*Calculateur!V43*Calculateur!X43*VLOOKUP('Données projet'!$B$9,Paramètres!$A$1:$I$89,3,0)*0.475*44/12</f>
        <v>11.390083273883798</v>
      </c>
      <c r="AB43" s="23">
        <f>EXP(-LN(2)/2)*AB42+(1-EXP(-LN(2)/2))/(LN(2)/2)*V43*Y43*VLOOKUP('Données projet'!$B$9,Paramètres!$A$1:$I$89,3,0)*0.475*44/12</f>
        <v>0</v>
      </c>
      <c r="AC43" s="24">
        <f t="shared" si="3"/>
        <v>67.148292723592107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94.302000000000021</v>
      </c>
      <c r="AK43" s="14">
        <f t="shared" si="35"/>
        <v>25.599927492506424</v>
      </c>
      <c r="AL43" s="22">
        <f t="shared" si="4"/>
        <v>208.82919038278203</v>
      </c>
      <c r="AM43" s="62">
        <f t="shared" si="5"/>
        <v>432.97163805451237</v>
      </c>
      <c r="AN43" s="62">
        <f ca="1">AVERAGE(OFFSET($AM$3,0,0,'Données projet'!$E$10+1,1))-AVERAGE(OFFSET($H$3,0,0,'Données projet'!$E$10+1,1))</f>
        <v>373.36760201946345</v>
      </c>
      <c r="AO43" s="62">
        <f t="shared" si="36"/>
        <v>198.19005615475365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14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81.961605366090254</v>
      </c>
      <c r="T44" s="62">
        <f t="shared" si="34"/>
        <v>408.41952129426909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54.664824971549166</v>
      </c>
      <c r="AA44" s="23">
        <f>EXP(-LN(2)/25)*AA43+(1-EXP(-LN(2)/25))/(LN(2)/25)*Calculateur!V44*Calculateur!X44*VLOOKUP('Données projet'!$B$9,Paramètres!$A$1:$I$89,3,0)*0.475*44/12</f>
        <v>11.078620847780998</v>
      </c>
      <c r="AB44" s="23">
        <f>EXP(-LN(2)/2)*AB43+(1-EXP(-LN(2)/2))/(LN(2)/2)*V44*Y44*VLOOKUP('Données projet'!$B$9,Paramètres!$A$1:$I$89,3,0)*0.475*44/12</f>
        <v>0</v>
      </c>
      <c r="AC44" s="24">
        <f t="shared" si="3"/>
        <v>65.743445819330162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84.600000000000009</v>
      </c>
      <c r="AJ44" s="14">
        <f>AI44*VLOOKUP('Données projet'!$B$10,Paramètres!$A$1:$I$89,3,0)*VLOOKUP('Données projet'!$B$10,Paramètres!$A$1:$I$89,5,0)</f>
        <v>85.784400000000019</v>
      </c>
      <c r="AK44" s="14">
        <f t="shared" si="35"/>
        <v>23.545702623664209</v>
      </c>
      <c r="AL44" s="22">
        <f t="shared" si="4"/>
        <v>190.41659540288185</v>
      </c>
      <c r="AM44" s="62">
        <f t="shared" si="5"/>
        <v>415.7593502531945</v>
      </c>
      <c r="AN44" s="62">
        <f ca="1">AVERAGE(OFFSET($AM$3,0,0,'Données projet'!$E$10+1,1))-AVERAGE(OFFSET($H$3,0,0,'Données projet'!$E$10+1,1))</f>
        <v>373.36760201946345</v>
      </c>
      <c r="AO44" s="62">
        <f t="shared" si="36"/>
        <v>198.19005615475365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81.961605366090254</v>
      </c>
      <c r="T45" s="62">
        <f t="shared" si="34"/>
        <v>408.41952129426909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53.592881096108044</v>
      </c>
      <c r="AA45" s="23">
        <f>EXP(-LN(2)/25)*AA44+(1-EXP(-LN(2)/25))/(LN(2)/25)*Calculateur!V45*Calculateur!X45*VLOOKUP('Données projet'!$B$9,Paramètres!$A$1:$I$89,3,0)*0.475*44/12</f>
        <v>10.775675378099077</v>
      </c>
      <c r="AB45" s="23">
        <f>EXP(-LN(2)/2)*AB44+(1-EXP(-LN(2)/2))/(LN(2)/2)*V45*Y45*VLOOKUP('Données projet'!$B$9,Paramètres!$A$1:$I$89,3,0)*0.475*44/12</f>
        <v>0</v>
      </c>
      <c r="AC45" s="24">
        <f t="shared" si="3"/>
        <v>64.368556474207125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90.2</v>
      </c>
      <c r="AJ45" s="14">
        <f>AI45*VLOOKUP('Données projet'!$B$10,Paramètres!$A$1:$I$89,3,0)*VLOOKUP('Données projet'!$B$10,Paramètres!$A$1:$I$89,5,0)</f>
        <v>91.462800000000001</v>
      </c>
      <c r="AK45" s="14">
        <f t="shared" si="35"/>
        <v>24.917685409456144</v>
      </c>
      <c r="AL45" s="22">
        <f t="shared" si="4"/>
        <v>202.69601208813609</v>
      </c>
      <c r="AM45" s="62">
        <f t="shared" si="5"/>
        <v>429.21825147096752</v>
      </c>
      <c r="AN45" s="62">
        <f ca="1">AVERAGE(OFFSET($AM$3,0,0,'Données projet'!$E$10+1,1))-AVERAGE(OFFSET($H$3,0,0,'Données projet'!$E$10+1,1))</f>
        <v>373.36760201946345</v>
      </c>
      <c r="AO45" s="62">
        <f t="shared" si="36"/>
        <v>198.19005615475365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81.961605366090254</v>
      </c>
      <c r="T46" s="62">
        <f t="shared" si="34"/>
        <v>408.41952129426909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52.541957386243119</v>
      </c>
      <c r="AA46" s="23">
        <f>EXP(-LN(2)/25)*AA45+(1-EXP(-LN(2)/25))/(LN(2)/25)*Calculateur!V46*Calculateur!X46*VLOOKUP('Données projet'!$B$9,Paramètres!$A$1:$I$89,3,0)*0.475*44/12</f>
        <v>10.481013968216818</v>
      </c>
      <c r="AB46" s="23">
        <f>EXP(-LN(2)/2)*AB45+(1-EXP(-LN(2)/2))/(LN(2)/2)*V46*Y46*VLOOKUP('Données projet'!$B$9,Paramètres!$A$1:$I$89,3,0)*0.475*44/12</f>
        <v>0</v>
      </c>
      <c r="AC46" s="24">
        <f t="shared" si="3"/>
        <v>63.022971354459941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95.8</v>
      </c>
      <c r="AJ46" s="14">
        <f>AI46*VLOOKUP('Données projet'!$B$10,Paramètres!$A$1:$I$89,3,0)*VLOOKUP('Données projet'!$B$10,Paramètres!$A$1:$I$89,5,0)</f>
        <v>97.141200000000012</v>
      </c>
      <c r="AK46" s="14">
        <f t="shared" si="35"/>
        <v>26.279782450761708</v>
      </c>
      <c r="AL46" s="22">
        <f t="shared" si="4"/>
        <v>214.95821110174333</v>
      </c>
      <c r="AM46" s="62">
        <f t="shared" si="5"/>
        <v>442.63947359738671</v>
      </c>
      <c r="AN46" s="62">
        <f ca="1">AVERAGE(OFFSET($AM$3,0,0,'Données projet'!$E$10+1,1))-AVERAGE(OFFSET($H$3,0,0,'Données projet'!$E$10+1,1))</f>
        <v>373.36760201946345</v>
      </c>
      <c r="AO46" s="62">
        <f t="shared" si="36"/>
        <v>198.19005615475365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81.961605366090254</v>
      </c>
      <c r="T47" s="62">
        <f t="shared" si="34"/>
        <v>408.41952129426909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51.511641649328475</v>
      </c>
      <c r="AA47" s="23">
        <f>EXP(-LN(2)/25)*AA46+(1-EXP(-LN(2)/25))/(LN(2)/25)*Calculateur!V47*Calculateur!X47*VLOOKUP('Données projet'!$B$9,Paramètres!$A$1:$I$89,3,0)*0.475*44/12</f>
        <v>10.194410090083359</v>
      </c>
      <c r="AB47" s="23">
        <f>EXP(-LN(2)/2)*AB46+(1-EXP(-LN(2)/2))/(LN(2)/2)*V47*Y47*VLOOKUP('Données projet'!$B$9,Paramètres!$A$1:$I$89,3,0)*0.475*44/12</f>
        <v>0</v>
      </c>
      <c r="AC47" s="24">
        <f t="shared" si="3"/>
        <v>61.706051739411834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101.39999999999999</v>
      </c>
      <c r="AJ47" s="14">
        <f>AI47*VLOOKUP('Données projet'!$B$10,Paramètres!$A$1:$I$89,3,0)*VLOOKUP('Données projet'!$B$10,Paramètres!$A$1:$I$89,5,0)</f>
        <v>102.81959999999999</v>
      </c>
      <c r="AK47" s="14">
        <f t="shared" si="35"/>
        <v>27.632637448562328</v>
      </c>
      <c r="AL47" s="22">
        <f t="shared" si="4"/>
        <v>227.20431355624603</v>
      </c>
      <c r="AM47" s="62">
        <f t="shared" si="5"/>
        <v>456.0244927048816</v>
      </c>
      <c r="AN47" s="62">
        <f ca="1">AVERAGE(OFFSET($AM$3,0,0,'Données projet'!$E$10+1,1))-AVERAGE(OFFSET($H$3,0,0,'Données projet'!$E$10+1,1))</f>
        <v>373.36760201946345</v>
      </c>
      <c r="AO47" s="62">
        <f t="shared" si="36"/>
        <v>198.19005615475365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81.961605366090254</v>
      </c>
      <c r="T48" s="62">
        <f t="shared" si="34"/>
        <v>408.41952129426909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50.501529775584181</v>
      </c>
      <c r="AA48" s="23">
        <f>EXP(-LN(2)/25)*AA47+(1-EXP(-LN(2)/25))/(LN(2)/25)*Calculateur!V48*Calculateur!X48*VLOOKUP('Données projet'!$B$9,Paramètres!$A$1:$I$89,3,0)*0.475*44/12</f>
        <v>9.9156434100693023</v>
      </c>
      <c r="AB48" s="23">
        <f>EXP(-LN(2)/2)*AB47+(1-EXP(-LN(2)/2))/(LN(2)/2)*V48*Y48*VLOOKUP('Données projet'!$B$9,Paramètres!$A$1:$I$89,3,0)*0.475*44/12</f>
        <v>0</v>
      </c>
      <c r="AC48" s="24">
        <f t="shared" si="3"/>
        <v>60.417173185653482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107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106.99999999999999</v>
      </c>
      <c r="AJ48" s="14">
        <f>AI48*VLOOKUP('Données projet'!$B$10,Paramètres!$A$1:$I$89,3,0)*VLOOKUP('Données projet'!$B$10,Paramètres!$A$1:$I$89,5,0)</f>
        <v>108.498</v>
      </c>
      <c r="AK48" s="14">
        <f t="shared" si="35"/>
        <v>28.976818989145283</v>
      </c>
      <c r="AL48" s="22">
        <f t="shared" si="4"/>
        <v>239.43530973942802</v>
      </c>
      <c r="AM48" s="62">
        <f t="shared" si="5"/>
        <v>469.37464788336251</v>
      </c>
      <c r="AN48" s="62">
        <f ca="1">AVERAGE(OFFSET($AM$3,0,0,'Données projet'!$E$10+1,1))-AVERAGE(OFFSET($H$3,0,0,'Données projet'!$E$10+1,1))</f>
        <v>373.36760201946345</v>
      </c>
      <c r="AO48" s="62">
        <f t="shared" si="36"/>
        <v>198.19005615475365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14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81.961605366090254</v>
      </c>
      <c r="T49" s="62">
        <f t="shared" si="34"/>
        <v>408.41952129426909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49.511225579576603</v>
      </c>
      <c r="AA49" s="23">
        <f>EXP(-LN(2)/25)*AA48+(1-EXP(-LN(2)/25))/(LN(2)/25)*Calculateur!V49*Calculateur!X49*VLOOKUP('Données projet'!$B$9,Paramètres!$A$1:$I$89,3,0)*0.475*44/12</f>
        <v>9.644499619579932</v>
      </c>
      <c r="AB49" s="23">
        <f>EXP(-LN(2)/2)*AB48+(1-EXP(-LN(2)/2))/(LN(2)/2)*V49*Y49*VLOOKUP('Données projet'!$B$9,Paramètres!$A$1:$I$89,3,0)*0.475*44/12</f>
        <v>0</v>
      </c>
      <c r="AC49" s="24">
        <f t="shared" si="3"/>
        <v>59.155725199156535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98.59999999999998</v>
      </c>
      <c r="AJ49" s="14">
        <f>AI49*VLOOKUP('Données projet'!$B$10,Paramètres!$A$1:$I$89,3,0)*VLOOKUP('Données projet'!$B$10,Paramètres!$A$1:$I$89,5,0)</f>
        <v>99.980399999999989</v>
      </c>
      <c r="AK49" s="14">
        <f t="shared" si="35"/>
        <v>26.957328065359373</v>
      </c>
      <c r="AL49" s="22">
        <f t="shared" si="4"/>
        <v>221.08320971383421</v>
      </c>
      <c r="AM49" s="62">
        <f t="shared" si="5"/>
        <v>452.12229194656391</v>
      </c>
      <c r="AN49" s="62">
        <f ca="1">AVERAGE(OFFSET($AM$3,0,0,'Données projet'!$E$10+1,1))-AVERAGE(OFFSET($H$3,0,0,'Données projet'!$E$10+1,1))</f>
        <v>373.36760201946345</v>
      </c>
      <c r="AO49" s="62">
        <f t="shared" si="36"/>
        <v>198.19005615475365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81.961605366090254</v>
      </c>
      <c r="T50" s="62">
        <f t="shared" si="34"/>
        <v>408.41952129426909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48.54034064482682</v>
      </c>
      <c r="AA50" s="23">
        <f>EXP(-LN(2)/25)*AA49+(1-EXP(-LN(2)/25))/(LN(2)/25)*Calculateur!V50*Calculateur!X50*VLOOKUP('Données projet'!$B$9,Paramètres!$A$1:$I$89,3,0)*0.475*44/12</f>
        <v>9.3807702703003262</v>
      </c>
      <c r="AB50" s="23">
        <f>EXP(-LN(2)/2)*AB49+(1-EXP(-LN(2)/2))/(LN(2)/2)*V50*Y50*VLOOKUP('Données projet'!$B$9,Paramètres!$A$1:$I$89,3,0)*0.475*44/12</f>
        <v>0</v>
      </c>
      <c r="AC50" s="24">
        <f t="shared" si="3"/>
        <v>57.921110915127144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104.19999999999997</v>
      </c>
      <c r="AJ50" s="14">
        <f>AI50*VLOOKUP('Données projet'!$B$10,Paramètres!$A$1:$I$89,3,0)*VLOOKUP('Données projet'!$B$10,Paramètres!$A$1:$I$89,5,0)</f>
        <v>105.65879999999999</v>
      </c>
      <c r="AK50" s="14">
        <f t="shared" si="35"/>
        <v>28.305779445097851</v>
      </c>
      <c r="AL50" s="22">
        <f t="shared" si="4"/>
        <v>233.32164253354537</v>
      </c>
      <c r="AM50" s="62">
        <f t="shared" si="5"/>
        <v>465.44139075378911</v>
      </c>
      <c r="AN50" s="62">
        <f ca="1">AVERAGE(OFFSET($AM$3,0,0,'Données projet'!$E$10+1,1))-AVERAGE(OFFSET($H$3,0,0,'Données projet'!$E$10+1,1))</f>
        <v>373.36760201946345</v>
      </c>
      <c r="AO50" s="62">
        <f t="shared" si="36"/>
        <v>198.19005615475365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81.961605366090254</v>
      </c>
      <c r="T51" s="62">
        <f t="shared" si="34"/>
        <v>408.41952129426909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47.588494171466145</v>
      </c>
      <c r="AA51" s="23">
        <f>EXP(-LN(2)/25)*AA50+(1-EXP(-LN(2)/25))/(LN(2)/25)*Calculateur!V51*Calculateur!X51*VLOOKUP('Données projet'!$B$9,Paramètres!$A$1:$I$89,3,0)*0.475*44/12</f>
        <v>9.1242526139456945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56.712746785411838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109.79999999999997</v>
      </c>
      <c r="AJ51" s="14">
        <f>AI51*VLOOKUP('Données projet'!$B$10,Paramètres!$A$1:$I$89,3,0)*VLOOKUP('Données projet'!$B$10,Paramètres!$A$1:$I$89,5,0)</f>
        <v>111.33719999999997</v>
      </c>
      <c r="AK51" s="14">
        <f t="shared" si="35"/>
        <v>29.645817422905317</v>
      </c>
      <c r="AL51" s="22">
        <f t="shared" si="4"/>
        <v>245.54542201156005</v>
      </c>
      <c r="AM51" s="62">
        <f t="shared" si="5"/>
        <v>478.7270890804416</v>
      </c>
      <c r="AN51" s="62">
        <f ca="1">AVERAGE(OFFSET($AM$3,0,0,'Données projet'!$E$10+1,1))-AVERAGE(OFFSET($H$3,0,0,'Données projet'!$E$10+1,1))</f>
        <v>373.36760201946345</v>
      </c>
      <c r="AO51" s="62">
        <f t="shared" si="36"/>
        <v>198.19005615475365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81.961605366090254</v>
      </c>
      <c r="T52" s="62">
        <f t="shared" si="34"/>
        <v>408.41952129426909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46.655312826879047</v>
      </c>
      <c r="AA52" s="23">
        <f>EXP(-LN(2)/25)*AA51+(1-EXP(-LN(2)/25))/(LN(2)/25)*Calculateur!V52*Calculateur!X52*VLOOKUP('Données projet'!$B$9,Paramètres!$A$1:$I$89,3,0)*0.475*44/12</f>
        <v>8.8747494463937588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55.530062273272804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115.39999999999996</v>
      </c>
      <c r="AJ52" s="14">
        <f>AI52*VLOOKUP('Données projet'!$B$10,Paramètres!$A$1:$I$89,3,0)*VLOOKUP('Données projet'!$B$10,Paramètres!$A$1:$I$89,5,0)</f>
        <v>117.01559999999996</v>
      </c>
      <c r="AK52" s="14">
        <f t="shared" si="35"/>
        <v>30.977920050269788</v>
      </c>
      <c r="AL52" s="22">
        <f t="shared" si="4"/>
        <v>257.7553807542198</v>
      </c>
      <c r="AM52" s="62">
        <f t="shared" si="5"/>
        <v>491.98054475381025</v>
      </c>
      <c r="AN52" s="62">
        <f ca="1">AVERAGE(OFFSET($AM$3,0,0,'Données projet'!$E$10+1,1))-AVERAGE(OFFSET($H$3,0,0,'Données projet'!$E$10+1,1))</f>
        <v>373.36760201946345</v>
      </c>
      <c r="AO52" s="62">
        <f t="shared" si="36"/>
        <v>198.19005615475365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81.961605366090254</v>
      </c>
      <c r="T53" s="62">
        <f t="shared" si="34"/>
        <v>408.41952129426909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45.740430599274887</v>
      </c>
      <c r="AA53" s="23">
        <f>EXP(-LN(2)/25)*AA52+(1-EXP(-LN(2)/25))/(LN(2)/25)*Calculateur!V53*Calculateur!X53*VLOOKUP('Données projet'!$B$9,Paramètres!$A$1:$I$89,3,0)*0.475*44/12</f>
        <v>8.6320689560793316</v>
      </c>
      <c r="AB53" s="23">
        <f>EXP(-LN(2)/2)*AB52+(1-EXP(-LN(2)/2))/(LN(2)/2)*V53*Y53*VLOOKUP('Données projet'!$B$9,Paramètres!$A$1:$I$89,3,0)*0.475*44/12</f>
        <v>0</v>
      </c>
      <c r="AC53" s="24">
        <f t="shared" si="3"/>
        <v>54.372499555354217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120.99999999999996</v>
      </c>
      <c r="AJ53" s="14">
        <f>AI53*VLOOKUP('Données projet'!$B$10,Paramètres!$A$1:$I$89,3,0)*VLOOKUP('Données projet'!$B$10,Paramètres!$A$1:$I$89,5,0)</f>
        <v>122.69399999999997</v>
      </c>
      <c r="AK53" s="14">
        <f t="shared" si="35"/>
        <v>32.302516360650685</v>
      </c>
      <c r="AL53" s="22">
        <f t="shared" si="4"/>
        <v>269.95226599479992</v>
      </c>
      <c r="AM53" s="62">
        <f t="shared" si="5"/>
        <v>505.2028245862611</v>
      </c>
      <c r="AN53" s="62">
        <f ca="1">AVERAGE(OFFSET($AM$3,0,0,'Données projet'!$E$10+1,1))-AVERAGE(OFFSET($H$3,0,0,'Données projet'!$E$10+1,1))</f>
        <v>373.36760201946345</v>
      </c>
      <c r="AO53" s="62">
        <f t="shared" si="36"/>
        <v>198.19005615475365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14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81.961605366090254</v>
      </c>
      <c r="T54" s="62">
        <f t="shared" si="34"/>
        <v>408.41952129426909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44.843488654130987</v>
      </c>
      <c r="AA54" s="23">
        <f>EXP(-LN(2)/25)*AA53+(1-EXP(-LN(2)/25))/(LN(2)/25)*Calculateur!V54*Calculateur!X54*VLOOKUP('Données projet'!$B$9,Paramètres!$A$1:$I$89,3,0)*0.475*44/12</f>
        <v>8.3960245765345647</v>
      </c>
      <c r="AB54" s="23">
        <f>EXP(-LN(2)/2)*AB53+(1-EXP(-LN(2)/2))/(LN(2)/2)*V54*Y54*VLOOKUP('Données projet'!$B$9,Paramètres!$A$1:$I$89,3,0)*0.475*44/12</f>
        <v>0</v>
      </c>
      <c r="AC54" s="24">
        <f t="shared" si="3"/>
        <v>53.239513230665551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112.59999999999995</v>
      </c>
      <c r="AJ54" s="14">
        <f>AI54*VLOOKUP('Données projet'!$B$10,Paramètres!$A$1:$I$89,3,0)*VLOOKUP('Données projet'!$B$10,Paramètres!$A$1:$I$89,5,0)</f>
        <v>114.17639999999996</v>
      </c>
      <c r="AK54" s="14">
        <f t="shared" si="35"/>
        <v>30.312832781759997</v>
      </c>
      <c r="AL54" s="22">
        <f t="shared" si="4"/>
        <v>251.65208042823193</v>
      </c>
      <c r="AM54" s="62">
        <f t="shared" si="5"/>
        <v>487.91024530783375</v>
      </c>
      <c r="AN54" s="62">
        <f ca="1">AVERAGE(OFFSET($AM$3,0,0,'Données projet'!$E$10+1,1))-AVERAGE(OFFSET($H$3,0,0,'Données projet'!$E$10+1,1))</f>
        <v>373.36760201946345</v>
      </c>
      <c r="AO54" s="62">
        <f t="shared" si="36"/>
        <v>198.19005615475365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81.961605366090254</v>
      </c>
      <c r="T55" s="62">
        <f t="shared" si="34"/>
        <v>408.41952129426909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43.964135193450787</v>
      </c>
      <c r="AA55" s="23">
        <f>EXP(-LN(2)/25)*AA54+(1-EXP(-LN(2)/25))/(LN(2)/25)*Calculateur!V55*Calculateur!X55*VLOOKUP('Données projet'!$B$9,Paramètres!$A$1:$I$89,3,0)*0.475*44/12</f>
        <v>8.1664348429614844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52.130570036412273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118.19999999999995</v>
      </c>
      <c r="AJ55" s="14">
        <f>AI55*VLOOKUP('Données projet'!$B$10,Paramètres!$A$1:$I$89,3,0)*VLOOKUP('Données projet'!$B$10,Paramètres!$A$1:$I$89,5,0)</f>
        <v>119.85479999999995</v>
      </c>
      <c r="AK55" s="14">
        <f t="shared" si="35"/>
        <v>31.641131392625841</v>
      </c>
      <c r="AL55" s="22">
        <f t="shared" si="4"/>
        <v>263.85541384215657</v>
      </c>
      <c r="AM55" s="62">
        <f t="shared" si="5"/>
        <v>501.10370529346994</v>
      </c>
      <c r="AN55" s="62">
        <f ca="1">AVERAGE(OFFSET($AM$3,0,0,'Données projet'!$E$10+1,1))-AVERAGE(OFFSET($H$3,0,0,'Données projet'!$E$10+1,1))</f>
        <v>373.36760201946345</v>
      </c>
      <c r="AO55" s="62">
        <f t="shared" si="36"/>
        <v>198.19005615475365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81.961605366090254</v>
      </c>
      <c r="T56" s="62">
        <f t="shared" si="34"/>
        <v>408.41952129426909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43.102025317781873</v>
      </c>
      <c r="AA56" s="23">
        <f>EXP(-LN(2)/25)*AA55+(1-EXP(-LN(2)/25))/(LN(2)/25)*Calculateur!V56*Calculateur!X56*VLOOKUP('Données projet'!$B$9,Paramètres!$A$1:$I$89,3,0)*0.475*44/12</f>
        <v>7.9431232527265587</v>
      </c>
      <c r="AB56" s="23">
        <f>EXP(-LN(2)/2)*AB55+(1-EXP(-LN(2)/2))/(LN(2)/2)*V56*Y56*VLOOKUP('Données projet'!$B$9,Paramètres!$A$1:$I$89,3,0)*0.475*44/12</f>
        <v>0</v>
      </c>
      <c r="AC56" s="24">
        <f t="shared" si="3"/>
        <v>51.045148570508431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123.79999999999994</v>
      </c>
      <c r="AJ56" s="14">
        <f>AI56*VLOOKUP('Données projet'!$B$10,Paramètres!$A$1:$I$89,3,0)*VLOOKUP('Données projet'!$B$10,Paramètres!$A$1:$I$89,5,0)</f>
        <v>125.53319999999997</v>
      </c>
      <c r="AK56" s="14">
        <f t="shared" si="35"/>
        <v>32.962122082003134</v>
      </c>
      <c r="AL56" s="22">
        <f t="shared" si="4"/>
        <v>276.046019292822</v>
      </c>
      <c r="AM56" s="62">
        <f t="shared" si="5"/>
        <v>514.26726083341919</v>
      </c>
      <c r="AN56" s="62">
        <f ca="1">AVERAGE(OFFSET($AM$3,0,0,'Données projet'!$E$10+1,1))-AVERAGE(OFFSET($H$3,0,0,'Données projet'!$E$10+1,1))</f>
        <v>373.36760201946345</v>
      </c>
      <c r="AO56" s="62">
        <f t="shared" si="36"/>
        <v>198.19005615475365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81.961605366090254</v>
      </c>
      <c r="T57" s="62">
        <f t="shared" si="34"/>
        <v>408.41952129426909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42.256820890939728</v>
      </c>
      <c r="AA57" s="23">
        <f>EXP(-LN(2)/25)*AA56+(1-EXP(-LN(2)/25))/(LN(2)/25)*Calculateur!V57*Calculateur!X57*VLOOKUP('Données projet'!$B$9,Paramètres!$A$1:$I$89,3,0)*0.475*44/12</f>
        <v>7.7259181296700534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49.982739020609785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129.39999999999995</v>
      </c>
      <c r="AJ57" s="14">
        <f>AI57*VLOOKUP('Données projet'!$B$10,Paramètres!$A$1:$I$89,3,0)*VLOOKUP('Données projet'!$B$10,Paramètres!$A$1:$I$89,5,0)</f>
        <v>131.21159999999995</v>
      </c>
      <c r="AK57" s="14">
        <f t="shared" si="35"/>
        <v>34.276173183172517</v>
      </c>
      <c r="AL57" s="22">
        <f t="shared" si="4"/>
        <v>288.22453829402536</v>
      </c>
      <c r="AM57" s="62">
        <f t="shared" si="5"/>
        <v>527.40185141504776</v>
      </c>
      <c r="AN57" s="62">
        <f ca="1">AVERAGE(OFFSET($AM$3,0,0,'Données projet'!$E$10+1,1))-AVERAGE(OFFSET($H$3,0,0,'Données projet'!$E$10+1,1))</f>
        <v>373.36760201946345</v>
      </c>
      <c r="AO57" s="62">
        <f t="shared" si="36"/>
        <v>198.19005615475365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81.961605366090254</v>
      </c>
      <c r="T58" s="62">
        <f t="shared" si="34"/>
        <v>408.41952129426909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41.428190407384164</v>
      </c>
      <c r="AA58" s="23">
        <f>EXP(-LN(2)/25)*AA57+(1-EXP(-LN(2)/25))/(LN(2)/25)*Calculateur!V58*Calculateur!X58*VLOOKUP('Données projet'!$B$9,Paramètres!$A$1:$I$89,3,0)*0.475*44/12</f>
        <v>7.5146524921258493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48.942842899510012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135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134.99999999999994</v>
      </c>
      <c r="AJ58" s="14">
        <f>AI58*VLOOKUP('Données projet'!$B$10,Paramètres!$A$1:$I$89,3,0)*VLOOKUP('Données projet'!$B$10,Paramètres!$A$1:$I$89,5,0)</f>
        <v>136.88999999999996</v>
      </c>
      <c r="AK58" s="14">
        <f t="shared" si="35"/>
        <v>35.583619346017713</v>
      </c>
      <c r="AL58" s="22">
        <f t="shared" si="4"/>
        <v>300.3915536943141</v>
      </c>
      <c r="AM58" s="62">
        <f t="shared" si="5"/>
        <v>540.5083526912972</v>
      </c>
      <c r="AN58" s="62">
        <f ca="1">AVERAGE(OFFSET($AM$3,0,0,'Données projet'!$E$10+1,1))-AVERAGE(OFFSET($H$3,0,0,'Données projet'!$E$10+1,1))</f>
        <v>373.36760201946345</v>
      </c>
      <c r="AO58" s="62">
        <f t="shared" si="36"/>
        <v>198.19005615475365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14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81.961605366090254</v>
      </c>
      <c r="T59" s="62">
        <f t="shared" si="34"/>
        <v>408.41952129426909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40.615808862196431</v>
      </c>
      <c r="AA59" s="23">
        <f>EXP(-LN(2)/25)*AA58+(1-EXP(-LN(2)/25))/(LN(2)/25)*Calculateur!V59*Calculateur!X59*VLOOKUP('Données projet'!$B$9,Paramètres!$A$1:$I$89,3,0)*0.475*44/12</f>
        <v>7.3091639245502682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47.9249727867467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5.6</v>
      </c>
      <c r="AI59" s="14">
        <f>IF('Données projet'!$A$62&gt;35,AI58+AH59-AQ58,IF(A59&lt;'Données projet'!$A$62,$AF$205^A59,IF(A59='Données projet'!$A$62,'Données projet'!$B$62,AI58+AH59-AQ58)))</f>
        <v>126.59999999999994</v>
      </c>
      <c r="AJ59" s="14">
        <f>AI59*VLOOKUP('Données projet'!$B$10,Paramètres!$A$1:$I$89,3,0)*VLOOKUP('Données projet'!$B$10,Paramètres!$A$1:$I$89,5,0)</f>
        <v>128.37239999999994</v>
      </c>
      <c r="AK59" s="14">
        <f t="shared" si="35"/>
        <v>33.61999343087701</v>
      </c>
      <c r="AL59" s="22">
        <f t="shared" si="4"/>
        <v>282.13675189211068</v>
      </c>
      <c r="AM59" s="62">
        <f t="shared" si="5"/>
        <v>523.17673878548226</v>
      </c>
      <c r="AN59" s="62">
        <f ca="1">AVERAGE(OFFSET($AM$3,0,0,'Données projet'!$E$10+1,1))-AVERAGE(OFFSET($H$3,0,0,'Données projet'!$E$10+1,1))</f>
        <v>373.36760201946345</v>
      </c>
      <c r="AO59" s="62">
        <f t="shared" si="36"/>
        <v>198.19005615475365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81.961605366090254</v>
      </c>
      <c r="T60" s="62">
        <f t="shared" si="34"/>
        <v>408.41952129426909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39.819357623606017</v>
      </c>
      <c r="AA60" s="23">
        <f>EXP(-LN(2)/25)*AA59+(1-EXP(-LN(2)/25))/(LN(2)/25)*Calculateur!V60*Calculateur!X60*VLOOKUP('Données projet'!$B$9,Paramètres!$A$1:$I$89,3,0)*0.475*44/12</f>
        <v>7.1092944526612154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46.928652076267234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5.6</v>
      </c>
      <c r="AI60" s="14">
        <f>IF('Données projet'!$A$62&gt;35,AI59+AH60-AQ59,IF(A60&lt;'Données projet'!$A$62,$AF$205^A60,IF(A60='Données projet'!$A$62,'Données projet'!$B$62,AI59+AH60-AQ59)))</f>
        <v>132.19999999999993</v>
      </c>
      <c r="AJ60" s="14">
        <f>AI60*VLOOKUP('Données projet'!$B$10,Paramètres!$A$1:$I$89,3,0)*VLOOKUP('Données projet'!$B$10,Paramètres!$A$1:$I$89,5,0)</f>
        <v>134.05079999999995</v>
      </c>
      <c r="AK60" s="14">
        <f t="shared" si="35"/>
        <v>34.930702157857986</v>
      </c>
      <c r="AL60" s="22">
        <f t="shared" si="4"/>
        <v>294.30944959160257</v>
      </c>
      <c r="AM60" s="62">
        <f t="shared" si="5"/>
        <v>536.25660913529941</v>
      </c>
      <c r="AN60" s="62">
        <f ca="1">AVERAGE(OFFSET($AM$3,0,0,'Données projet'!$E$10+1,1))-AVERAGE(OFFSET($H$3,0,0,'Données projet'!$E$10+1,1))</f>
        <v>373.36760201946345</v>
      </c>
      <c r="AO60" s="62">
        <f t="shared" si="36"/>
        <v>198.19005615475365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81.961605366090254</v>
      </c>
      <c r="T61" s="62">
        <f t="shared" si="34"/>
        <v>408.41952129426909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39.038524308017074</v>
      </c>
      <c r="AA61" s="23">
        <f>EXP(-LN(2)/25)*AA60+(1-EXP(-LN(2)/25))/(LN(2)/25)*Calculateur!V61*Calculateur!X61*VLOOKUP('Données projet'!$B$9,Paramètres!$A$1:$I$89,3,0)*0.475*44/12</f>
        <v>6.9148904219916476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45.953414730008724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5.6</v>
      </c>
      <c r="AI61" s="14">
        <f>IF('Données projet'!$A$62&gt;35,AI60+AH61-AQ60,IF(A61&lt;'Données projet'!$A$62,$AF$205^A61,IF(A61='Données projet'!$A$62,'Données projet'!$B$62,AI60+AH61-AQ60)))</f>
        <v>137.79999999999993</v>
      </c>
      <c r="AJ61" s="14">
        <f>AI61*VLOOKUP('Données projet'!$B$10,Paramètres!$A$1:$I$89,3,0)*VLOOKUP('Données projet'!$B$10,Paramètres!$A$1:$I$89,5,0)</f>
        <v>139.72919999999993</v>
      </c>
      <c r="AK61" s="14">
        <f t="shared" si="35"/>
        <v>36.234962028891381</v>
      </c>
      <c r="AL61" s="22">
        <f t="shared" si="4"/>
        <v>306.47091553365232</v>
      </c>
      <c r="AM61" s="62">
        <f t="shared" si="5"/>
        <v>549.30951031032532</v>
      </c>
      <c r="AN61" s="62">
        <f ca="1">AVERAGE(OFFSET($AM$3,0,0,'Données projet'!$E$10+1,1))-AVERAGE(OFFSET($H$3,0,0,'Données projet'!$E$10+1,1))</f>
        <v>373.36760201946345</v>
      </c>
      <c r="AO61" s="62">
        <f t="shared" si="36"/>
        <v>198.19005615475365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81.961605366090254</v>
      </c>
      <c r="T62" s="62">
        <f t="shared" si="34"/>
        <v>408.41952129426909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38.273002657485534</v>
      </c>
      <c r="AA62" s="23">
        <f>EXP(-LN(2)/25)*AA61+(1-EXP(-LN(2)/25))/(LN(2)/25)*Calculateur!V62*Calculateur!X62*VLOOKUP('Données projet'!$B$9,Paramètres!$A$1:$I$89,3,0)*0.475*44/12</f>
        <v>6.7258023797640032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44.998805037249539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5.6</v>
      </c>
      <c r="AI62" s="14">
        <f>IF('Données projet'!$A$62&gt;35,AI61+AH62-AQ61,IF(A62&lt;'Données projet'!$A$62,$AF$205^A62,IF(A62='Données projet'!$A$62,'Données projet'!$B$62,AI61+AH62-AQ61)))</f>
        <v>143.39999999999992</v>
      </c>
      <c r="AJ62" s="14">
        <f>AI62*VLOOKUP('Données projet'!$B$10,Paramètres!$A$1:$I$89,3,0)*VLOOKUP('Données projet'!$B$10,Paramètres!$A$1:$I$89,5,0)</f>
        <v>145.40759999999992</v>
      </c>
      <c r="AK62" s="14">
        <f t="shared" si="35"/>
        <v>37.533065094701904</v>
      </c>
      <c r="AL62" s="22">
        <f t="shared" si="4"/>
        <v>318.62165837327228</v>
      </c>
      <c r="AM62" s="62">
        <f t="shared" si="5"/>
        <v>562.33622397457998</v>
      </c>
      <c r="AN62" s="62">
        <f ca="1">AVERAGE(OFFSET($AM$3,0,0,'Données projet'!$E$10+1,1))-AVERAGE(OFFSET($H$3,0,0,'Données projet'!$E$10+1,1))</f>
        <v>373.36760201946345</v>
      </c>
      <c r="AO62" s="62">
        <f t="shared" si="36"/>
        <v>198.19005615475365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81.961605366090254</v>
      </c>
      <c r="T63" s="62">
        <f t="shared" si="34"/>
        <v>408.41952129426909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37.522492419598812</v>
      </c>
      <c r="AA63" s="23">
        <f>EXP(-LN(2)/25)*AA62+(1-EXP(-LN(2)/25))/(LN(2)/25)*Calculateur!V63*Calculateur!X63*VLOOKUP('Données projet'!$B$9,Paramètres!$A$1:$I$89,3,0)*0.475*44/12</f>
        <v>6.541884959994781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44.064377379593594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149</v>
      </c>
      <c r="AG63" s="13">
        <f>VLOOKUP(A63,'Données projet'!$A$61:$I$81,9,0)</f>
        <v>5.6</v>
      </c>
      <c r="AH63" s="13">
        <f t="array" ref="AH63">INDEX(AG:AG,MIN(IF(ISNUMBER(AG63:AG259),ROW(AG63:AG259),"")))</f>
        <v>5.6</v>
      </c>
      <c r="AI63" s="14">
        <f>IF('Données projet'!$A$62&gt;35,AI62+AH63-AQ62,IF(A63&lt;'Données projet'!$A$62,$AF$205^A63,IF(A63='Données projet'!$A$62,'Données projet'!$B$62,AI62+AH63-AQ62)))</f>
        <v>148.99999999999991</v>
      </c>
      <c r="AJ63" s="14">
        <f>AI63*VLOOKUP('Données projet'!$B$10,Paramètres!$A$1:$I$89,3,0)*VLOOKUP('Données projet'!$B$10,Paramètres!$A$1:$I$89,5,0)</f>
        <v>151.08599999999993</v>
      </c>
      <c r="AK63" s="14">
        <f t="shared" si="35"/>
        <v>38.825279304404233</v>
      </c>
      <c r="AL63" s="22">
        <f t="shared" si="4"/>
        <v>330.76214478850392</v>
      </c>
      <c r="AM63" s="62">
        <f t="shared" si="5"/>
        <v>575.33748507901623</v>
      </c>
      <c r="AN63" s="62">
        <f ca="1">AVERAGE(OFFSET($AM$3,0,0,'Données projet'!$E$10+1,1))-AVERAGE(OFFSET($H$3,0,0,'Données projet'!$E$10+1,1))</f>
        <v>373.36760201946345</v>
      </c>
      <c r="AO63" s="62">
        <f t="shared" si="36"/>
        <v>198.19005615475365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14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81.961605366090254</v>
      </c>
      <c r="T64" s="62">
        <f t="shared" si="34"/>
        <v>408.41952129426909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36.786699229711004</v>
      </c>
      <c r="AA64" s="23">
        <f>EXP(-LN(2)/25)*AA63+(1-EXP(-LN(2)/25))/(LN(2)/25)*Calculateur!V64*Calculateur!X64*VLOOKUP('Données projet'!$B$9,Paramètres!$A$1:$I$89,3,0)*0.475*44/12</f>
        <v>6.3629967717409457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43.14969600145195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140.1999999999999</v>
      </c>
      <c r="AJ64" s="14">
        <f>AI64*VLOOKUP('Données projet'!$B$10,Paramètres!$A$1:$I$89,3,0)*VLOOKUP('Données projet'!$B$10,Paramètres!$A$1:$I$89,5,0)</f>
        <v>142.16279999999992</v>
      </c>
      <c r="AK64" s="14">
        <f t="shared" si="35"/>
        <v>36.792029666383577</v>
      </c>
      <c r="AL64" s="22">
        <f t="shared" si="4"/>
        <v>311.67966166895121</v>
      </c>
      <c r="AM64" s="62">
        <f t="shared" si="5"/>
        <v>557.10084413221443</v>
      </c>
      <c r="AN64" s="62">
        <f ca="1">AVERAGE(OFFSET($AM$3,0,0,'Données projet'!$E$10+1,1))-AVERAGE(OFFSET($H$3,0,0,'Données projet'!$E$10+1,1))</f>
        <v>373.36760201946345</v>
      </c>
      <c r="AO64" s="62">
        <f t="shared" si="36"/>
        <v>198.19005615475365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81.961605366090254</v>
      </c>
      <c r="T65" s="62">
        <f t="shared" si="34"/>
        <v>408.41952129426909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36.065334495487363</v>
      </c>
      <c r="AA65" s="23">
        <f>EXP(-LN(2)/25)*AA64+(1-EXP(-LN(2)/25))/(LN(2)/25)*Calculateur!V65*Calculateur!X65*VLOOKUP('Données projet'!$B$9,Paramètres!$A$1:$I$89,3,0)*0.475*44/12</f>
        <v>6.1890002904022321</v>
      </c>
      <c r="AB65" s="23">
        <f>EXP(-LN(2)/2)*AB64+(1-EXP(-LN(2)/2))/(LN(2)/2)*V65*Y65*VLOOKUP('Données projet'!$B$9,Paramètres!$A$1:$I$89,3,0)*0.475*44/12</f>
        <v>0</v>
      </c>
      <c r="AC65" s="24">
        <f t="shared" si="3"/>
        <v>42.254334785889597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145.39999999999989</v>
      </c>
      <c r="AJ65" s="14">
        <f>AI65*VLOOKUP('Données projet'!$B$10,Paramètres!$A$1:$I$89,3,0)*VLOOKUP('Données projet'!$B$10,Paramètres!$A$1:$I$89,5,0)</f>
        <v>147.43559999999991</v>
      </c>
      <c r="AK65" s="14">
        <f t="shared" si="35"/>
        <v>37.995232948340991</v>
      </c>
      <c r="AL65" s="22">
        <f t="shared" si="4"/>
        <v>322.95870071836038</v>
      </c>
      <c r="AM65" s="62">
        <f t="shared" si="5"/>
        <v>569.21105188369711</v>
      </c>
      <c r="AN65" s="62">
        <f ca="1">AVERAGE(OFFSET($AM$3,0,0,'Données projet'!$E$10+1,1))-AVERAGE(OFFSET($H$3,0,0,'Données projet'!$E$10+1,1))</f>
        <v>373.36760201946345</v>
      </c>
      <c r="AO65" s="62">
        <f t="shared" si="36"/>
        <v>198.19005615475365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81.961605366090254</v>
      </c>
      <c r="T66" s="62">
        <f t="shared" si="34"/>
        <v>408.41952129426909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35.358115283712806</v>
      </c>
      <c r="AA66" s="23">
        <f>EXP(-LN(2)/25)*AA65+(1-EXP(-LN(2)/25))/(LN(2)/25)*Calculateur!V66*Calculateur!X66*VLOOKUP('Données projet'!$B$9,Paramètres!$A$1:$I$89,3,0)*0.475*44/12</f>
        <v>6.0197617519958033</v>
      </c>
      <c r="AB66" s="23">
        <f>EXP(-LN(2)/2)*AB65+(1-EXP(-LN(2)/2))/(LN(2)/2)*V66*Y66*VLOOKUP('Données projet'!$B$9,Paramètres!$A$1:$I$89,3,0)*0.475*44/12</f>
        <v>0</v>
      </c>
      <c r="AC66" s="24">
        <f t="shared" si="3"/>
        <v>41.377877035708607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150.59999999999988</v>
      </c>
      <c r="AJ66" s="14">
        <f>AI66*VLOOKUP('Données projet'!$B$10,Paramètres!$A$1:$I$89,3,0)*VLOOKUP('Données projet'!$B$10,Paramètres!$A$1:$I$89,5,0)</f>
        <v>152.7083999999999</v>
      </c>
      <c r="AK66" s="14">
        <f t="shared" si="35"/>
        <v>39.193436747373994</v>
      </c>
      <c r="AL66" s="22">
        <f t="shared" si="4"/>
        <v>334.22903233500955</v>
      </c>
      <c r="AM66" s="62">
        <f t="shared" si="5"/>
        <v>581.29813328365356</v>
      </c>
      <c r="AN66" s="62">
        <f ca="1">AVERAGE(OFFSET($AM$3,0,0,'Données projet'!$E$10+1,1))-AVERAGE(OFFSET($H$3,0,0,'Données projet'!$E$10+1,1))</f>
        <v>373.36760201946345</v>
      </c>
      <c r="AO66" s="62">
        <f t="shared" si="36"/>
        <v>198.19005615475365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81.961605366090254</v>
      </c>
      <c r="T67" s="62">
        <f t="shared" si="34"/>
        <v>408.41952129426909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34.664764209320026</v>
      </c>
      <c r="AA67" s="23">
        <f>EXP(-LN(2)/25)*AA66+(1-EXP(-LN(2)/25))/(LN(2)/25)*Calculateur!V67*Calculateur!X67*VLOOKUP('Données projet'!$B$9,Paramètres!$A$1:$I$89,3,0)*0.475*44/12</f>
        <v>5.8551510503219655</v>
      </c>
      <c r="AB67" s="23">
        <f>EXP(-LN(2)/2)*AB66+(1-EXP(-LN(2)/2))/(LN(2)/2)*V67*Y67*VLOOKUP('Données projet'!$B$9,Paramètres!$A$1:$I$89,3,0)*0.475*44/12</f>
        <v>0</v>
      </c>
      <c r="AC67" s="24">
        <f t="shared" si="3"/>
        <v>40.519915259641991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155.79999999999987</v>
      </c>
      <c r="AJ67" s="14">
        <f>AI67*VLOOKUP('Données projet'!$B$10,Paramètres!$A$1:$I$89,3,0)*VLOOKUP('Données projet'!$B$10,Paramètres!$A$1:$I$89,5,0)</f>
        <v>157.98119999999989</v>
      </c>
      <c r="AK67" s="14">
        <f t="shared" si="35"/>
        <v>40.386833472870542</v>
      </c>
      <c r="AL67" s="22">
        <f t="shared" si="4"/>
        <v>345.49099163191596</v>
      </c>
      <c r="AM67" s="62">
        <f t="shared" si="5"/>
        <v>593.36267358110581</v>
      </c>
      <c r="AN67" s="62">
        <f ca="1">AVERAGE(OFFSET($AM$3,0,0,'Données projet'!$E$10+1,1))-AVERAGE(OFFSET($H$3,0,0,'Données projet'!$E$10+1,1))</f>
        <v>373.36760201946345</v>
      </c>
      <c r="AO67" s="62">
        <f t="shared" si="36"/>
        <v>198.19005615475365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81.961605366090254</v>
      </c>
      <c r="T68" s="62">
        <f t="shared" si="34"/>
        <v>408.41952129426909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33.985009326593691</v>
      </c>
      <c r="AA68" s="23">
        <f>EXP(-LN(2)/25)*AA67+(1-EXP(-LN(2)/25))/(LN(2)/25)*Calculateur!V68*Calculateur!X68*VLOOKUP('Données projet'!$B$9,Paramètres!$A$1:$I$89,3,0)*0.475*44/12</f>
        <v>5.6950416369418999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39.680050963535592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161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160.99999999999986</v>
      </c>
      <c r="AJ68" s="14">
        <f>AI68*VLOOKUP('Données projet'!$B$10,Paramètres!$A$1:$I$89,3,0)*VLOOKUP('Données projet'!$B$10,Paramètres!$A$1:$I$89,5,0)</f>
        <v>163.25399999999985</v>
      </c>
      <c r="AK68" s="14">
        <f t="shared" si="35"/>
        <v>41.575601961656879</v>
      </c>
      <c r="AL68" s="22">
        <f t="shared" ref="AL68:AL131" si="58">(AJ68+AK68)*0.475*44/12</f>
        <v>356.74489008321876</v>
      </c>
      <c r="AM68" s="62">
        <f t="shared" ref="AM68:AM131" si="59">AL68+(AD68+AE68)*44/12</f>
        <v>605.40523004689726</v>
      </c>
      <c r="AN68" s="62">
        <f ca="1">AVERAGE(OFFSET($AM$3,0,0,'Données projet'!$E$10+1,1))-AVERAGE(OFFSET($H$3,0,0,'Données projet'!$E$10+1,1))</f>
        <v>373.36760201946345</v>
      </c>
      <c r="AO68" s="62">
        <f t="shared" si="36"/>
        <v>198.19005615475365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14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81.961605366090254</v>
      </c>
      <c r="T69" s="62">
        <f t="shared" ref="T69:T132" si="88">$T$3</f>
        <v>408.41952129426909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33.318584022508077</v>
      </c>
      <c r="AA69" s="23">
        <f>EXP(-LN(2)/25)*AA68+(1-EXP(-LN(2)/25))/(LN(2)/25)*Calculateur!V69*Calculateur!X69*VLOOKUP('Données projet'!$B$9,Paramètres!$A$1:$I$89,3,0)*0.475*44/12</f>
        <v>5.5393104238905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38.857894446398575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152.19999999999985</v>
      </c>
      <c r="AJ69" s="14">
        <f>AI69*VLOOKUP('Données projet'!$B$10,Paramètres!$A$1:$I$89,3,0)*VLOOKUP('Données projet'!$B$10,Paramètres!$A$1:$I$89,5,0)</f>
        <v>154.33079999999987</v>
      </c>
      <c r="AK69" s="14">
        <f t="shared" ref="AK69:AK132" si="89">EXP(-1.0587+0.8836*LN(AJ69)+0.284)</f>
        <v>39.561139179540312</v>
      </c>
      <c r="AL69" s="22">
        <f t="shared" si="58"/>
        <v>337.69512740436579</v>
      </c>
      <c r="AM69" s="62">
        <f t="shared" si="59"/>
        <v>587.13044392915685</v>
      </c>
      <c r="AN69" s="62">
        <f ca="1">AVERAGE(OFFSET($AM$3,0,0,'Données projet'!$E$10+1,1))-AVERAGE(OFFSET($H$3,0,0,'Données projet'!$E$10+1,1))</f>
        <v>373.36760201946345</v>
      </c>
      <c r="AO69" s="62">
        <f t="shared" ref="AO69:AO132" si="90">$AO$3</f>
        <v>198.19005615475365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81.961605366090254</v>
      </c>
      <c r="T70" s="62">
        <f t="shared" si="88"/>
        <v>408.41952129426909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32.665226912156285</v>
      </c>
      <c r="AA70" s="23">
        <f>EXP(-LN(2)/25)*AA69+(1-EXP(-LN(2)/25))/(LN(2)/25)*Calculateur!V70*Calculateur!X70*VLOOKUP('Données projet'!$B$9,Paramètres!$A$1:$I$89,3,0)*0.475*44/12</f>
        <v>5.3878376890495394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38.053064601205826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157.39999999999984</v>
      </c>
      <c r="AJ70" s="14">
        <f>AI70*VLOOKUP('Données projet'!$B$10,Paramètres!$A$1:$I$89,3,0)*VLOOKUP('Données projet'!$B$10,Paramètres!$A$1:$I$89,5,0)</f>
        <v>159.60359999999986</v>
      </c>
      <c r="AK70" s="14">
        <f t="shared" si="89"/>
        <v>40.753093376363118</v>
      </c>
      <c r="AL70" s="22">
        <f t="shared" si="58"/>
        <v>348.95457429716549</v>
      </c>
      <c r="AM70" s="62">
        <f t="shared" si="59"/>
        <v>599.15142327232184</v>
      </c>
      <c r="AN70" s="62">
        <f ca="1">AVERAGE(OFFSET($AM$3,0,0,'Données projet'!$E$10+1,1))-AVERAGE(OFFSET($H$3,0,0,'Données projet'!$E$10+1,1))</f>
        <v>373.36760201946345</v>
      </c>
      <c r="AO70" s="62">
        <f t="shared" si="90"/>
        <v>198.19005615475365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81.961605366090254</v>
      </c>
      <c r="T71" s="62">
        <f t="shared" si="88"/>
        <v>408.41952129426909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32.024681736230001</v>
      </c>
      <c r="AA71" s="23">
        <f>EXP(-LN(2)/25)*AA70+(1-EXP(-LN(2)/25))/(LN(2)/25)*Calculateur!V71*Calculateur!X71*VLOOKUP('Données projet'!$B$9,Paramètres!$A$1:$I$89,3,0)*0.475*44/12</f>
        <v>5.2405069841084098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37.265188720338408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162.59999999999982</v>
      </c>
      <c r="AJ71" s="14">
        <f>AI71*VLOOKUP('Données projet'!$B$10,Paramètres!$A$1:$I$89,3,0)*VLOOKUP('Données projet'!$B$10,Paramètres!$A$1:$I$89,5,0)</f>
        <v>164.87639999999982</v>
      </c>
      <c r="AK71" s="14">
        <f t="shared" si="89"/>
        <v>41.94047184875933</v>
      </c>
      <c r="AL71" s="22">
        <f t="shared" si="58"/>
        <v>360.20605180325543</v>
      </c>
      <c r="AM71" s="62">
        <f t="shared" si="59"/>
        <v>611.15122234329465</v>
      </c>
      <c r="AN71" s="62">
        <f ca="1">AVERAGE(OFFSET($AM$3,0,0,'Données projet'!$E$10+1,1))-AVERAGE(OFFSET($H$3,0,0,'Données projet'!$E$10+1,1))</f>
        <v>373.36760201946345</v>
      </c>
      <c r="AO71" s="62">
        <f t="shared" si="90"/>
        <v>198.19005615475365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81.961605366090254</v>
      </c>
      <c r="T72" s="62">
        <f t="shared" si="88"/>
        <v>408.41952129426909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31.396697260509654</v>
      </c>
      <c r="AA72" s="23">
        <f>EXP(-LN(2)/25)*AA71+(1-EXP(-LN(2)/25))/(LN(2)/25)*Calculateur!V72*Calculateur!X72*VLOOKUP('Données projet'!$B$9,Paramètres!$A$1:$I$89,3,0)*0.475*44/12</f>
        <v>5.0972050450416804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36.493902305551337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167.79999999999981</v>
      </c>
      <c r="AJ72" s="14">
        <f>AI72*VLOOKUP('Données projet'!$B$10,Paramètres!$A$1:$I$89,3,0)*VLOOKUP('Données projet'!$B$10,Paramètres!$A$1:$I$89,5,0)</f>
        <v>170.14919999999981</v>
      </c>
      <c r="AK72" s="14">
        <f t="shared" si="89"/>
        <v>43.123437715785229</v>
      </c>
      <c r="AL72" s="22">
        <f t="shared" si="58"/>
        <v>371.44984402165892</v>
      </c>
      <c r="AM72" s="62">
        <f t="shared" si="59"/>
        <v>623.13035442042678</v>
      </c>
      <c r="AN72" s="62">
        <f ca="1">AVERAGE(OFFSET($AM$3,0,0,'Données projet'!$E$10+1,1))-AVERAGE(OFFSET($H$3,0,0,'Données projet'!$E$10+1,1))</f>
        <v>373.36760201946345</v>
      </c>
      <c r="AO72" s="62">
        <f t="shared" si="90"/>
        <v>198.19005615475365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81.961605366090254</v>
      </c>
      <c r="T73" s="62">
        <f t="shared" si="88"/>
        <v>408.41952129426909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30.781027177325473</v>
      </c>
      <c r="AA73" s="23">
        <f>EXP(-LN(2)/25)*AA72+(1-EXP(-LN(2)/25))/(LN(2)/25)*Calculateur!V73*Calculateur!X73*VLOOKUP('Données projet'!$B$9,Paramètres!$A$1:$I$89,3,0)*0.475*44/12</f>
        <v>4.957821705034652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35.738848882360124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173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172.9999999999998</v>
      </c>
      <c r="AJ73" s="14">
        <f>AI73*VLOOKUP('Données projet'!$B$10,Paramètres!$A$1:$I$89,3,0)*VLOOKUP('Données projet'!$B$10,Paramètres!$A$1:$I$89,5,0)</f>
        <v>175.4219999999998</v>
      </c>
      <c r="AK73" s="14">
        <f t="shared" si="89"/>
        <v>44.302143412304694</v>
      </c>
      <c r="AL73" s="22">
        <f t="shared" si="58"/>
        <v>382.68621644309695</v>
      </c>
      <c r="AM73" s="62">
        <f t="shared" si="59"/>
        <v>635.08931019801798</v>
      </c>
      <c r="AN73" s="62">
        <f ca="1">AVERAGE(OFFSET($AM$3,0,0,'Données projet'!$E$10+1,1))-AVERAGE(OFFSET($H$3,0,0,'Données projet'!$E$10+1,1))</f>
        <v>373.36760201946345</v>
      </c>
      <c r="AO73" s="62">
        <f t="shared" si="90"/>
        <v>198.19005615475365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14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81.961605366090254</v>
      </c>
      <c r="T74" s="62">
        <f t="shared" si="88"/>
        <v>408.41952129426909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30.177430008950864</v>
      </c>
      <c r="AA74" s="23">
        <f>EXP(-LN(2)/25)*AA73+(1-EXP(-LN(2)/25))/(LN(2)/25)*Calculateur!V74*Calculateur!X74*VLOOKUP('Données projet'!$B$9,Paramètres!$A$1:$I$89,3,0)*0.475*44/12</f>
        <v>4.8222498097899669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34.99967981874083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163.79999999999981</v>
      </c>
      <c r="AJ74" s="14">
        <f>AI74*VLOOKUP('Données projet'!$B$10,Paramètres!$A$1:$I$89,3,0)*VLOOKUP('Données projet'!$B$10,Paramètres!$A$1:$I$89,5,0)</f>
        <v>166.09319999999983</v>
      </c>
      <c r="AK74" s="14">
        <f t="shared" si="89"/>
        <v>42.213849908165869</v>
      </c>
      <c r="AL74" s="22">
        <f t="shared" si="58"/>
        <v>362.80144525672193</v>
      </c>
      <c r="AM74" s="62">
        <f t="shared" si="59"/>
        <v>615.91458716202146</v>
      </c>
      <c r="AN74" s="62">
        <f ca="1">AVERAGE(OFFSET($AM$3,0,0,'Données projet'!$E$10+1,1))-AVERAGE(OFFSET($H$3,0,0,'Données projet'!$E$10+1,1))</f>
        <v>373.36760201946345</v>
      </c>
      <c r="AO74" s="62">
        <f t="shared" si="90"/>
        <v>198.19005615475365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81.961605366090254</v>
      </c>
      <c r="T75" s="62">
        <f t="shared" si="88"/>
        <v>408.41952129426909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29.585669012890161</v>
      </c>
      <c r="AA75" s="23">
        <f>EXP(-LN(2)/25)*AA74+(1-EXP(-LN(2)/25))/(LN(2)/25)*Calculateur!V75*Calculateur!X75*VLOOKUP('Données projet'!$B$9,Paramètres!$A$1:$I$89,3,0)*0.475*44/12</f>
        <v>4.690385135150164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34.276054148040323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168.59999999999982</v>
      </c>
      <c r="AJ75" s="14">
        <f>AI75*VLOOKUP('Données projet'!$B$10,Paramètres!$A$1:$I$89,3,0)*VLOOKUP('Données projet'!$B$10,Paramètres!$A$1:$I$89,5,0)</f>
        <v>170.96039999999982</v>
      </c>
      <c r="AK75" s="14">
        <f t="shared" si="89"/>
        <v>43.305050662028606</v>
      </c>
      <c r="AL75" s="22">
        <f t="shared" si="58"/>
        <v>373.17899323636624</v>
      </c>
      <c r="AM75" s="62">
        <f t="shared" si="59"/>
        <v>626.98986554406497</v>
      </c>
      <c r="AN75" s="62">
        <f ca="1">AVERAGE(OFFSET($AM$3,0,0,'Données projet'!$E$10+1,1))-AVERAGE(OFFSET($H$3,0,0,'Données projet'!$E$10+1,1))</f>
        <v>373.36760201946345</v>
      </c>
      <c r="AO75" s="62">
        <f t="shared" si="90"/>
        <v>198.19005615475365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81.961605366090254</v>
      </c>
      <c r="T76" s="62">
        <f t="shared" si="88"/>
        <v>408.41952129426909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29.00551208902364</v>
      </c>
      <c r="AA76" s="23">
        <f>EXP(-LN(2)/25)*AA75+(1-EXP(-LN(2)/25))/(LN(2)/25)*Calculateur!V76*Calculateur!X76*VLOOKUP('Données projet'!$B$9,Paramètres!$A$1:$I$89,3,0)*0.475*44/12</f>
        <v>4.5621263069728482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33.567638395996489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173.39999999999984</v>
      </c>
      <c r="AJ76" s="14">
        <f>AI76*VLOOKUP('Données projet'!$B$10,Paramètres!$A$1:$I$89,3,0)*VLOOKUP('Données projet'!$B$10,Paramètres!$A$1:$I$89,5,0)</f>
        <v>175.82759999999985</v>
      </c>
      <c r="AK76" s="14">
        <f t="shared" si="89"/>
        <v>44.392640778295565</v>
      </c>
      <c r="AL76" s="22">
        <f t="shared" si="58"/>
        <v>383.55025268886453</v>
      </c>
      <c r="AM76" s="62">
        <f t="shared" si="59"/>
        <v>638.04675133637215</v>
      </c>
      <c r="AN76" s="62">
        <f ca="1">AVERAGE(OFFSET($AM$3,0,0,'Données projet'!$E$10+1,1))-AVERAGE(OFFSET($H$3,0,0,'Données projet'!$E$10+1,1))</f>
        <v>373.36760201946345</v>
      </c>
      <c r="AO76" s="62">
        <f t="shared" si="90"/>
        <v>198.19005615475365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81.961605366090254</v>
      </c>
      <c r="T77" s="62">
        <f t="shared" si="88"/>
        <v>408.41952129426909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28.43673168857336</v>
      </c>
      <c r="AA77" s="23">
        <f>EXP(-LN(2)/25)*AA76+(1-EXP(-LN(2)/25))/(LN(2)/25)*Calculateur!V77*Calculateur!X77*VLOOKUP('Données projet'!$B$9,Paramètres!$A$1:$I$89,3,0)*0.475*44/12</f>
        <v>4.4373747231968803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32.874106411770242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178.19999999999985</v>
      </c>
      <c r="AJ77" s="14">
        <f>AI77*VLOOKUP('Données projet'!$B$10,Paramètres!$A$1:$I$89,3,0)*VLOOKUP('Données projet'!$B$10,Paramètres!$A$1:$I$89,5,0)</f>
        <v>180.69479999999984</v>
      </c>
      <c r="AK77" s="14">
        <f t="shared" si="89"/>
        <v>45.476731688663754</v>
      </c>
      <c r="AL77" s="22">
        <f t="shared" si="58"/>
        <v>393.91541769108909</v>
      </c>
      <c r="AM77" s="62">
        <f t="shared" si="59"/>
        <v>649.08564859424109</v>
      </c>
      <c r="AN77" s="62">
        <f ca="1">AVERAGE(OFFSET($AM$3,0,0,'Données projet'!$E$10+1,1))-AVERAGE(OFFSET($H$3,0,0,'Données projet'!$E$10+1,1))</f>
        <v>373.36760201946345</v>
      </c>
      <c r="AO77" s="62">
        <f t="shared" si="90"/>
        <v>198.19005615475365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81.961605366090254</v>
      </c>
      <c r="T78" s="62">
        <f t="shared" si="88"/>
        <v>408.41952129426909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27.87910472485412</v>
      </c>
      <c r="AA78" s="23">
        <f>EXP(-LN(2)/25)*AA77+(1-EXP(-LN(2)/25))/(LN(2)/25)*Calculateur!V78*Calculateur!X78*VLOOKUP('Données projet'!$B$9,Paramètres!$A$1:$I$89,3,0)*0.475*44/12</f>
        <v>4.3160344780396667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32.195139202893785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183</v>
      </c>
      <c r="AG78" s="13">
        <f>VLOOKUP(A78,'Données projet'!$A$61:$I$81,9,0)</f>
        <v>4.8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182.99999999999986</v>
      </c>
      <c r="AJ78" s="14">
        <f>AI78*VLOOKUP('Données projet'!$B$10,Paramètres!$A$1:$I$89,3,0)*VLOOKUP('Données projet'!$B$10,Paramètres!$A$1:$I$89,5,0)</f>
        <v>185.56199999999987</v>
      </c>
      <c r="AK78" s="14">
        <f t="shared" si="89"/>
        <v>46.557428480028548</v>
      </c>
      <c r="AL78" s="22">
        <f t="shared" si="58"/>
        <v>404.27467126938285</v>
      </c>
      <c r="AM78" s="62">
        <f t="shared" si="59"/>
        <v>660.10694667978328</v>
      </c>
      <c r="AN78" s="62">
        <f ca="1">AVERAGE(OFFSET($AM$3,0,0,'Données projet'!$E$10+1,1))-AVERAGE(OFFSET($H$3,0,0,'Données projet'!$E$10+1,1))</f>
        <v>373.36760201946345</v>
      </c>
      <c r="AO78" s="62">
        <f t="shared" si="90"/>
        <v>198.19005615475365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81.961605366090254</v>
      </c>
      <c r="T79" s="62">
        <f t="shared" si="88"/>
        <v>408.41952129426909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27.332412485774551</v>
      </c>
      <c r="AA79" s="23">
        <f>EXP(-LN(2)/25)*AA78+(1-EXP(-LN(2)/25))/(LN(2)/25)*Calculateur!V79*Calculateur!X79*VLOOKUP('Données projet'!$B$9,Paramètres!$A$1:$I$89,3,0)*0.475*44/12</f>
        <v>4.1980122882672832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31.530424774041833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173.59999999999985</v>
      </c>
      <c r="AJ79" s="14">
        <f>AI79*VLOOKUP('Données projet'!$B$10,Paramètres!$A$1:$I$89,3,0)*VLOOKUP('Données projet'!$B$10,Paramètres!$A$1:$I$89,5,0)</f>
        <v>176.03039999999984</v>
      </c>
      <c r="AK79" s="14">
        <f t="shared" si="89"/>
        <v>44.437880346232902</v>
      </c>
      <c r="AL79" s="22">
        <f t="shared" si="58"/>
        <v>383.98225493635533</v>
      </c>
      <c r="AM79" s="62">
        <f t="shared" si="59"/>
        <v>640.46508986191316</v>
      </c>
      <c r="AN79" s="62">
        <f ca="1">AVERAGE(OFFSET($AM$3,0,0,'Données projet'!$E$10+1,1))-AVERAGE(OFFSET($H$3,0,0,'Données projet'!$E$10+1,1))</f>
        <v>373.36760201946345</v>
      </c>
      <c r="AO79" s="62">
        <f t="shared" si="90"/>
        <v>198.19005615475365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81.961605366090254</v>
      </c>
      <c r="T80" s="62">
        <f t="shared" si="88"/>
        <v>408.41952129426909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26.79644054805399</v>
      </c>
      <c r="AA80" s="23">
        <f>EXP(-LN(2)/25)*AA79+(1-EXP(-LN(2)/25))/(LN(2)/25)*Calculateur!V80*Calculateur!X80*VLOOKUP('Données projet'!$B$9,Paramètres!$A$1:$I$89,3,0)*0.475*44/12</f>
        <v>4.0832174214807431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30.879657969534733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178.19999999999985</v>
      </c>
      <c r="AJ80" s="14">
        <f>AI80*VLOOKUP('Données projet'!$B$10,Paramètres!$A$1:$I$89,3,0)*VLOOKUP('Données projet'!$B$10,Paramètres!$A$1:$I$89,5,0)</f>
        <v>180.69479999999984</v>
      </c>
      <c r="AK80" s="14">
        <f t="shared" si="89"/>
        <v>45.476731688663754</v>
      </c>
      <c r="AL80" s="22">
        <f t="shared" si="58"/>
        <v>393.91541769108909</v>
      </c>
      <c r="AM80" s="62">
        <f t="shared" si="59"/>
        <v>651.03752637864966</v>
      </c>
      <c r="AN80" s="62">
        <f ca="1">AVERAGE(OFFSET($AM$3,0,0,'Données projet'!$E$10+1,1))-AVERAGE(OFFSET($H$3,0,0,'Données projet'!$E$10+1,1))</f>
        <v>373.36760201946345</v>
      </c>
      <c r="AO80" s="62">
        <f t="shared" si="90"/>
        <v>198.19005615475365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81.961605366090254</v>
      </c>
      <c r="T81" s="62">
        <f t="shared" si="88"/>
        <v>408.41952129426909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26.270978693121528</v>
      </c>
      <c r="AA81" s="23">
        <f>EXP(-LN(2)/25)*AA80+(1-EXP(-LN(2)/25))/(LN(2)/25)*Calculateur!V81*Calculateur!X81*VLOOKUP('Données projet'!$B$9,Paramètres!$A$1:$I$89,3,0)*0.475*44/12</f>
        <v>3.9715616263632803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30.242540319484807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182.79999999999984</v>
      </c>
      <c r="AJ81" s="14">
        <f>AI81*VLOOKUP('Données projet'!$B$10,Paramètres!$A$1:$I$89,3,0)*VLOOKUP('Données projet'!$B$10,Paramètres!$A$1:$I$89,5,0)</f>
        <v>185.35919999999984</v>
      </c>
      <c r="AK81" s="14">
        <f t="shared" si="89"/>
        <v>46.51246589912639</v>
      </c>
      <c r="AL81" s="22">
        <f t="shared" si="58"/>
        <v>403.84315144097815</v>
      </c>
      <c r="AM81" s="62">
        <f t="shared" si="59"/>
        <v>661.59344391997263</v>
      </c>
      <c r="AN81" s="62">
        <f ca="1">AVERAGE(OFFSET($AM$3,0,0,'Données projet'!$E$10+1,1))-AVERAGE(OFFSET($H$3,0,0,'Données projet'!$E$10+1,1))</f>
        <v>373.36760201946345</v>
      </c>
      <c r="AO81" s="62">
        <f t="shared" si="90"/>
        <v>198.19005615475365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81.961605366090254</v>
      </c>
      <c r="T82" s="62">
        <f t="shared" si="88"/>
        <v>408.41952129426909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25.755820824664205</v>
      </c>
      <c r="AA82" s="23">
        <f>EXP(-LN(2)/25)*AA81+(1-EXP(-LN(2)/25))/(LN(2)/25)*Calculateur!V82*Calculateur!X82*VLOOKUP('Données projet'!$B$9,Paramètres!$A$1:$I$89,3,0)*0.475*44/12</f>
        <v>3.8629590648350276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29.618779889499233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187.39999999999984</v>
      </c>
      <c r="AJ82" s="14">
        <f>AI82*VLOOKUP('Données projet'!$B$10,Paramètres!$A$1:$I$89,3,0)*VLOOKUP('Données projet'!$B$10,Paramètres!$A$1:$I$89,5,0)</f>
        <v>190.02359999999985</v>
      </c>
      <c r="AK82" s="14">
        <f t="shared" si="89"/>
        <v>47.545170438433438</v>
      </c>
      <c r="AL82" s="22">
        <f t="shared" si="58"/>
        <v>413.7656085136046</v>
      </c>
      <c r="AM82" s="62">
        <f t="shared" si="59"/>
        <v>672.13318719966026</v>
      </c>
      <c r="AN82" s="62">
        <f ca="1">AVERAGE(OFFSET($AM$3,0,0,'Données projet'!$E$10+1,1))-AVERAGE(OFFSET($H$3,0,0,'Données projet'!$E$10+1,1))</f>
        <v>373.36760201946345</v>
      </c>
      <c r="AO82" s="62">
        <f t="shared" si="90"/>
        <v>198.19005615475365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81.961605366090254</v>
      </c>
      <c r="T83" s="62">
        <f t="shared" si="88"/>
        <v>408.41952129426909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25.250764887792059</v>
      </c>
      <c r="AA83" s="23">
        <f>EXP(-LN(2)/25)*AA82+(1-EXP(-LN(2)/25))/(LN(2)/25)*Calculateur!V83*Calculateur!X83*VLOOKUP('Données projet'!$B$9,Paramètres!$A$1:$I$89,3,0)*0.475*44/12</f>
        <v>3.7573262460629255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29.008091133854983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192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191.99999999999983</v>
      </c>
      <c r="AJ83" s="14">
        <f>AI83*VLOOKUP('Données projet'!$B$10,Paramètres!$A$1:$I$89,3,0)*VLOOKUP('Données projet'!$B$10,Paramètres!$A$1:$I$89,5,0)</f>
        <v>194.68799999999985</v>
      </c>
      <c r="AK83" s="14">
        <f t="shared" si="89"/>
        <v>48.574928228914935</v>
      </c>
      <c r="AL83" s="22">
        <f t="shared" si="58"/>
        <v>423.68293333202655</v>
      </c>
      <c r="AM83" s="62">
        <f t="shared" si="59"/>
        <v>682.65708968949616</v>
      </c>
      <c r="AN83" s="62">
        <f ca="1">AVERAGE(OFFSET($AM$3,0,0,'Données projet'!$E$10+1,1))-AVERAGE(OFFSET($H$3,0,0,'Données projet'!$E$10+1,1))</f>
        <v>373.36760201946345</v>
      </c>
      <c r="AO83" s="62">
        <f t="shared" si="90"/>
        <v>198.19005615475365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14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81.961605366090254</v>
      </c>
      <c r="T84" s="62">
        <f t="shared" si="88"/>
        <v>408.41952129426909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24.755612789788273</v>
      </c>
      <c r="AA84" s="23">
        <f>EXP(-LN(2)/25)*AA83+(1-EXP(-LN(2)/25))/(LN(2)/25)*Calculateur!V84*Calculateur!X84*VLOOKUP('Données projet'!$B$9,Paramètres!$A$1:$I$89,3,0)*0.475*44/12</f>
        <v>3.654581962275135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28.410194752063408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182.39999999999984</v>
      </c>
      <c r="AJ84" s="14">
        <f>AI84*VLOOKUP('Données projet'!$B$10,Paramètres!$A$1:$I$89,3,0)*VLOOKUP('Données projet'!$B$10,Paramètres!$A$1:$I$89,5,0)</f>
        <v>184.95359999999985</v>
      </c>
      <c r="AK84" s="14">
        <f t="shared" si="89"/>
        <v>46.422523550957948</v>
      </c>
      <c r="AL84" s="22">
        <f t="shared" si="58"/>
        <v>402.98008185125144</v>
      </c>
      <c r="AM84" s="62">
        <f t="shared" si="59"/>
        <v>662.55029311364024</v>
      </c>
      <c r="AN84" s="62">
        <f ca="1">AVERAGE(OFFSET($AM$3,0,0,'Données projet'!$E$10+1,1))-AVERAGE(OFFSET($H$3,0,0,'Données projet'!$E$10+1,1))</f>
        <v>373.36760201946345</v>
      </c>
      <c r="AO84" s="62">
        <f t="shared" si="90"/>
        <v>198.19005615475365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81.961605366090254</v>
      </c>
      <c r="T85" s="62">
        <f t="shared" si="88"/>
        <v>408.41952129426909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24.270170322413382</v>
      </c>
      <c r="AA85" s="23">
        <f>EXP(-LN(2)/25)*AA84+(1-EXP(-LN(2)/25))/(LN(2)/25)*Calculateur!V85*Calculateur!X85*VLOOKUP('Données projet'!$B$9,Paramètres!$A$1:$I$89,3,0)*0.475*44/12</f>
        <v>3.5546472263306086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27.82481754874399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186.79999999999984</v>
      </c>
      <c r="AJ85" s="14">
        <f>AI85*VLOOKUP('Données projet'!$B$10,Paramètres!$A$1:$I$89,3,0)*VLOOKUP('Données projet'!$B$10,Paramètres!$A$1:$I$89,5,0)</f>
        <v>189.41519999999986</v>
      </c>
      <c r="AK85" s="14">
        <f t="shared" si="89"/>
        <v>47.410638687430875</v>
      </c>
      <c r="AL85" s="22">
        <f t="shared" si="58"/>
        <v>412.47166904727516</v>
      </c>
      <c r="AM85" s="62">
        <f t="shared" si="59"/>
        <v>672.62759499456206</v>
      </c>
      <c r="AN85" s="62">
        <f ca="1">AVERAGE(OFFSET($AM$3,0,0,'Données projet'!$E$10+1,1))-AVERAGE(OFFSET($H$3,0,0,'Données projet'!$E$10+1,1))</f>
        <v>373.36760201946345</v>
      </c>
      <c r="AO85" s="62">
        <f t="shared" si="90"/>
        <v>198.19005615475365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81.961605366090254</v>
      </c>
      <c r="T86" s="62">
        <f t="shared" si="88"/>
        <v>408.41952129426909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23.794247085733044</v>
      </c>
      <c r="AA86" s="23">
        <f>EXP(-LN(2)/25)*AA85+(1-EXP(-LN(2)/25))/(LN(2)/25)*Calculateur!V86*Calculateur!X86*VLOOKUP('Données projet'!$B$9,Paramètres!$A$1:$I$89,3,0)*0.475*44/12</f>
        <v>3.4574452109958247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27.251692296728869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191.19999999999985</v>
      </c>
      <c r="AJ86" s="14">
        <f>AI86*VLOOKUP('Données projet'!$B$10,Paramètres!$A$1:$I$89,3,0)*VLOOKUP('Données projet'!$B$10,Paramètres!$A$1:$I$89,5,0)</f>
        <v>193.87679999999986</v>
      </c>
      <c r="AK86" s="14">
        <f t="shared" si="89"/>
        <v>48.396048099527562</v>
      </c>
      <c r="AL86" s="22">
        <f t="shared" si="58"/>
        <v>421.95854377334359</v>
      </c>
      <c r="AM86" s="62">
        <f t="shared" si="59"/>
        <v>682.69002356520753</v>
      </c>
      <c r="AN86" s="62">
        <f ca="1">AVERAGE(OFFSET($AM$3,0,0,'Données projet'!$E$10+1,1))-AVERAGE(OFFSET($H$3,0,0,'Données projet'!$E$10+1,1))</f>
        <v>373.36760201946345</v>
      </c>
      <c r="AO86" s="62">
        <f t="shared" si="90"/>
        <v>198.19005615475365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81.961605366090254</v>
      </c>
      <c r="T87" s="62">
        <f t="shared" si="88"/>
        <v>408.41952129426909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23.327656413439495</v>
      </c>
      <c r="AA87" s="23">
        <f>EXP(-LN(2)/25)*AA86+(1-EXP(-LN(2)/25))/(LN(2)/25)*Calculateur!V87*Calculateur!X87*VLOOKUP('Données projet'!$B$9,Paramètres!$A$1:$I$89,3,0)*0.475*44/12</f>
        <v>3.3629011898820025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26.690557603321498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195.59999999999985</v>
      </c>
      <c r="AJ87" s="14">
        <f>AI87*VLOOKUP('Données projet'!$B$10,Paramètres!$A$1:$I$89,3,0)*VLOOKUP('Données projet'!$B$10,Paramètres!$A$1:$I$89,5,0)</f>
        <v>198.33839999999987</v>
      </c>
      <c r="AK87" s="14">
        <f t="shared" si="89"/>
        <v>49.378821219958034</v>
      </c>
      <c r="AL87" s="22">
        <f t="shared" si="58"/>
        <v>431.44082695809334</v>
      </c>
      <c r="AM87" s="62">
        <f t="shared" si="59"/>
        <v>692.73787602207653</v>
      </c>
      <c r="AN87" s="62">
        <f ca="1">AVERAGE(OFFSET($AM$3,0,0,'Données projet'!$E$10+1,1))-AVERAGE(OFFSET($H$3,0,0,'Données projet'!$E$10+1,1))</f>
        <v>373.36760201946345</v>
      </c>
      <c r="AO87" s="62">
        <f t="shared" si="90"/>
        <v>198.19005615475365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81.961605366090254</v>
      </c>
      <c r="T88" s="62">
        <f t="shared" si="88"/>
        <v>408.41952129426909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22.870215299637415</v>
      </c>
      <c r="AA88" s="23">
        <f>EXP(-LN(2)/25)*AA87+(1-EXP(-LN(2)/25))/(LN(2)/25)*Calculateur!V88*Calculateur!X88*VLOOKUP('Données projet'!$B$9,Paramètres!$A$1:$I$89,3,0)*0.475*44/12</f>
        <v>3.2709424799973914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26.141157779634806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200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199.99999999999986</v>
      </c>
      <c r="AJ88" s="14">
        <f>AI88*VLOOKUP('Données projet'!$B$10,Paramètres!$A$1:$I$89,3,0)*VLOOKUP('Données projet'!$B$10,Paramètres!$A$1:$I$89,5,0)</f>
        <v>202.79999999999987</v>
      </c>
      <c r="AK88" s="14">
        <f t="shared" si="89"/>
        <v>50.359024179353973</v>
      </c>
      <c r="AL88" s="22">
        <f t="shared" si="58"/>
        <v>440.91863377904127</v>
      </c>
      <c r="AM88" s="62">
        <f t="shared" si="59"/>
        <v>702.77144075269587</v>
      </c>
      <c r="AN88" s="62">
        <f ca="1">AVERAGE(OFFSET($AM$3,0,0,'Données projet'!$E$10+1,1))-AVERAGE(OFFSET($H$3,0,0,'Données projet'!$E$10+1,1))</f>
        <v>373.36760201946345</v>
      </c>
      <c r="AO88" s="62">
        <f t="shared" si="90"/>
        <v>198.19005615475365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14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81.961605366090254</v>
      </c>
      <c r="T89" s="62">
        <f t="shared" si="88"/>
        <v>408.41952129426909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22.421744327065465</v>
      </c>
      <c r="AA89" s="23">
        <f>EXP(-LN(2)/25)*AA88+(1-EXP(-LN(2)/25))/(LN(2)/25)*Calculateur!V89*Calculateur!X89*VLOOKUP('Données projet'!$B$9,Paramètres!$A$1:$I$89,3,0)*0.475*44/12</f>
        <v>3.1814983858704737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25.603242712935938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4.2</v>
      </c>
      <c r="AI89" s="14">
        <f>IF('Données projet'!$A$62&gt;35,AI88+AH89-AQ88,IF(A89&lt;'Données projet'!$A$62,$AF$205^A89,IF(A89='Données projet'!$A$62,'Données projet'!$B$62,AI88+AH89-AQ88)))</f>
        <v>190.19999999999985</v>
      </c>
      <c r="AJ89" s="14">
        <f>AI89*VLOOKUP('Données projet'!$B$10,Paramètres!$A$1:$I$89,3,0)*VLOOKUP('Données projet'!$B$10,Paramètres!$A$1:$I$89,5,0)</f>
        <v>192.86279999999988</v>
      </c>
      <c r="AK89" s="14">
        <f t="shared" si="89"/>
        <v>48.172325347436733</v>
      </c>
      <c r="AL89" s="22">
        <f t="shared" si="58"/>
        <v>419.80284331345206</v>
      </c>
      <c r="AM89" s="62">
        <f t="shared" si="59"/>
        <v>682.20176703953371</v>
      </c>
      <c r="AN89" s="62">
        <f ca="1">AVERAGE(OFFSET($AM$3,0,0,'Données projet'!$E$10+1,1))-AVERAGE(OFFSET($H$3,0,0,'Données projet'!$E$10+1,1))</f>
        <v>373.36760201946345</v>
      </c>
      <c r="AO89" s="62">
        <f t="shared" si="90"/>
        <v>198.19005615475365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81.961605366090254</v>
      </c>
      <c r="T90" s="62">
        <f t="shared" si="88"/>
        <v>408.41952129426909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21.982067596725365</v>
      </c>
      <c r="AA90" s="23">
        <f>EXP(-LN(2)/25)*AA89+(1-EXP(-LN(2)/25))/(LN(2)/25)*Calculateur!V90*Calculateur!X90*VLOOKUP('Données projet'!$B$9,Paramètres!$A$1:$I$89,3,0)*0.475*44/12</f>
        <v>3.0945001452011169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25.076567741926482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4.2</v>
      </c>
      <c r="AI90" s="14">
        <f>IF('Données projet'!$A$62&gt;35,AI89+AH90-AQ89,IF(A90&lt;'Données projet'!$A$62,$AF$205^A90,IF(A90='Données projet'!$A$62,'Données projet'!$B$62,AI89+AH90-AQ89)))</f>
        <v>194.39999999999984</v>
      </c>
      <c r="AJ90" s="14">
        <f>AI90*VLOOKUP('Données projet'!$B$10,Paramètres!$A$1:$I$89,3,0)*VLOOKUP('Données projet'!$B$10,Paramètres!$A$1:$I$89,5,0)</f>
        <v>197.12159999999986</v>
      </c>
      <c r="AK90" s="14">
        <f t="shared" si="89"/>
        <v>49.111049803800405</v>
      </c>
      <c r="AL90" s="22">
        <f t="shared" si="58"/>
        <v>428.85519840828539</v>
      </c>
      <c r="AM90" s="62">
        <f t="shared" si="59"/>
        <v>691.79076498207382</v>
      </c>
      <c r="AN90" s="62">
        <f ca="1">AVERAGE(OFFSET($AM$3,0,0,'Données projet'!$E$10+1,1))-AVERAGE(OFFSET($H$3,0,0,'Données projet'!$E$10+1,1))</f>
        <v>373.36760201946345</v>
      </c>
      <c r="AO90" s="62">
        <f t="shared" si="90"/>
        <v>198.19005615475365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81.961605366090254</v>
      </c>
      <c r="T91" s="62">
        <f t="shared" si="88"/>
        <v>408.41952129426909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21.551012658890912</v>
      </c>
      <c r="AA91" s="23">
        <f>EXP(-LN(2)/25)*AA90+(1-EXP(-LN(2)/25))/(LN(2)/25)*Calculateur!V91*Calculateur!X91*VLOOKUP('Données projet'!$B$9,Paramètres!$A$1:$I$89,3,0)*0.475*44/12</f>
        <v>3.0098808759979025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24.560893534888812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4.2</v>
      </c>
      <c r="AI91" s="14">
        <f>IF('Données projet'!$A$62&gt;35,AI90+AH91-AQ90,IF(A91&lt;'Données projet'!$A$62,$AF$205^A91,IF(A91='Données projet'!$A$62,'Données projet'!$B$62,AI90+AH91-AQ90)))</f>
        <v>198.59999999999982</v>
      </c>
      <c r="AJ91" s="14">
        <f>AI91*VLOOKUP('Données projet'!$B$10,Paramètres!$A$1:$I$89,3,0)*VLOOKUP('Données projet'!$B$10,Paramètres!$A$1:$I$89,5,0)</f>
        <v>201.38039999999984</v>
      </c>
      <c r="AK91" s="14">
        <f t="shared" si="89"/>
        <v>50.047416314000095</v>
      </c>
      <c r="AL91" s="22">
        <f t="shared" si="58"/>
        <v>437.90344674688322</v>
      </c>
      <c r="AM91" s="62">
        <f t="shared" si="59"/>
        <v>701.36634661472431</v>
      </c>
      <c r="AN91" s="62">
        <f ca="1">AVERAGE(OFFSET($AM$3,0,0,'Données projet'!$E$10+1,1))-AVERAGE(OFFSET($H$3,0,0,'Données projet'!$E$10+1,1))</f>
        <v>373.36760201946345</v>
      </c>
      <c r="AO91" s="62">
        <f t="shared" si="90"/>
        <v>198.19005615475365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81.961605366090254</v>
      </c>
      <c r="T92" s="62">
        <f t="shared" si="88"/>
        <v>408.41952129426909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21.128410445469839</v>
      </c>
      <c r="AA92" s="23">
        <f>EXP(-LN(2)/25)*AA91+(1-EXP(-LN(2)/25))/(LN(2)/25)*Calculateur!V92*Calculateur!X92*VLOOKUP('Données projet'!$B$9,Paramètres!$A$1:$I$89,3,0)*0.475*44/12</f>
        <v>2.9275755251609836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24.055985970630822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4.2</v>
      </c>
      <c r="AI92" s="14">
        <f>IF('Données projet'!$A$62&gt;35,AI91+AH92-AQ91,IF(A92&lt;'Données projet'!$A$62,$AF$205^A92,IF(A92='Données projet'!$A$62,'Données projet'!$B$62,AI91+AH92-AQ91)))</f>
        <v>202.79999999999981</v>
      </c>
      <c r="AJ92" s="14">
        <f>AI92*VLOOKUP('Données projet'!$B$10,Paramètres!$A$1:$I$89,3,0)*VLOOKUP('Données projet'!$B$10,Paramètres!$A$1:$I$89,5,0)</f>
        <v>205.63919999999982</v>
      </c>
      <c r="AK92" s="14">
        <f t="shared" si="89"/>
        <v>50.981480488268076</v>
      </c>
      <c r="AL92" s="22">
        <f t="shared" si="58"/>
        <v>446.94768518373326</v>
      </c>
      <c r="AM92" s="62">
        <f t="shared" si="59"/>
        <v>710.92877029191573</v>
      </c>
      <c r="AN92" s="62">
        <f ca="1">AVERAGE(OFFSET($AM$3,0,0,'Données projet'!$E$10+1,1))-AVERAGE(OFFSET($H$3,0,0,'Données projet'!$E$10+1,1))</f>
        <v>373.36760201946345</v>
      </c>
      <c r="AO92" s="62">
        <f t="shared" si="90"/>
        <v>198.19005615475365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81.961605366090254</v>
      </c>
      <c r="T93" s="62">
        <f t="shared" si="88"/>
        <v>408.41952129426909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20.714095203692057</v>
      </c>
      <c r="AA93" s="23">
        <f>EXP(-LN(2)/25)*AA92+(1-EXP(-LN(2)/25))/(LN(2)/25)*Calculateur!V93*Calculateur!X93*VLOOKUP('Données projet'!$B$9,Paramètres!$A$1:$I$89,3,0)*0.475*44/12</f>
        <v>2.8475208184709508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23.561616022163008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207</v>
      </c>
      <c r="AG93" s="13">
        <f>VLOOKUP(A93,'Données projet'!$A$61:$I$81,9,0)</f>
        <v>4.2</v>
      </c>
      <c r="AH93" s="13">
        <f t="array" ref="AH93">INDEX(AG:AG,MIN(IF(ISNUMBER(AG93:AG289),ROW(AG93:AG289),"")))</f>
        <v>4.2</v>
      </c>
      <c r="AI93" s="14">
        <f>IF('Données projet'!$A$62&gt;35,AI92+AH93-AQ92,IF(A93&lt;'Données projet'!$A$62,$AF$205^A93,IF(A93='Données projet'!$A$62,'Données projet'!$B$62,AI92+AH93-AQ92)))</f>
        <v>206.9999999999998</v>
      </c>
      <c r="AJ93" s="14">
        <f>AI93*VLOOKUP('Données projet'!$B$10,Paramètres!$A$1:$I$89,3,0)*VLOOKUP('Données projet'!$B$10,Paramètres!$A$1:$I$89,5,0)</f>
        <v>209.8979999999998</v>
      </c>
      <c r="AK93" s="14">
        <f t="shared" si="89"/>
        <v>51.913295501810218</v>
      </c>
      <c r="AL93" s="22">
        <f t="shared" si="58"/>
        <v>455.98800633231912</v>
      </c>
      <c r="AM93" s="62">
        <f t="shared" si="59"/>
        <v>720.47828732541188</v>
      </c>
      <c r="AN93" s="62">
        <f ca="1">AVERAGE(OFFSET($AM$3,0,0,'Données projet'!$E$10+1,1))-AVERAGE(OFFSET($H$3,0,0,'Données projet'!$E$10+1,1))</f>
        <v>373.36760201946345</v>
      </c>
      <c r="AO93" s="62">
        <f t="shared" si="90"/>
        <v>198.19005615475365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14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81.961605366090254</v>
      </c>
      <c r="T94" s="62">
        <f t="shared" si="88"/>
        <v>408.41952129426909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20.307904431098191</v>
      </c>
      <c r="AA94" s="23">
        <f>EXP(-LN(2)/25)*AA93+(1-EXP(-LN(2)/25))/(LN(2)/25)*Calculateur!V94*Calculateur!X94*VLOOKUP('Données projet'!$B$9,Paramètres!$A$1:$I$89,3,0)*0.475*44/12</f>
        <v>2.7696552119452509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23.077559643043443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3.8</v>
      </c>
      <c r="AI94" s="14">
        <f>IF('Données projet'!$A$62&gt;35,AI93+AH94-AQ93,IF(A94&lt;'Données projet'!$A$62,$AF$205^A94,IF(A94='Données projet'!$A$62,'Données projet'!$B$62,AI93+AH94-AQ93)))</f>
        <v>196.79999999999981</v>
      </c>
      <c r="AJ94" s="14">
        <f>AI94*VLOOKUP('Données projet'!$B$10,Paramètres!$A$1:$I$89,3,0)*VLOOKUP('Données projet'!$B$10,Paramètres!$A$1:$I$89,5,0)</f>
        <v>199.55519999999984</v>
      </c>
      <c r="AK94" s="14">
        <f t="shared" si="89"/>
        <v>49.646401484745567</v>
      </c>
      <c r="AL94" s="22">
        <f t="shared" si="58"/>
        <v>434.02612258593155</v>
      </c>
      <c r="AM94" s="62">
        <f t="shared" si="59"/>
        <v>699.01676605372268</v>
      </c>
      <c r="AN94" s="62">
        <f ca="1">AVERAGE(OFFSET($AM$3,0,0,'Données projet'!$E$10+1,1))-AVERAGE(OFFSET($H$3,0,0,'Données projet'!$E$10+1,1))</f>
        <v>373.36760201946345</v>
      </c>
      <c r="AO94" s="62">
        <f t="shared" si="90"/>
        <v>198.19005615475365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81.961605366090254</v>
      </c>
      <c r="T95" s="62">
        <f t="shared" si="88"/>
        <v>408.41952129426909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19.909678811802983</v>
      </c>
      <c r="AA95" s="23">
        <f>EXP(-LN(2)/25)*AA94+(1-EXP(-LN(2)/25))/(LN(2)/25)*Calculateur!V95*Calculateur!X95*VLOOKUP('Données projet'!$B$9,Paramètres!$A$1:$I$89,3,0)*0.475*44/12</f>
        <v>2.6939188445247706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22.603597656327754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3.8</v>
      </c>
      <c r="AI95" s="14">
        <f>IF('Données projet'!$A$62&gt;35,AI94+AH95-AQ94,IF(A95&lt;'Données projet'!$A$62,$AF$205^A95,IF(A95='Données projet'!$A$62,'Données projet'!$B$62,AI94+AH95-AQ94)))</f>
        <v>200.59999999999982</v>
      </c>
      <c r="AJ95" s="14">
        <f>AI95*VLOOKUP('Données projet'!$B$10,Paramètres!$A$1:$I$89,3,0)*VLOOKUP('Données projet'!$B$10,Paramètres!$A$1:$I$89,5,0)</f>
        <v>203.40839999999986</v>
      </c>
      <c r="AK95" s="14">
        <f t="shared" si="89"/>
        <v>50.492492598976959</v>
      </c>
      <c r="AL95" s="22">
        <f t="shared" si="58"/>
        <v>442.21072127655128</v>
      </c>
      <c r="AM95" s="62">
        <f t="shared" si="59"/>
        <v>707.69304704874776</v>
      </c>
      <c r="AN95" s="62">
        <f ca="1">AVERAGE(OFFSET($AM$3,0,0,'Données projet'!$E$10+1,1))-AVERAGE(OFFSET($H$3,0,0,'Données projet'!$E$10+1,1))</f>
        <v>373.36760201946345</v>
      </c>
      <c r="AO95" s="62">
        <f t="shared" si="90"/>
        <v>198.19005615475365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81.961605366090254</v>
      </c>
      <c r="T96" s="62">
        <f t="shared" si="88"/>
        <v>408.41952129426909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19.519262154008512</v>
      </c>
      <c r="AA96" s="23">
        <f>EXP(-LN(2)/25)*AA95+(1-EXP(-LN(2)/25))/(LN(2)/25)*Calculateur!V96*Calculateur!X96*VLOOKUP('Données projet'!$B$9,Paramètres!$A$1:$I$89,3,0)*0.475*44/12</f>
        <v>2.6202534920542058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22.139515646062719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3.8</v>
      </c>
      <c r="AI96" s="14">
        <f>IF('Données projet'!$A$62&gt;35,AI95+AH96-AQ95,IF(A96&lt;'Données projet'!$A$62,$AF$205^A96,IF(A96='Données projet'!$A$62,'Données projet'!$B$62,AI95+AH96-AQ95)))</f>
        <v>204.39999999999984</v>
      </c>
      <c r="AJ96" s="14">
        <f>AI96*VLOOKUP('Données projet'!$B$10,Paramètres!$A$1:$I$89,3,0)*VLOOKUP('Données projet'!$B$10,Paramètres!$A$1:$I$89,5,0)</f>
        <v>207.26159999999985</v>
      </c>
      <c r="AK96" s="14">
        <f t="shared" si="89"/>
        <v>51.3367200324452</v>
      </c>
      <c r="AL96" s="22">
        <f t="shared" si="58"/>
        <v>450.39207405650836</v>
      </c>
      <c r="AM96" s="62">
        <f t="shared" si="59"/>
        <v>716.35755254436572</v>
      </c>
      <c r="AN96" s="62">
        <f ca="1">AVERAGE(OFFSET($AM$3,0,0,'Données projet'!$E$10+1,1))-AVERAGE(OFFSET($H$3,0,0,'Données projet'!$E$10+1,1))</f>
        <v>373.36760201946345</v>
      </c>
      <c r="AO96" s="62">
        <f t="shared" si="90"/>
        <v>198.19005615475365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81.961605366090254</v>
      </c>
      <c r="T97" s="62">
        <f t="shared" si="88"/>
        <v>408.41952129426909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19.136501328742742</v>
      </c>
      <c r="AA97" s="23">
        <f>EXP(-LN(2)/25)*AA96+(1-EXP(-LN(2)/25))/(LN(2)/25)*Calculateur!V97*Calculateur!X97*VLOOKUP('Données projet'!$B$9,Paramètres!$A$1:$I$89,3,0)*0.475*44/12</f>
        <v>2.5486025225208411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21.685103851263584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3.8</v>
      </c>
      <c r="AI97" s="14">
        <f>IF('Données projet'!$A$62&gt;35,AI96+AH97-AQ96,IF(A97&lt;'Données projet'!$A$62,$AF$205^A97,IF(A97='Données projet'!$A$62,'Données projet'!$B$62,AI96+AH97-AQ96)))</f>
        <v>208.19999999999985</v>
      </c>
      <c r="AJ97" s="14">
        <f>AI97*VLOOKUP('Données projet'!$B$10,Paramètres!$A$1:$I$89,3,0)*VLOOKUP('Données projet'!$B$10,Paramètres!$A$1:$I$89,5,0)</f>
        <v>211.11479999999986</v>
      </c>
      <c r="AK97" s="14">
        <f t="shared" si="89"/>
        <v>52.179122428493628</v>
      </c>
      <c r="AL97" s="22">
        <f t="shared" si="58"/>
        <v>458.57024822962609</v>
      </c>
      <c r="AM97" s="62">
        <f t="shared" si="59"/>
        <v>725.01049781369534</v>
      </c>
      <c r="AN97" s="62">
        <f ca="1">AVERAGE(OFFSET($AM$3,0,0,'Données projet'!$E$10+1,1))-AVERAGE(OFFSET($H$3,0,0,'Données projet'!$E$10+1,1))</f>
        <v>373.36760201946345</v>
      </c>
      <c r="AO97" s="62">
        <f t="shared" si="90"/>
        <v>198.19005615475365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81.961605366090254</v>
      </c>
      <c r="T98" s="62">
        <f t="shared" si="88"/>
        <v>408.41952129426909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18.761246209799381</v>
      </c>
      <c r="AA98" s="23">
        <f>EXP(-LN(2)/25)*AA97+(1-EXP(-LN(2)/25))/(LN(2)/25)*Calculateur!V98*Calculateur!X98*VLOOKUP('Données projet'!$B$9,Paramètres!$A$1:$I$89,3,0)*0.475*44/12</f>
        <v>2.4789108525173269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21.240157062316708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212</v>
      </c>
      <c r="AG98" s="13">
        <f>VLOOKUP(A98,'Données projet'!$A$61:$I$81,9,0)</f>
        <v>3.8</v>
      </c>
      <c r="AH98" s="13">
        <f t="array" ref="AH98">INDEX(AG:AG,MIN(IF(ISNUMBER(AG98:AG294),ROW(AG98:AG294),"")))</f>
        <v>3.8</v>
      </c>
      <c r="AI98" s="14">
        <f>IF('Données projet'!$A$62&gt;35,AI97+AH98-AQ97,IF(A98&lt;'Données projet'!$A$62,$AF$205^A98,IF(A98='Données projet'!$A$62,'Données projet'!$B$62,AI97+AH98-AQ97)))</f>
        <v>211.99999999999986</v>
      </c>
      <c r="AJ98" s="14">
        <f>AI98*VLOOKUP('Données projet'!$B$10,Paramètres!$A$1:$I$89,3,0)*VLOOKUP('Données projet'!$B$10,Paramètres!$A$1:$I$89,5,0)</f>
        <v>214.9679999999999</v>
      </c>
      <c r="AK98" s="14">
        <f t="shared" si="89"/>
        <v>53.019736939092994</v>
      </c>
      <c r="AL98" s="22">
        <f t="shared" si="58"/>
        <v>466.74530850225341</v>
      </c>
      <c r="AM98" s="62">
        <f t="shared" si="59"/>
        <v>733.65209296544435</v>
      </c>
      <c r="AN98" s="62">
        <f ca="1">AVERAGE(OFFSET($AM$3,0,0,'Données projet'!$E$10+1,1))-AVERAGE(OFFSET($H$3,0,0,'Données projet'!$E$10+1,1))</f>
        <v>373.36760201946345</v>
      </c>
      <c r="AO98" s="62">
        <f t="shared" si="90"/>
        <v>198.19005615475365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14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81.961605366090254</v>
      </c>
      <c r="T99" s="62">
        <f t="shared" si="88"/>
        <v>408.41952129426909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18.393349614855477</v>
      </c>
      <c r="AA99" s="23">
        <f>EXP(-LN(2)/25)*AA98+(1-EXP(-LN(2)/25))/(LN(2)/25)*Calculateur!V99*Calculateur!X99*VLOOKUP('Données projet'!$B$9,Paramètres!$A$1:$I$89,3,0)*0.475*44/12</f>
        <v>2.4111249048949843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20.80447451975046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3.6</v>
      </c>
      <c r="AI99" s="14">
        <f>IF('Données projet'!$A$62&gt;35,AI98+AH99-AQ98,IF(A99&lt;'Données projet'!$A$62,$AF$205^A99,IF(A99='Données projet'!$A$62,'Données projet'!$B$62,AI98+AH99-AQ98)))</f>
        <v>201.59999999999985</v>
      </c>
      <c r="AJ99" s="14">
        <f>AI99*VLOOKUP('Données projet'!$B$10,Paramètres!$A$1:$I$89,3,0)*VLOOKUP('Données projet'!$B$10,Paramètres!$A$1:$I$89,5,0)</f>
        <v>204.42239999999987</v>
      </c>
      <c r="AK99" s="14">
        <f t="shared" si="89"/>
        <v>50.714836797527262</v>
      </c>
      <c r="AL99" s="22">
        <f t="shared" si="58"/>
        <v>444.36402075569305</v>
      </c>
      <c r="AM99" s="62">
        <f t="shared" si="59"/>
        <v>711.72924676086859</v>
      </c>
      <c r="AN99" s="62">
        <f ca="1">AVERAGE(OFFSET($AM$3,0,0,'Données projet'!$E$10+1,1))-AVERAGE(OFFSET($H$3,0,0,'Données projet'!$E$10+1,1))</f>
        <v>373.36760201946345</v>
      </c>
      <c r="AO99" s="62">
        <f t="shared" si="90"/>
        <v>198.19005615475365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81.961605366090254</v>
      </c>
      <c r="T100" s="62">
        <f t="shared" si="88"/>
        <v>408.41952129426909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18.03266724774366</v>
      </c>
      <c r="AA100" s="23">
        <f>EXP(-LN(2)/25)*AA99+(1-EXP(-LN(2)/25))/(LN(2)/25)*Calculateur!V100*Calculateur!X100*VLOOKUP('Données projet'!$B$9,Paramètres!$A$1:$I$89,3,0)*0.475*44/12</f>
        <v>2.3451925675750829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20.377859815318743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3.6</v>
      </c>
      <c r="AI100" s="14">
        <f>IF('Données projet'!$A$62&gt;35,AI99+AH100-AQ99,IF(A100&lt;'Données projet'!$A$62,$AF$205^A100,IF(A100='Données projet'!$A$62,'Données projet'!$B$62,AI99+AH100-AQ99)))</f>
        <v>205.19999999999985</v>
      </c>
      <c r="AJ100" s="14">
        <f>AI100*VLOOKUP('Données projet'!$B$10,Paramètres!$A$1:$I$89,3,0)*VLOOKUP('Données projet'!$B$10,Paramètres!$A$1:$I$89,5,0)</f>
        <v>208.07279999999986</v>
      </c>
      <c r="AK100" s="14">
        <f t="shared" si="89"/>
        <v>51.514218302854317</v>
      </c>
      <c r="AL100" s="22">
        <f t="shared" si="58"/>
        <v>452.114056877471</v>
      </c>
      <c r="AM100" s="62">
        <f t="shared" si="59"/>
        <v>719.92977148879959</v>
      </c>
      <c r="AN100" s="62">
        <f ca="1">AVERAGE(OFFSET($AM$3,0,0,'Données projet'!$E$10+1,1))-AVERAGE(OFFSET($H$3,0,0,'Données projet'!$E$10+1,1))</f>
        <v>373.36760201946345</v>
      </c>
      <c r="AO100" s="62">
        <f t="shared" si="90"/>
        <v>198.19005615475365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81.961605366090254</v>
      </c>
      <c r="T101" s="62">
        <f t="shared" si="88"/>
        <v>408.41952129426909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17.679057641856382</v>
      </c>
      <c r="AA101" s="23">
        <f>EXP(-LN(2)/25)*AA100+(1-EXP(-LN(2)/25))/(LN(2)/25)*Calculateur!V101*Calculateur!X101*VLOOKUP('Données projet'!$B$9,Paramètres!$A$1:$I$89,3,0)*0.475*44/12</f>
        <v>2.281063153486425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19.960120795342807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3.6</v>
      </c>
      <c r="AI101" s="14">
        <f>IF('Données projet'!$A$62&gt;35,AI100+AH101-AQ100,IF(A101&lt;'Données projet'!$A$62,$AF$205^A101,IF(A101='Données projet'!$A$62,'Données projet'!$B$62,AI100+AH101-AQ100)))</f>
        <v>208.79999999999984</v>
      </c>
      <c r="AJ101" s="14">
        <f>AI101*VLOOKUP('Données projet'!$B$10,Paramètres!$A$1:$I$89,3,0)*VLOOKUP('Données projet'!$B$10,Paramètres!$A$1:$I$89,5,0)</f>
        <v>211.72319999999988</v>
      </c>
      <c r="AK101" s="14">
        <f t="shared" si="89"/>
        <v>52.311968964212028</v>
      </c>
      <c r="AL101" s="22">
        <f t="shared" si="58"/>
        <v>459.86125261266903</v>
      </c>
      <c r="AM101" s="62">
        <f t="shared" si="59"/>
        <v>728.11964085997533</v>
      </c>
      <c r="AN101" s="62">
        <f ca="1">AVERAGE(OFFSET($AM$3,0,0,'Données projet'!$E$10+1,1))-AVERAGE(OFFSET($H$3,0,0,'Données projet'!$E$10+1,1))</f>
        <v>373.36760201946345</v>
      </c>
      <c r="AO101" s="62">
        <f t="shared" si="90"/>
        <v>198.19005615475365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81.961605366090254</v>
      </c>
      <c r="T102" s="62">
        <f t="shared" si="88"/>
        <v>408.41952129426909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17.332382104659992</v>
      </c>
      <c r="AA102" s="23">
        <f>EXP(-LN(2)/25)*AA101+(1-EXP(-LN(2)/25))/(LN(2)/25)*Calculateur!V102*Calculateur!X102*VLOOKUP('Données projet'!$B$9,Paramètres!$A$1:$I$89,3,0)*0.475*44/12</f>
        <v>2.218687361598441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19.551069466258433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3.6</v>
      </c>
      <c r="AI102" s="14">
        <f>IF('Données projet'!$A$62&gt;35,AI101+AH102-AQ101,IF(A102&lt;'Données projet'!$A$62,$AF$205^A102,IF(A102='Données projet'!$A$62,'Données projet'!$B$62,AI101+AH102-AQ101)))</f>
        <v>212.39999999999984</v>
      </c>
      <c r="AJ102" s="14">
        <f>AI102*VLOOKUP('Données projet'!$B$10,Paramètres!$A$1:$I$89,3,0)*VLOOKUP('Données projet'!$B$10,Paramètres!$A$1:$I$89,5,0)</f>
        <v>215.37359999999984</v>
      </c>
      <c r="AK102" s="14">
        <f t="shared" si="89"/>
        <v>53.108120144188867</v>
      </c>
      <c r="AL102" s="22">
        <f t="shared" si="58"/>
        <v>467.60566258446198</v>
      </c>
      <c r="AM102" s="62">
        <f t="shared" si="59"/>
        <v>736.29904506983189</v>
      </c>
      <c r="AN102" s="62">
        <f ca="1">AVERAGE(OFFSET($AM$3,0,0,'Données projet'!$E$10+1,1))-AVERAGE(OFFSET($H$3,0,0,'Données projet'!$E$10+1,1))</f>
        <v>373.36760201946345</v>
      </c>
      <c r="AO102" s="62">
        <f t="shared" si="90"/>
        <v>198.19005615475365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81.961605366090254</v>
      </c>
      <c r="T103" s="62">
        <f t="shared" si="88"/>
        <v>408.41952129426909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16.992504663296824</v>
      </c>
      <c r="AA103" s="23">
        <f>EXP(-LN(2)/25)*AA102+(1-EXP(-LN(2)/25))/(LN(2)/25)*Calculateur!V103*Calculateur!X103*VLOOKUP('Données projet'!$B$9,Paramètres!$A$1:$I$89,3,0)*0.475*44/12</f>
        <v>2.1580172390198342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19.150521902316658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216</v>
      </c>
      <c r="AG103" s="13">
        <f>VLOOKUP(A103,'Données projet'!$A$61:$I$81,9,0)</f>
        <v>3.6</v>
      </c>
      <c r="AH103" s="13">
        <f t="array" ref="AH103">INDEX(AG:AG,MIN(IF(ISNUMBER(AG103:AG299),ROW(AG103:AG299),"")))</f>
        <v>3.6</v>
      </c>
      <c r="AI103" s="14">
        <f>IF('Données projet'!$A$62&gt;35,AI102+AH103-AQ102,IF(A103&lt;'Données projet'!$A$62,$AF$205^A103,IF(A103='Données projet'!$A$62,'Données projet'!$B$62,AI102+AH103-AQ102)))</f>
        <v>215.99999999999983</v>
      </c>
      <c r="AJ103" s="14">
        <f>AI103*VLOOKUP('Données projet'!$B$10,Paramètres!$A$1:$I$89,3,0)*VLOOKUP('Données projet'!$B$10,Paramètres!$A$1:$I$89,5,0)</f>
        <v>219.02399999999983</v>
      </c>
      <c r="AK103" s="14">
        <f t="shared" si="89"/>
        <v>53.902702081308306</v>
      </c>
      <c r="AL103" s="22">
        <f t="shared" si="58"/>
        <v>475.34733945827821</v>
      </c>
      <c r="AM103" s="62">
        <f t="shared" si="59"/>
        <v>744.46817000418287</v>
      </c>
      <c r="AN103" s="62">
        <f ca="1">AVERAGE(OFFSET($AM$3,0,0,'Données projet'!$E$10+1,1))-AVERAGE(OFFSET($H$3,0,0,'Données projet'!$E$10+1,1))</f>
        <v>373.36760201946345</v>
      </c>
      <c r="AO103" s="62">
        <f t="shared" si="90"/>
        <v>198.19005615475365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13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81.961605366090254</v>
      </c>
      <c r="T104" s="62">
        <f t="shared" si="88"/>
        <v>408.41952129426909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16.659292011254017</v>
      </c>
      <c r="AA104" s="23">
        <f>EXP(-LN(2)/25)*AA103+(1-EXP(-LN(2)/25))/(LN(2)/25)*Calculateur!V104*Calculateur!X104*VLOOKUP('Données projet'!$B$9,Paramètres!$A$1:$I$89,3,0)*0.475*44/12</f>
        <v>2.0990061441336425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18.75829815538766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3.4</v>
      </c>
      <c r="AI104" s="14">
        <f>IF('Données projet'!$A$62&gt;35,AI103+AH104-AQ103,IF(A104&lt;'Données projet'!$A$62,$AF$205^A104,IF(A104='Données projet'!$A$62,'Données projet'!$B$62,AI103+AH104-AQ103)))</f>
        <v>206.39999999999984</v>
      </c>
      <c r="AJ104" s="14">
        <f>AI104*VLOOKUP('Données projet'!$B$10,Paramètres!$A$1:$I$89,3,0)*VLOOKUP('Données projet'!$B$10,Paramètres!$A$1:$I$89,5,0)</f>
        <v>209.28959999999987</v>
      </c>
      <c r="AK104" s="14">
        <f t="shared" si="89"/>
        <v>51.780314822292169</v>
      </c>
      <c r="AL104" s="22">
        <f t="shared" si="58"/>
        <v>454.69676831549197</v>
      </c>
      <c r="AM104" s="62">
        <f t="shared" si="59"/>
        <v>724.23763165371167</v>
      </c>
      <c r="AN104" s="62">
        <f ca="1">AVERAGE(OFFSET($AM$3,0,0,'Données projet'!$E$10+1,1))-AVERAGE(OFFSET($H$3,0,0,'Données projet'!$E$10+1,1))</f>
        <v>373.36760201946345</v>
      </c>
      <c r="AO104" s="62">
        <f t="shared" si="90"/>
        <v>198.19005615475365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81.961605366090254</v>
      </c>
      <c r="T105" s="62">
        <f t="shared" si="88"/>
        <v>408.41952129426909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16.332613456078121</v>
      </c>
      <c r="AA105" s="23">
        <f>EXP(-LN(2)/25)*AA104+(1-EXP(-LN(2)/25))/(LN(2)/25)*Calculateur!V105*Calculateur!X105*VLOOKUP('Données projet'!$B$9,Paramètres!$A$1:$I$89,3,0)*0.475*44/12</f>
        <v>2.0416087107403724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18.374222166818495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3.4</v>
      </c>
      <c r="AI105" s="14">
        <f>IF('Données projet'!$A$62&gt;35,AI104+AH105-AQ104,IF(A105&lt;'Données projet'!$A$62,$AF$205^A105,IF(A105='Données projet'!$A$62,'Données projet'!$B$62,AI104+AH105-AQ104)))</f>
        <v>209.79999999999984</v>
      </c>
      <c r="AJ105" s="14">
        <f>AI105*VLOOKUP('Données projet'!$B$10,Paramètres!$A$1:$I$89,3,0)*VLOOKUP('Données projet'!$B$10,Paramètres!$A$1:$I$89,5,0)</f>
        <v>212.73719999999983</v>
      </c>
      <c r="AK105" s="14">
        <f t="shared" si="89"/>
        <v>52.533281199481387</v>
      </c>
      <c r="AL105" s="22">
        <f t="shared" si="58"/>
        <v>462.01275475576307</v>
      </c>
      <c r="AM105" s="62">
        <f t="shared" si="59"/>
        <v>731.96636425640384</v>
      </c>
      <c r="AN105" s="62">
        <f ca="1">AVERAGE(OFFSET($AM$3,0,0,'Données projet'!$E$10+1,1))-AVERAGE(OFFSET($H$3,0,0,'Données projet'!$E$10+1,1))</f>
        <v>373.36760201946345</v>
      </c>
      <c r="AO105" s="62">
        <f t="shared" si="90"/>
        <v>198.19005615475365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81.961605366090254</v>
      </c>
      <c r="T106" s="62">
        <f t="shared" si="88"/>
        <v>408.41952129426909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16.012340868114979</v>
      </c>
      <c r="AA106" s="23">
        <f>EXP(-LN(2)/25)*AA105+(1-EXP(-LN(2)/25))/(LN(2)/25)*Calculateur!V106*Calculateur!X106*VLOOKUP('Données projet'!$B$9,Paramètres!$A$1:$I$89,3,0)*0.475*44/12</f>
        <v>1.985780813181641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17.99812168129662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3.4</v>
      </c>
      <c r="AI106" s="14">
        <f>IF('Données projet'!$A$62&gt;35,AI105+AH106-AQ105,IF(A106&lt;'Données projet'!$A$62,$AF$205^A106,IF(A106='Données projet'!$A$62,'Données projet'!$B$62,AI105+AH106-AQ105)))</f>
        <v>213.19999999999985</v>
      </c>
      <c r="AJ106" s="14">
        <f>AI106*VLOOKUP('Données projet'!$B$10,Paramètres!$A$1:$I$89,3,0)*VLOOKUP('Données projet'!$B$10,Paramètres!$A$1:$I$89,5,0)</f>
        <v>216.18479999999985</v>
      </c>
      <c r="AK106" s="14">
        <f t="shared" si="89"/>
        <v>53.284828478170326</v>
      </c>
      <c r="AL106" s="22">
        <f t="shared" si="58"/>
        <v>469.32626959947976</v>
      </c>
      <c r="AM106" s="62">
        <f t="shared" si="59"/>
        <v>739.68546503938569</v>
      </c>
      <c r="AN106" s="62">
        <f ca="1">AVERAGE(OFFSET($AM$3,0,0,'Données projet'!$E$10+1,1))-AVERAGE(OFFSET($H$3,0,0,'Données projet'!$E$10+1,1))</f>
        <v>373.36760201946345</v>
      </c>
      <c r="AO106" s="62">
        <f t="shared" si="90"/>
        <v>198.19005615475365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81.961605366090254</v>
      </c>
      <c r="T107" s="62">
        <f t="shared" si="88"/>
        <v>408.41952129426909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15.698348630254806</v>
      </c>
      <c r="AA107" s="23">
        <f>EXP(-LN(2)/25)*AA106+(1-EXP(-LN(2)/25))/(LN(2)/25)*Calculateur!V107*Calculateur!X107*VLOOKUP('Données projet'!$B$9,Paramètres!$A$1:$I$89,3,0)*0.475*44/12</f>
        <v>1.9314795324175147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17.629828162672322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3.4</v>
      </c>
      <c r="AI107" s="14">
        <f>IF('Données projet'!$A$62&gt;35,AI106+AH107-AQ106,IF(A107&lt;'Données projet'!$A$62,$AF$205^A107,IF(A107='Données projet'!$A$62,'Données projet'!$B$62,AI106+AH107-AQ106)))</f>
        <v>216.59999999999985</v>
      </c>
      <c r="AJ107" s="14">
        <f>AI107*VLOOKUP('Données projet'!$B$10,Paramètres!$A$1:$I$89,3,0)*VLOOKUP('Données projet'!$B$10,Paramètres!$A$1:$I$89,5,0)</f>
        <v>219.63239999999988</v>
      </c>
      <c r="AK107" s="14">
        <f t="shared" si="89"/>
        <v>54.034981902357458</v>
      </c>
      <c r="AL107" s="22">
        <f t="shared" si="58"/>
        <v>476.63735681327233</v>
      </c>
      <c r="AM107" s="62">
        <f t="shared" si="59"/>
        <v>747.39510218315161</v>
      </c>
      <c r="AN107" s="62">
        <f ca="1">AVERAGE(OFFSET($AM$3,0,0,'Données projet'!$E$10+1,1))-AVERAGE(OFFSET($H$3,0,0,'Données projet'!$E$10+1,1))</f>
        <v>373.36760201946345</v>
      </c>
      <c r="AO107" s="62">
        <f t="shared" si="90"/>
        <v>198.19005615475365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81.961605366090254</v>
      </c>
      <c r="T108" s="62">
        <f t="shared" si="88"/>
        <v>408.41952129426909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15.390513588662715</v>
      </c>
      <c r="AA108" s="23">
        <f>EXP(-LN(2)/25)*AA107+(1-EXP(-LN(2)/25))/(LN(2)/25)*Calculateur!V108*Calculateur!X108*VLOOKUP('Données projet'!$B$9,Paramètres!$A$1:$I$89,3,0)*0.475*44/12</f>
        <v>1.8786631230314637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17.269176711694179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220</v>
      </c>
      <c r="AG108" s="13">
        <f>VLOOKUP(A108,'Données projet'!$A$61:$I$81,9,0)</f>
        <v>3.4</v>
      </c>
      <c r="AH108" s="13">
        <f t="array" ref="AH108">INDEX(AG:AG,MIN(IF(ISNUMBER(AG108:AG304),ROW(AG108:AG304),"")))</f>
        <v>3.4</v>
      </c>
      <c r="AI108" s="14">
        <f>IF('Données projet'!$A$62&gt;35,AI107+AH108-AQ107,IF(A108&lt;'Données projet'!$A$62,$AF$205^A108,IF(A108='Données projet'!$A$62,'Données projet'!$B$62,AI107+AH108-AQ107)))</f>
        <v>219.99999999999986</v>
      </c>
      <c r="AJ108" s="14">
        <f>AI108*VLOOKUP('Données projet'!$B$10,Paramètres!$A$1:$I$89,3,0)*VLOOKUP('Données projet'!$B$10,Paramètres!$A$1:$I$89,5,0)</f>
        <v>223.07999999999987</v>
      </c>
      <c r="AK108" s="14">
        <f t="shared" si="89"/>
        <v>54.783765878062617</v>
      </c>
      <c r="AL108" s="22">
        <f t="shared" si="58"/>
        <v>483.94605890429216</v>
      </c>
      <c r="AM108" s="62">
        <f t="shared" si="59"/>
        <v>755.09544025388391</v>
      </c>
      <c r="AN108" s="62">
        <f ca="1">AVERAGE(OFFSET($AM$3,0,0,'Données projet'!$E$10+1,1))-AVERAGE(OFFSET($H$3,0,0,'Données projet'!$E$10+1,1))</f>
        <v>373.36760201946345</v>
      </c>
      <c r="AO108" s="62">
        <f t="shared" si="90"/>
        <v>198.19005615475365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13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81.961605366090254</v>
      </c>
      <c r="T109" s="62">
        <f t="shared" si="88"/>
        <v>408.41952129426909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15.088715004475411</v>
      </c>
      <c r="AA109" s="23">
        <f>EXP(-LN(2)/25)*AA108+(1-EXP(-LN(2)/25))/(LN(2)/25)*Calculateur!V109*Calculateur!X109*VLOOKUP('Données projet'!$B$9,Paramètres!$A$1:$I$89,3,0)*0.475*44/12</f>
        <v>1.8272909811375684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16.91600598561298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</v>
      </c>
      <c r="AI109" s="14">
        <f>IF('Données projet'!$A$62&gt;35,AI108+AH109-AQ108,IF(A109&lt;'Données projet'!$A$62,$AF$205^A109,IF(A109='Données projet'!$A$62,'Données projet'!$B$62,AI108+AH109-AQ108)))</f>
        <v>209.99999999999986</v>
      </c>
      <c r="AJ109" s="14">
        <f>AI109*VLOOKUP('Données projet'!$B$10,Paramètres!$A$1:$I$89,3,0)*VLOOKUP('Données projet'!$B$10,Paramètres!$A$1:$I$89,5,0)</f>
        <v>212.93999999999988</v>
      </c>
      <c r="AK109" s="14">
        <f t="shared" si="89"/>
        <v>52.577528895212815</v>
      </c>
      <c r="AL109" s="22">
        <f t="shared" si="58"/>
        <v>462.44302949249544</v>
      </c>
      <c r="AM109" s="62">
        <f t="shared" si="59"/>
        <v>733.97725281311841</v>
      </c>
      <c r="AN109" s="62">
        <f ca="1">AVERAGE(OFFSET($AM$3,0,0,'Données projet'!$E$10+1,1))-AVERAGE(OFFSET($H$3,0,0,'Données projet'!$E$10+1,1))</f>
        <v>373.36760201946345</v>
      </c>
      <c r="AO109" s="62">
        <f t="shared" si="90"/>
        <v>198.19005615475365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81.961605366090254</v>
      </c>
      <c r="T110" s="62">
        <f t="shared" si="88"/>
        <v>408.41952129426909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14.792834506445059</v>
      </c>
      <c r="AA110" s="23">
        <f>EXP(-LN(2)/25)*AA109+(1-EXP(-LN(2)/25))/(LN(2)/25)*Calculateur!V110*Calculateur!X110*VLOOKUP('Données projet'!$B$9,Paramètres!$A$1:$I$89,3,0)*0.475*44/12</f>
        <v>1.7773236131653052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16.570158119610365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</v>
      </c>
      <c r="AI110" s="14">
        <f>IF('Données projet'!$A$62&gt;35,AI109+AH110-AQ109,IF(A110&lt;'Données projet'!$A$62,$AF$205^A110,IF(A110='Données projet'!$A$62,'Données projet'!$B$62,AI109+AH110-AQ109)))</f>
        <v>212.99999999999986</v>
      </c>
      <c r="AJ110" s="14">
        <f>AI110*VLOOKUP('Données projet'!$B$10,Paramètres!$A$1:$I$89,3,0)*VLOOKUP('Données projet'!$B$10,Paramètres!$A$1:$I$89,5,0)</f>
        <v>215.98199999999986</v>
      </c>
      <c r="AK110" s="14">
        <f t="shared" si="89"/>
        <v>53.240658641504993</v>
      </c>
      <c r="AL110" s="22">
        <f t="shared" si="58"/>
        <v>468.89613046728755</v>
      </c>
      <c r="AM110" s="62">
        <f t="shared" si="59"/>
        <v>740.80851961112216</v>
      </c>
      <c r="AN110" s="62">
        <f ca="1">AVERAGE(OFFSET($AM$3,0,0,'Données projet'!$E$10+1,1))-AVERAGE(OFFSET($H$3,0,0,'Données projet'!$E$10+1,1))</f>
        <v>373.36760201946345</v>
      </c>
      <c r="AO110" s="62">
        <f t="shared" si="90"/>
        <v>198.19005615475365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81.961605366090254</v>
      </c>
      <c r="T111" s="62">
        <f t="shared" si="88"/>
        <v>408.41952129426909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14.502756044511798</v>
      </c>
      <c r="AA111" s="23">
        <f>EXP(-LN(2)/25)*AA110+(1-EXP(-LN(2)/25))/(LN(2)/25)*Calculateur!V111*Calculateur!X111*VLOOKUP('Données projet'!$B$9,Paramètres!$A$1:$I$89,3,0)*0.475*44/12</f>
        <v>1.7287226054979132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16.231478650009713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</v>
      </c>
      <c r="AI111" s="14">
        <f>IF('Données projet'!$A$62&gt;35,AI110+AH111-AQ110,IF(A111&lt;'Données projet'!$A$62,$AF$205^A111,IF(A111='Données projet'!$A$62,'Données projet'!$B$62,AI110+AH111-AQ110)))</f>
        <v>215.99999999999986</v>
      </c>
      <c r="AJ111" s="14">
        <f>AI111*VLOOKUP('Données projet'!$B$10,Paramètres!$A$1:$I$89,3,0)*VLOOKUP('Données projet'!$B$10,Paramètres!$A$1:$I$89,5,0)</f>
        <v>219.02399999999989</v>
      </c>
      <c r="AK111" s="14">
        <f t="shared" si="89"/>
        <v>53.902702081308306</v>
      </c>
      <c r="AL111" s="22">
        <f t="shared" si="58"/>
        <v>475.34733945827838</v>
      </c>
      <c r="AM111" s="62">
        <f t="shared" si="59"/>
        <v>747.63133409374404</v>
      </c>
      <c r="AN111" s="62">
        <f ca="1">AVERAGE(OFFSET($AM$3,0,0,'Données projet'!$E$10+1,1))-AVERAGE(OFFSET($H$3,0,0,'Données projet'!$E$10+1,1))</f>
        <v>373.36760201946345</v>
      </c>
      <c r="AO111" s="62">
        <f t="shared" si="90"/>
        <v>198.19005615475365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81.961605366090254</v>
      </c>
      <c r="T112" s="62">
        <f t="shared" si="88"/>
        <v>408.41952129426909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14.218365844286659</v>
      </c>
      <c r="AA112" s="23">
        <f>EXP(-LN(2)/25)*AA111+(1-EXP(-LN(2)/25))/(LN(2)/25)*Calculateur!V112*Calculateur!X112*VLOOKUP('Données projet'!$B$9,Paramètres!$A$1:$I$89,3,0)*0.475*44/12</f>
        <v>1.6814505949410021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15.89981643922766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</v>
      </c>
      <c r="AI112" s="14">
        <f>IF('Données projet'!$A$62&gt;35,AI111+AH112-AQ111,IF(A112&lt;'Données projet'!$A$62,$AF$205^A112,IF(A112='Données projet'!$A$62,'Données projet'!$B$62,AI111+AH112-AQ111)))</f>
        <v>218.99999999999986</v>
      </c>
      <c r="AJ112" s="14">
        <f>AI112*VLOOKUP('Données projet'!$B$10,Paramètres!$A$1:$I$89,3,0)*VLOOKUP('Données projet'!$B$10,Paramètres!$A$1:$I$89,5,0)</f>
        <v>222.06599999999986</v>
      </c>
      <c r="AK112" s="14">
        <f t="shared" si="89"/>
        <v>54.563676045889295</v>
      </c>
      <c r="AL112" s="22">
        <f t="shared" si="58"/>
        <v>481.79668577992356</v>
      </c>
      <c r="AM112" s="62">
        <f t="shared" si="59"/>
        <v>754.44583938252595</v>
      </c>
      <c r="AN112" s="62">
        <f ca="1">AVERAGE(OFFSET($AM$3,0,0,'Données projet'!$E$10+1,1))-AVERAGE(OFFSET($H$3,0,0,'Données projet'!$E$10+1,1))</f>
        <v>373.36760201946345</v>
      </c>
      <c r="AO112" s="62">
        <f t="shared" si="90"/>
        <v>198.19005615475365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81.961605366090254</v>
      </c>
      <c r="T113" s="62">
        <f t="shared" si="88"/>
        <v>408.41952129426909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13.939552362427039</v>
      </c>
      <c r="AA113" s="23">
        <f>EXP(-LN(2)/25)*AA112+(1-EXP(-LN(2)/25))/(LN(2)/25)*Calculateur!V113*Calculateur!X113*VLOOKUP('Données projet'!$B$9,Paramètres!$A$1:$I$89,3,0)*0.475*44/12</f>
        <v>1.6354712399986966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15.575023602425736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222</v>
      </c>
      <c r="AG113" s="13">
        <f>VLOOKUP(A113,'Données projet'!$A$61:$I$81,9,0)</f>
        <v>3</v>
      </c>
      <c r="AH113" s="13">
        <f t="array" ref="AH113">INDEX(AG:AG,MIN(IF(ISNUMBER(AG113:AG309),ROW(AG113:AG309),"")))</f>
        <v>3</v>
      </c>
      <c r="AI113" s="14">
        <f>IF('Données projet'!$A$62&gt;35,AI112+AH113-AQ112,IF(A113&lt;'Données projet'!$A$62,$AF$205^A113,IF(A113='Données projet'!$A$62,'Données projet'!$B$62,AI112+AH113-AQ112)))</f>
        <v>221.99999999999986</v>
      </c>
      <c r="AJ113" s="14">
        <f>AI113*VLOOKUP('Données projet'!$B$10,Paramètres!$A$1:$I$89,3,0)*VLOOKUP('Données projet'!$B$10,Paramètres!$A$1:$I$89,5,0)</f>
        <v>225.10799999999989</v>
      </c>
      <c r="AK113" s="14">
        <f t="shared" si="89"/>
        <v>55.223596878889587</v>
      </c>
      <c r="AL113" s="22">
        <f t="shared" si="58"/>
        <v>488.24419789739909</v>
      </c>
      <c r="AM113" s="62">
        <f t="shared" si="59"/>
        <v>761.2521757754314</v>
      </c>
      <c r="AN113" s="62">
        <f ca="1">AVERAGE(OFFSET($AM$3,0,0,'Données projet'!$E$10+1,1))-AVERAGE(OFFSET($H$3,0,0,'Données projet'!$E$10+1,1))</f>
        <v>373.36760201946345</v>
      </c>
      <c r="AO113" s="62">
        <f t="shared" si="90"/>
        <v>198.19005615475365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81.961605366090254</v>
      </c>
      <c r="T114" s="62">
        <f t="shared" si="88"/>
        <v>408.41952129426909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13.666206242887254</v>
      </c>
      <c r="AA114" s="23">
        <f>EXP(-LN(2)/25)*AA113+(1-EXP(-LN(2)/25))/(LN(2)/25)*Calculateur!V114*Calculateur!X114*VLOOKUP('Données projet'!$B$9,Paramètres!$A$1:$I$89,3,0)*0.475*44/12</f>
        <v>1.5907491929352375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15.256955435822492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</v>
      </c>
      <c r="AI114" s="14">
        <f>IF('Données projet'!$A$62&gt;35,AI113+AH114-AQ113,IF(A114&lt;'Données projet'!$A$62,$AF$205^A114,IF(A114='Données projet'!$A$62,'Données projet'!$B$62,AI113+AH114-AQ113)))</f>
        <v>211.79999999999987</v>
      </c>
      <c r="AJ114" s="14">
        <f>AI114*VLOOKUP('Données projet'!$B$10,Paramètres!$A$1:$I$89,3,0)*VLOOKUP('Données projet'!$B$10,Paramètres!$A$1:$I$89,5,0)</f>
        <v>214.76519999999991</v>
      </c>
      <c r="AK114" s="14">
        <f t="shared" si="89"/>
        <v>52.975538059190747</v>
      </c>
      <c r="AL114" s="22">
        <f t="shared" si="58"/>
        <v>466.31511878642374</v>
      </c>
      <c r="AM114" s="62">
        <f t="shared" si="59"/>
        <v>739.67569614091826</v>
      </c>
      <c r="AN114" s="62">
        <f ca="1">AVERAGE(OFFSET($AM$3,0,0,'Données projet'!$E$10+1,1))-AVERAGE(OFFSET($H$3,0,0,'Données projet'!$E$10+1,1))</f>
        <v>373.36760201946345</v>
      </c>
      <c r="AO114" s="62">
        <f t="shared" si="90"/>
        <v>198.19005615475365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81.961605366090254</v>
      </c>
      <c r="T115" s="62">
        <f t="shared" si="88"/>
        <v>408.41952129426909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13.398220274026976</v>
      </c>
      <c r="AA115" s="23">
        <f>EXP(-LN(2)/25)*AA114+(1-EXP(-LN(2)/25))/(LN(2)/25)*Calculateur!V115*Calculateur!X115*VLOOKUP('Données projet'!$B$9,Paramètres!$A$1:$I$89,3,0)*0.475*44/12</f>
        <v>1.5472500726005591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14.945470346627534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</v>
      </c>
      <c r="AI115" s="14">
        <f>IF('Données projet'!$A$62&gt;35,AI114+AH115-AQ114,IF(A115&lt;'Données projet'!$A$62,$AF$205^A115,IF(A115='Données projet'!$A$62,'Données projet'!$B$62,AI114+AH115-AQ114)))</f>
        <v>214.59999999999988</v>
      </c>
      <c r="AJ115" s="14">
        <f>AI115*VLOOKUP('Données projet'!$B$10,Paramètres!$A$1:$I$89,3,0)*VLOOKUP('Données projet'!$B$10,Paramètres!$A$1:$I$89,5,0)</f>
        <v>217.60439999999988</v>
      </c>
      <c r="AK115" s="14">
        <f t="shared" si="89"/>
        <v>53.593882578706356</v>
      </c>
      <c r="AL115" s="22">
        <f t="shared" si="58"/>
        <v>472.3370088245801</v>
      </c>
      <c r="AM115" s="62">
        <f t="shared" si="59"/>
        <v>746.0440688429145</v>
      </c>
      <c r="AN115" s="62">
        <f ca="1">AVERAGE(OFFSET($AM$3,0,0,'Données projet'!$E$10+1,1))-AVERAGE(OFFSET($H$3,0,0,'Données projet'!$E$10+1,1))</f>
        <v>373.36760201946345</v>
      </c>
      <c r="AO115" s="62">
        <f t="shared" si="90"/>
        <v>198.19005615475365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81.961605366090254</v>
      </c>
      <c r="T116" s="62">
        <f t="shared" si="88"/>
        <v>408.41952129426909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13.135489346560744</v>
      </c>
      <c r="AA116" s="23">
        <f>EXP(-LN(2)/25)*AA115+(1-EXP(-LN(2)/25))/(LN(2)/25)*Calculateur!V116*Calculateur!X116*VLOOKUP('Données projet'!$B$9,Paramètres!$A$1:$I$89,3,0)*0.475*44/12</f>
        <v>1.5049404379989517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14.640429784559696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</v>
      </c>
      <c r="AI116" s="14">
        <f>IF('Données projet'!$A$62&gt;35,AI115+AH116-AQ115,IF(A116&lt;'Données projet'!$A$62,$AF$205^A116,IF(A116='Données projet'!$A$62,'Données projet'!$B$62,AI115+AH116-AQ115)))</f>
        <v>217.39999999999989</v>
      </c>
      <c r="AJ116" s="14">
        <f>AI116*VLOOKUP('Données projet'!$B$10,Paramètres!$A$1:$I$89,3,0)*VLOOKUP('Données projet'!$B$10,Paramètres!$A$1:$I$89,5,0)</f>
        <v>220.44359999999992</v>
      </c>
      <c r="AK116" s="14">
        <f t="shared" si="89"/>
        <v>54.211288682893063</v>
      </c>
      <c r="AL116" s="22">
        <f t="shared" si="58"/>
        <v>478.35726445603859</v>
      </c>
      <c r="AM116" s="62">
        <f t="shared" si="59"/>
        <v>752.40479643861443</v>
      </c>
      <c r="AN116" s="62">
        <f ca="1">AVERAGE(OFFSET($AM$3,0,0,'Données projet'!$E$10+1,1))-AVERAGE(OFFSET($H$3,0,0,'Données projet'!$E$10+1,1))</f>
        <v>373.36760201946345</v>
      </c>
      <c r="AO116" s="62">
        <f t="shared" si="90"/>
        <v>198.19005615475365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81.961605366090254</v>
      </c>
      <c r="T117" s="62">
        <f t="shared" si="88"/>
        <v>408.41952129426909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12.877910412332085</v>
      </c>
      <c r="AA117" s="23">
        <f>EXP(-LN(2)/25)*AA116+(1-EXP(-LN(2)/25))/(LN(2)/25)*Calculateur!V117*Calculateur!X117*VLOOKUP('Données projet'!$B$9,Paramètres!$A$1:$I$89,3,0)*0.475*44/12</f>
        <v>1.4637877625804923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14.341698174912578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</v>
      </c>
      <c r="AI117" s="14">
        <f>IF('Données projet'!$A$62&gt;35,AI116+AH117-AQ116,IF(A117&lt;'Données projet'!$A$62,$AF$205^A117,IF(A117='Données projet'!$A$62,'Données projet'!$B$62,AI116+AH117-AQ116)))</f>
        <v>220.1999999999999</v>
      </c>
      <c r="AJ117" s="14">
        <f>AI117*VLOOKUP('Données projet'!$B$10,Paramètres!$A$1:$I$89,3,0)*VLOOKUP('Données projet'!$B$10,Paramètres!$A$1:$I$89,5,0)</f>
        <v>223.28279999999992</v>
      </c>
      <c r="AK117" s="14">
        <f t="shared" si="89"/>
        <v>54.82776985554348</v>
      </c>
      <c r="AL117" s="22">
        <f t="shared" si="58"/>
        <v>484.37590916507139</v>
      </c>
      <c r="AM117" s="62">
        <f t="shared" si="59"/>
        <v>758.7580066844904</v>
      </c>
      <c r="AN117" s="62">
        <f ca="1">AVERAGE(OFFSET($AM$3,0,0,'Données projet'!$E$10+1,1))-AVERAGE(OFFSET($H$3,0,0,'Données projet'!$E$10+1,1))</f>
        <v>373.36760201946345</v>
      </c>
      <c r="AO117" s="62">
        <f t="shared" si="90"/>
        <v>198.19005615475365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81.961605366090254</v>
      </c>
      <c r="T118" s="62">
        <f t="shared" si="88"/>
        <v>408.41952129426909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12.625382443896012</v>
      </c>
      <c r="AA118" s="23">
        <f>EXP(-LN(2)/25)*AA117+(1-EXP(-LN(2)/25))/(LN(2)/25)*Calculateur!V118*Calculateur!X118*VLOOKUP('Données projet'!$B$9,Paramètres!$A$1:$I$89,3,0)*0.475*44/12</f>
        <v>1.4237604092354759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14.049142853131487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223</v>
      </c>
      <c r="AG118" s="13">
        <f>VLOOKUP(A118,'Données projet'!$A$61:$I$81,9,0)</f>
        <v>2.8</v>
      </c>
      <c r="AH118" s="13">
        <f t="array" ref="AH118">INDEX(AG:AG,MIN(IF(ISNUMBER(AG118:AG314),ROW(AG118:AG314),"")))</f>
        <v>2.8</v>
      </c>
      <c r="AI118" s="14">
        <f>IF('Données projet'!$A$62&gt;35,AI117+AH118-AQ117,IF(A118&lt;'Données projet'!$A$62,$AF$205^A118,IF(A118='Données projet'!$A$62,'Données projet'!$B$62,AI117+AH118-AQ117)))</f>
        <v>222.99999999999991</v>
      </c>
      <c r="AJ118" s="14">
        <f>AI118*VLOOKUP('Données projet'!$B$10,Paramètres!$A$1:$I$89,3,0)*VLOOKUP('Données projet'!$B$10,Paramètres!$A$1:$I$89,5,0)</f>
        <v>226.12199999999996</v>
      </c>
      <c r="AK118" s="14">
        <f t="shared" si="89"/>
        <v>55.443339217820046</v>
      </c>
      <c r="AL118" s="22">
        <f t="shared" si="58"/>
        <v>490.39296580436979</v>
      </c>
      <c r="AM118" s="62">
        <f t="shared" si="59"/>
        <v>765.10382489654421</v>
      </c>
      <c r="AN118" s="62">
        <f ca="1">AVERAGE(OFFSET($AM$3,0,0,'Données projet'!$E$10+1,1))-AVERAGE(OFFSET($H$3,0,0,'Données projet'!$E$10+1,1))</f>
        <v>373.36760201946345</v>
      </c>
      <c r="AO118" s="62">
        <f t="shared" si="90"/>
        <v>198.19005615475365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13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81.961605366090254</v>
      </c>
      <c r="T119" s="62">
        <f t="shared" si="88"/>
        <v>408.41952129426909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12.377806394894119</v>
      </c>
      <c r="AA119" s="23">
        <f>EXP(-LN(2)/25)*AA118+(1-EXP(-LN(2)/25))/(LN(2)/25)*Calculateur!V119*Calculateur!X119*VLOOKUP('Données projet'!$B$9,Paramètres!$A$1:$I$89,3,0)*0.475*44/12</f>
        <v>1.3848276059726259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13.762634000866745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2.4</v>
      </c>
      <c r="AI119" s="14">
        <f>IF('Données projet'!$A$62&gt;35,AI118+AH119-AQ118,IF(A119&lt;'Données projet'!$A$62,$AF$205^A119,IF(A119='Données projet'!$A$62,'Données projet'!$B$62,AI118+AH119-AQ118)))</f>
        <v>212.39999999999992</v>
      </c>
      <c r="AJ119" s="14">
        <f>AI119*VLOOKUP('Données projet'!$B$10,Paramètres!$A$1:$I$89,3,0)*VLOOKUP('Données projet'!$B$10,Paramètres!$A$1:$I$89,5,0)</f>
        <v>215.37359999999993</v>
      </c>
      <c r="AK119" s="14">
        <f t="shared" si="89"/>
        <v>53.108120144188916</v>
      </c>
      <c r="AL119" s="22">
        <f t="shared" si="58"/>
        <v>467.60566258446215</v>
      </c>
      <c r="AM119" s="62">
        <f t="shared" si="59"/>
        <v>742.63957997110549</v>
      </c>
      <c r="AN119" s="62">
        <f ca="1">AVERAGE(OFFSET($AM$3,0,0,'Données projet'!$E$10+1,1))-AVERAGE(OFFSET($H$3,0,0,'Données projet'!$E$10+1,1))</f>
        <v>373.36760201946345</v>
      </c>
      <c r="AO119" s="62">
        <f t="shared" si="90"/>
        <v>198.19005615475365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81.961605366090254</v>
      </c>
      <c r="T120" s="62">
        <f t="shared" si="88"/>
        <v>408.41952129426909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12.135085161206673</v>
      </c>
      <c r="AA120" s="23">
        <f>EXP(-LN(2)/25)*AA119+(1-EXP(-LN(2)/25))/(LN(2)/25)*Calculateur!V120*Calculateur!X120*VLOOKUP('Données projet'!$B$9,Paramètres!$A$1:$I$89,3,0)*0.475*44/12</f>
        <v>1.3469594222623857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13.482044583469058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2.4</v>
      </c>
      <c r="AI120" s="14">
        <f>IF('Données projet'!$A$62&gt;35,AI119+AH120-AQ119,IF(A120&lt;'Données projet'!$A$62,$AF$205^A120,IF(A120='Données projet'!$A$62,'Données projet'!$B$62,AI119+AH120-AQ119)))</f>
        <v>214.79999999999993</v>
      </c>
      <c r="AJ120" s="14">
        <f>AI120*VLOOKUP('Données projet'!$B$10,Paramètres!$A$1:$I$89,3,0)*VLOOKUP('Données projet'!$B$10,Paramètres!$A$1:$I$89,5,0)</f>
        <v>217.80719999999994</v>
      </c>
      <c r="AK120" s="14">
        <f t="shared" si="89"/>
        <v>53.638013973813976</v>
      </c>
      <c r="AL120" s="22">
        <f t="shared" si="58"/>
        <v>472.76708100439259</v>
      </c>
      <c r="AM120" s="62">
        <f t="shared" si="59"/>
        <v>748.11845234634586</v>
      </c>
      <c r="AN120" s="62">
        <f ca="1">AVERAGE(OFFSET($AM$3,0,0,'Données projet'!$E$10+1,1))-AVERAGE(OFFSET($H$3,0,0,'Données projet'!$E$10+1,1))</f>
        <v>373.36760201946345</v>
      </c>
      <c r="AO120" s="62">
        <f t="shared" si="90"/>
        <v>198.19005615475365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81.961605366090254</v>
      </c>
      <c r="T121" s="62">
        <f t="shared" si="88"/>
        <v>408.41952129426909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11.897123542866504</v>
      </c>
      <c r="AA121" s="23">
        <f>EXP(-LN(2)/25)*AA120+(1-EXP(-LN(2)/25))/(LN(2)/25)*Calculateur!V121*Calculateur!X121*VLOOKUP('Données projet'!$B$9,Paramètres!$A$1:$I$89,3,0)*0.475*44/12</f>
        <v>1.3101267460271033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13.207250288893608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2.4</v>
      </c>
      <c r="AI121" s="14">
        <f>IF('Données projet'!$A$62&gt;35,AI120+AH121-AQ120,IF(A121&lt;'Données projet'!$A$62,$AF$205^A121,IF(A121='Données projet'!$A$62,'Données projet'!$B$62,AI120+AH121-AQ120)))</f>
        <v>217.19999999999993</v>
      </c>
      <c r="AJ121" s="14">
        <f>AI121*VLOOKUP('Données projet'!$B$10,Paramètres!$A$1:$I$89,3,0)*VLOOKUP('Données projet'!$B$10,Paramètres!$A$1:$I$89,5,0)</f>
        <v>220.24079999999992</v>
      </c>
      <c r="AK121" s="14">
        <f t="shared" si="89"/>
        <v>54.167219078226751</v>
      </c>
      <c r="AL121" s="22">
        <f t="shared" si="58"/>
        <v>477.9272998945782</v>
      </c>
      <c r="AM121" s="62">
        <f t="shared" si="59"/>
        <v>753.59061807543753</v>
      </c>
      <c r="AN121" s="62">
        <f ca="1">AVERAGE(OFFSET($AM$3,0,0,'Données projet'!$E$10+1,1))-AVERAGE(OFFSET($H$3,0,0,'Données projet'!$E$10+1,1))</f>
        <v>373.36760201946345</v>
      </c>
      <c r="AO121" s="62">
        <f t="shared" si="90"/>
        <v>198.19005615475365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81.961605366090254</v>
      </c>
      <c r="T122" s="62">
        <f t="shared" si="88"/>
        <v>408.41952129426909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11.66382820671973</v>
      </c>
      <c r="AA122" s="23">
        <f>EXP(-LN(2)/25)*AA121+(1-EXP(-LN(2)/25))/(LN(2)/25)*Calculateur!V122*Calculateur!X122*VLOOKUP('Données projet'!$B$9,Paramètres!$A$1:$I$89,3,0)*0.475*44/12</f>
        <v>1.274301261260421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12.938129467980151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2.4</v>
      </c>
      <c r="AI122" s="14">
        <f>IF('Données projet'!$A$62&gt;35,AI121+AH122-AQ121,IF(A122&lt;'Données projet'!$A$62,$AF$205^A122,IF(A122='Données projet'!$A$62,'Données projet'!$B$62,AI121+AH122-AQ121)))</f>
        <v>219.59999999999994</v>
      </c>
      <c r="AJ122" s="14">
        <f>AI122*VLOOKUP('Données projet'!$B$10,Paramètres!$A$1:$I$89,3,0)*VLOOKUP('Données projet'!$B$10,Paramètres!$A$1:$I$89,5,0)</f>
        <v>222.67439999999993</v>
      </c>
      <c r="AK122" s="14">
        <f t="shared" si="89"/>
        <v>54.695743948366427</v>
      </c>
      <c r="AL122" s="22">
        <f t="shared" si="58"/>
        <v>483.08633404340475</v>
      </c>
      <c r="AM122" s="62">
        <f t="shared" si="59"/>
        <v>759.05618748292375</v>
      </c>
      <c r="AN122" s="62">
        <f ca="1">AVERAGE(OFFSET($AM$3,0,0,'Données projet'!$E$10+1,1))-AVERAGE(OFFSET($H$3,0,0,'Données projet'!$E$10+1,1))</f>
        <v>373.36760201946345</v>
      </c>
      <c r="AO122" s="62">
        <f t="shared" si="90"/>
        <v>198.19005615475365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81.961605366090254</v>
      </c>
      <c r="T123" s="62">
        <f t="shared" si="88"/>
        <v>408.41952129426909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11.43510764981869</v>
      </c>
      <c r="AA123" s="23">
        <f>EXP(-LN(2)/25)*AA122+(1-EXP(-LN(2)/25))/(LN(2)/25)*Calculateur!V123*Calculateur!X123*VLOOKUP('Données projet'!$B$9,Paramètres!$A$1:$I$89,3,0)*0.475*44/12</f>
        <v>1.2394554262586639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12.674563076077353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222</v>
      </c>
      <c r="AG123" s="13">
        <f>VLOOKUP(A123,'Données projet'!$A$61:$I$81,9,0)</f>
        <v>2.4</v>
      </c>
      <c r="AH123" s="13">
        <f t="array" ref="AH123">INDEX(AG:AG,MIN(IF(ISNUMBER(AG123:AG319),ROW(AG123:AG319),"")))</f>
        <v>2.4</v>
      </c>
      <c r="AI123" s="14">
        <f>IF('Données projet'!$A$62&gt;35,AI122+AH123-AQ122,IF(A123&lt;'Données projet'!$A$62,$AF$205^A123,IF(A123='Données projet'!$A$62,'Données projet'!$B$62,AI122+AH123-AQ122)))</f>
        <v>221.99999999999994</v>
      </c>
      <c r="AJ123" s="14">
        <f>AI123*VLOOKUP('Données projet'!$B$10,Paramètres!$A$1:$I$89,3,0)*VLOOKUP('Données projet'!$B$10,Paramètres!$A$1:$I$89,5,0)</f>
        <v>225.10799999999995</v>
      </c>
      <c r="AK123" s="14">
        <f t="shared" si="89"/>
        <v>55.223596878889587</v>
      </c>
      <c r="AL123" s="22">
        <f t="shared" si="58"/>
        <v>488.24419789739915</v>
      </c>
      <c r="AM123" s="62">
        <f t="shared" si="59"/>
        <v>764.51526889415027</v>
      </c>
      <c r="AN123" s="62">
        <f ca="1">AVERAGE(OFFSET($AM$3,0,0,'Données projet'!$E$10+1,1))-AVERAGE(OFFSET($H$3,0,0,'Données projet'!$E$10+1,1))</f>
        <v>373.36760201946345</v>
      </c>
      <c r="AO123" s="62">
        <f t="shared" si="90"/>
        <v>198.19005615475365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222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81.961605366090254</v>
      </c>
      <c r="T124" s="62">
        <f t="shared" si="88"/>
        <v>408.41952129426909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11.210872163532715</v>
      </c>
      <c r="AA124" s="23">
        <f>EXP(-LN(2)/25)*AA123+(1-EXP(-LN(2)/25))/(LN(2)/25)*Calculateur!V124*Calculateur!X124*VLOOKUP('Données projet'!$B$9,Paramètres!$A$1:$I$89,3,0)*0.475*44/12</f>
        <v>1.2055624524474926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12.416434615980208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-5.7639226724859328E-14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373.36760201946345</v>
      </c>
      <c r="AO124" s="62">
        <f t="shared" si="90"/>
        <v>198.19005615475365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81.961605366090254</v>
      </c>
      <c r="T125" s="62">
        <f t="shared" si="88"/>
        <v>408.41952129426909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10.991033798362666</v>
      </c>
      <c r="AA125" s="23">
        <f>EXP(-LN(2)/25)*AA124+(1-EXP(-LN(2)/25))/(LN(2)/25)*Calculateur!V125*Calculateur!X125*VLOOKUP('Données projet'!$B$9,Paramètres!$A$1:$I$89,3,0)*0.475*44/12</f>
        <v>1.1725962837875419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12.163630082150208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-5.7639226724859328E-14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373.36760201946345</v>
      </c>
      <c r="AO125" s="62">
        <f t="shared" si="90"/>
        <v>198.19005615475365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81.961605366090254</v>
      </c>
      <c r="T126" s="62">
        <f t="shared" si="88"/>
        <v>408.41952129426909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10.77550632944544</v>
      </c>
      <c r="AA126" s="23">
        <f>EXP(-LN(2)/25)*AA125+(1-EXP(-LN(2)/25))/(LN(2)/25)*Calculateur!V126*Calculateur!X126*VLOOKUP('Données projet'!$B$9,Paramètres!$A$1:$I$89,3,0)*0.475*44/12</f>
        <v>1.1405315767432129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11.916037906188652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-5.7639226724859328E-14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373.36760201946345</v>
      </c>
      <c r="AO126" s="62">
        <f t="shared" si="90"/>
        <v>198.19005615475365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81.961605366090254</v>
      </c>
      <c r="T127" s="62">
        <f t="shared" si="88"/>
        <v>408.41952129426909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10.564205222734904</v>
      </c>
      <c r="AA127" s="23">
        <f>EXP(-LN(2)/25)*AA126+(1-EXP(-LN(2)/25))/(LN(2)/25)*Calculateur!V127*Calculateur!X127*VLOOKUP('Données projet'!$B$9,Paramètres!$A$1:$I$89,3,0)*0.475*44/12</f>
        <v>1.109343680799221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11.673548903534124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-5.7639226724859328E-14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373.36760201946345</v>
      </c>
      <c r="AO127" s="62">
        <f t="shared" si="90"/>
        <v>198.19005615475365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81.961605366090254</v>
      </c>
      <c r="T128" s="62">
        <f t="shared" si="88"/>
        <v>408.41952129426909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10.357047601846013</v>
      </c>
      <c r="AA128" s="23">
        <f>EXP(-LN(2)/25)*AA127+(1-EXP(-LN(2)/25))/(LN(2)/25)*Calculateur!V128*Calculateur!X128*VLOOKUP('Données projet'!$B$9,Paramètres!$A$1:$I$89,3,0)*0.475*44/12</f>
        <v>1.0790086195099176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11.43605622135593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-5.7639226724859328E-14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373.36760201946345</v>
      </c>
      <c r="AO128" s="62">
        <f t="shared" si="90"/>
        <v>198.19005615475365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81.961605366090254</v>
      </c>
      <c r="T129" s="62">
        <f t="shared" si="88"/>
        <v>408.41952129426909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10.153952215549081</v>
      </c>
      <c r="AA129" s="23">
        <f>EXP(-LN(2)/25)*AA128+(1-EXP(-LN(2)/25))/(LN(2)/25)*Calculateur!V129*Calculateur!X129*VLOOKUP('Données projet'!$B$9,Paramètres!$A$1:$I$89,3,0)*0.475*44/12</f>
        <v>1.0495030720668217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11.203455287615903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-5.7639226724859328E-14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373.36760201946345</v>
      </c>
      <c r="AO129" s="62">
        <f t="shared" si="90"/>
        <v>198.19005615475365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81.961605366090254</v>
      </c>
      <c r="T130" s="62">
        <f t="shared" si="88"/>
        <v>408.41952129426909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9.9548394059014775</v>
      </c>
      <c r="AA130" s="23">
        <f>EXP(-LN(2)/25)*AA129+(1-EXP(-LN(2)/25))/(LN(2)/25)*Calculateur!V130*Calculateur!X130*VLOOKUP('Données projet'!$B$9,Paramètres!$A$1:$I$89,3,0)*0.475*44/12</f>
        <v>1.0208043553701867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10.975643761271664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-5.7639226724859328E-14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373.36760201946345</v>
      </c>
      <c r="AO130" s="62">
        <f t="shared" si="90"/>
        <v>198.19005615475365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81.961605366090254</v>
      </c>
      <c r="T131" s="62">
        <f t="shared" si="88"/>
        <v>408.41952129426909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9.7596310770042418</v>
      </c>
      <c r="AA131" s="23">
        <f>EXP(-LN(2)/25)*AA130+(1-EXP(-LN(2)/25))/(LN(2)/25)*Calculateur!V131*Calculateur!X131*VLOOKUP('Données projet'!$B$9,Paramètres!$A$1:$I$89,3,0)*0.475*44/12</f>
        <v>0.99289040659082095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10.752521483595062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-5.7639226724859328E-14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373.36760201946345</v>
      </c>
      <c r="AO131" s="62">
        <f t="shared" si="90"/>
        <v>198.19005615475365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81.961605366090254</v>
      </c>
      <c r="T132" s="62">
        <f t="shared" si="88"/>
        <v>408.41952129426909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9.568250664371357</v>
      </c>
      <c r="AA132" s="23">
        <f>EXP(-LN(2)/25)*AA131+(1-EXP(-LN(2)/25))/(LN(2)/25)*Calculateur!V132*Calculateur!X132*VLOOKUP('Données projet'!$B$9,Paramètres!$A$1:$I$89,3,0)*0.475*44/12</f>
        <v>0.96573976620875779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10.533990430580115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-5.7639226724859328E-14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373.36760201946345</v>
      </c>
      <c r="AO132" s="62">
        <f t="shared" si="90"/>
        <v>198.19005615475365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81.961605366090254</v>
      </c>
      <c r="T133" s="62">
        <f t="shared" ref="T133:T196" si="142">$T$3</f>
        <v>408.41952129426909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9.3806231048996764</v>
      </c>
      <c r="AA133" s="23">
        <f>EXP(-LN(2)/25)*AA132+(1-EXP(-LN(2)/25))/(LN(2)/25)*Calculateur!V133*Calculateur!X133*VLOOKUP('Données projet'!$B$9,Paramètres!$A$1:$I$89,3,0)*0.475*44/12</f>
        <v>0.93933156151573227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10.319954666415409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-5.7639226724859328E-14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373.36760201946345</v>
      </c>
      <c r="AO133" s="62">
        <f t="shared" ref="AO133:AO196" si="144">$AO$3</f>
        <v>198.19005615475365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81.961605366090254</v>
      </c>
      <c r="T134" s="62">
        <f t="shared" si="142"/>
        <v>408.41952129426909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9.1966748074277245</v>
      </c>
      <c r="AA134" s="23">
        <f>EXP(-LN(2)/25)*AA133+(1-EXP(-LN(2)/25))/(LN(2)/25)*Calculateur!V134*Calculateur!X134*VLOOKUP('Données projet'!$B$9,Paramètres!$A$1:$I$89,3,0)*0.475*44/12</f>
        <v>0.91364549056878464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10.110320297996509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-5.7639226724859328E-14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373.36760201946345</v>
      </c>
      <c r="AO134" s="62">
        <f t="shared" si="144"/>
        <v>198.19005615475365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81.961605366090254</v>
      </c>
      <c r="T135" s="62">
        <f t="shared" si="142"/>
        <v>408.41952129426909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9.0163336238718159</v>
      </c>
      <c r="AA135" s="23">
        <f>EXP(-LN(2)/25)*AA134+(1-EXP(-LN(2)/25))/(LN(2)/25)*Calculateur!V135*Calculateur!X135*VLOOKUP('Données projet'!$B$9,Paramètres!$A$1:$I$89,3,0)*0.475*44/12</f>
        <v>0.88866180658265304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9.9049954304544698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-5.7639226724859328E-14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373.36760201946345</v>
      </c>
      <c r="AO135" s="62">
        <f t="shared" si="144"/>
        <v>198.19005615475365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81.961605366090254</v>
      </c>
      <c r="T136" s="62">
        <f t="shared" si="142"/>
        <v>408.41952129426909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8.8395288209281784</v>
      </c>
      <c r="AA136" s="23">
        <f>EXP(-LN(2)/25)*AA135+(1-EXP(-LN(2)/25))/(LN(2)/25)*Calculateur!V136*Calculateur!X136*VLOOKUP('Données projet'!$B$9,Paramètres!$A$1:$I$89,3,0)*0.475*44/12</f>
        <v>0.86436130274895706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9.7038901236771355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-5.7639226724859328E-14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373.36760201946345</v>
      </c>
      <c r="AO136" s="62">
        <f t="shared" si="144"/>
        <v>198.19005615475365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81.961605366090254</v>
      </c>
      <c r="T137" s="62">
        <f t="shared" si="142"/>
        <v>408.41952129426909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8.6661910523299834</v>
      </c>
      <c r="AA137" s="23">
        <f>EXP(-LN(2)/25)*AA136+(1-EXP(-LN(2)/25))/(LN(2)/25)*Calculateur!V137*Calculateur!X137*VLOOKUP('Données projet'!$B$9,Paramètres!$A$1:$I$89,3,0)*0.475*44/12</f>
        <v>0.8407252974705014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9.5069163498004841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-5.7639226724859328E-14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373.36760201946345</v>
      </c>
      <c r="AO137" s="62">
        <f t="shared" si="144"/>
        <v>198.19005615475365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81.961605366090254</v>
      </c>
      <c r="T138" s="62">
        <f t="shared" si="142"/>
        <v>408.41952129426909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8.4962523316483995</v>
      </c>
      <c r="AA138" s="23">
        <f>EXP(-LN(2)/25)*AA137+(1-EXP(-LN(2)/25))/(LN(2)/25)*Calculateur!V138*Calculateur!X138*VLOOKUP('Données projet'!$B$9,Paramètres!$A$1:$I$89,3,0)*0.475*44/12</f>
        <v>0.81773561999934863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9.3139879516477482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-5.7639226724859328E-14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373.36760201946345</v>
      </c>
      <c r="AO138" s="62">
        <f t="shared" si="144"/>
        <v>198.19005615475365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81.961605366090254</v>
      </c>
      <c r="T139" s="62">
        <f t="shared" si="142"/>
        <v>408.41952129426909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8.3296460056269961</v>
      </c>
      <c r="AA139" s="23">
        <f>EXP(-LN(2)/25)*AA138+(1-EXP(-LN(2)/25))/(LN(2)/25)*Calculateur!V139*Calculateur!X139*VLOOKUP('Données projet'!$B$9,Paramètres!$A$1:$I$89,3,0)*0.475*44/12</f>
        <v>0.7953745964676191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9.1250206020946152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-5.7639226724859328E-14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373.36760201946345</v>
      </c>
      <c r="AO139" s="62">
        <f t="shared" si="144"/>
        <v>198.19005615475365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81.961605366090254</v>
      </c>
      <c r="T140" s="62">
        <f t="shared" si="142"/>
        <v>408.41952129426909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8.1663067280390482</v>
      </c>
      <c r="AA140" s="23">
        <f>EXP(-LN(2)/25)*AA139+(1-EXP(-LN(2)/25))/(LN(2)/25)*Calculateur!V140*Calculateur!X140*VLOOKUP('Données projet'!$B$9,Paramètres!$A$1:$I$89,3,0)*0.475*44/12</f>
        <v>0.7736250363002799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8.9399317643393275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-5.7639226724859328E-14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373.36760201946345</v>
      </c>
      <c r="AO140" s="62">
        <f t="shared" si="144"/>
        <v>198.19005615475365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81.961605366090254</v>
      </c>
      <c r="T141" s="62">
        <f t="shared" si="142"/>
        <v>408.41952129426909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8.0061704340574789</v>
      </c>
      <c r="AA141" s="23">
        <f>EXP(-LN(2)/25)*AA140+(1-EXP(-LN(2)/25))/(LN(2)/25)*Calculateur!V141*Calculateur!X141*VLOOKUP('Données projet'!$B$9,Paramètres!$A$1:$I$89,3,0)*0.475*44/12</f>
        <v>0.75247021899947619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8.7586406530569558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-5.7639226724859328E-14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373.36760201946345</v>
      </c>
      <c r="AO141" s="62">
        <f t="shared" si="144"/>
        <v>198.19005615475365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81.961605366090254</v>
      </c>
      <c r="T142" s="62">
        <f t="shared" si="142"/>
        <v>408.41952129426909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7.8491743151273923</v>
      </c>
      <c r="AA142" s="23">
        <f>EXP(-LN(2)/25)*AA141+(1-EXP(-LN(2)/25))/(LN(2)/25)*Calculateur!V142*Calculateur!X142*VLOOKUP('Données projet'!$B$9,Paramètres!$A$1:$I$89,3,0)*0.475*44/12</f>
        <v>0.73189388129024646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8.5810681964176396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-5.7639226724859328E-14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373.36760201946345</v>
      </c>
      <c r="AO142" s="62">
        <f t="shared" si="144"/>
        <v>198.19005615475365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81.961605366090254</v>
      </c>
      <c r="T143" s="62">
        <f t="shared" si="142"/>
        <v>408.41952129426909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7.6952567943313479</v>
      </c>
      <c r="AA143" s="23">
        <f>EXP(-LN(2)/25)*AA142+(1-EXP(-LN(2)/25))/(LN(2)/25)*Calculateur!V143*Calculateur!X143*VLOOKUP('Données projet'!$B$9,Paramètres!$A$1:$I$89,3,0)*0.475*44/12</f>
        <v>0.71188020461773827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8.4071369989490865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-5.7639226724859328E-14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373.36760201946345</v>
      </c>
      <c r="AO143" s="62">
        <f t="shared" si="144"/>
        <v>198.19005615475365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81.961605366090254</v>
      </c>
      <c r="T144" s="62">
        <f t="shared" si="142"/>
        <v>408.41952129426909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7.5443575022376956</v>
      </c>
      <c r="AA144" s="23">
        <f>EXP(-LN(2)/25)*AA143+(1-EXP(-LN(2)/25))/(LN(2)/25)*Calculateur!V144*Calculateur!X144*VLOOKUP('Données projet'!$B$9,Paramètres!$A$1:$I$89,3,0)*0.475*44/12</f>
        <v>0.69241380298631328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8.2367713052240088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-5.7639226724859328E-14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373.36760201946345</v>
      </c>
      <c r="AO144" s="62">
        <f t="shared" si="144"/>
        <v>198.19005615475365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81.961605366090254</v>
      </c>
      <c r="T145" s="62">
        <f t="shared" si="142"/>
        <v>408.41952129426909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7.3964172532225199</v>
      </c>
      <c r="AA145" s="23">
        <f>EXP(-LN(2)/25)*AA144+(1-EXP(-LN(2)/25))/(LN(2)/25)*Calculateur!V145*Calculateur!X145*VLOOKUP('Données projet'!$B$9,Paramètres!$A$1:$I$89,3,0)*0.475*44/12</f>
        <v>0.6734797111311932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8.0698969643537133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-5.7639226724859328E-14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373.36760201946345</v>
      </c>
      <c r="AO145" s="62">
        <f t="shared" si="144"/>
        <v>198.19005615475365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81.961605366090254</v>
      </c>
      <c r="T146" s="62">
        <f t="shared" si="142"/>
        <v>408.41952129426909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7.2513780222558903</v>
      </c>
      <c r="AA146" s="23">
        <f>EXP(-LN(2)/25)*AA145+(1-EXP(-LN(2)/25))/(LN(2)/25)*Calculateur!V146*Calculateur!X146*VLOOKUP('Données projet'!$B$9,Paramètres!$A$1:$I$89,3,0)*0.475*44/12</f>
        <v>0.655063373013552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7.9064413952694421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-5.7639226724859328E-14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373.36760201946345</v>
      </c>
      <c r="AO146" s="62">
        <f t="shared" si="144"/>
        <v>198.19005615475365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81.961605366090254</v>
      </c>
      <c r="T147" s="62">
        <f t="shared" si="142"/>
        <v>408.41952129426909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7.1091829221433205</v>
      </c>
      <c r="AA147" s="23">
        <f>EXP(-LN(2)/25)*AA146+(1-EXP(-LN(2)/25))/(LN(2)/25)*Calculateur!V147*Calculateur!X147*VLOOKUP('Données projet'!$B$9,Paramètres!$A$1:$I$89,3,0)*0.475*44/12</f>
        <v>0.63715063063021082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7.7463335527735317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-5.7639226724859328E-14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373.36760201946345</v>
      </c>
      <c r="AO147" s="62">
        <f t="shared" si="144"/>
        <v>198.19005615475365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81.961605366090254</v>
      </c>
      <c r="T148" s="62">
        <f t="shared" si="142"/>
        <v>408.41952129426909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6.9697761812135113</v>
      </c>
      <c r="AA148" s="23">
        <f>EXP(-LN(2)/25)*AA147+(1-EXP(-LN(2)/25))/(LN(2)/25)*Calculateur!V148*Calculateur!X148*VLOOKUP('Données projet'!$B$9,Paramètres!$A$1:$I$89,3,0)*0.475*44/12</f>
        <v>0.61972771312933228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7.5895038943428439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-5.7639226724859328E-14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373.36760201946345</v>
      </c>
      <c r="AO148" s="62">
        <f t="shared" si="144"/>
        <v>198.19005615475365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81.961605366090254</v>
      </c>
      <c r="T149" s="62">
        <f t="shared" si="142"/>
        <v>408.41952129426909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6.8331031214436191</v>
      </c>
      <c r="AA149" s="23">
        <f>EXP(-LN(2)/25)*AA148+(1-EXP(-LN(2)/25))/(LN(2)/25)*Calculateur!V149*Calculateur!X149*VLOOKUP('Données projet'!$B$9,Paramètres!$A$1:$I$89,3,0)*0.475*44/12</f>
        <v>0.60278122622374664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7.4358843476673657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-5.7639226724859328E-14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373.36760201946345</v>
      </c>
      <c r="AO149" s="62">
        <f t="shared" si="144"/>
        <v>198.19005615475365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81.961605366090254</v>
      </c>
      <c r="T150" s="62">
        <f t="shared" si="142"/>
        <v>408.41952129426909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6.6991101370134798</v>
      </c>
      <c r="AA150" s="23">
        <f>EXP(-LN(2)/25)*AA149+(1-EXP(-LN(2)/25))/(LN(2)/25)*Calculateur!V150*Calculateur!X150*VLOOKUP('Données projet'!$B$9,Paramètres!$A$1:$I$89,3,0)*0.475*44/12</f>
        <v>0.58629814189377127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7.2854082789072514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-5.7639226724859328E-14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373.36760201946345</v>
      </c>
      <c r="AO150" s="62">
        <f t="shared" si="144"/>
        <v>198.19005615475365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81.961605366090254</v>
      </c>
      <c r="T151" s="62">
        <f t="shared" si="142"/>
        <v>408.41952129426909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6.567744673280365</v>
      </c>
      <c r="AA151" s="23">
        <f>EXP(-LN(2)/25)*AA150+(1-EXP(-LN(2)/25))/(LN(2)/25)*Calculateur!V151*Calculateur!X151*VLOOKUP('Données projet'!$B$9,Paramètres!$A$1:$I$89,3,0)*0.475*44/12</f>
        <v>0.5702657883716068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7.1380104616519722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-5.7639226724859328E-14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373.36760201946345</v>
      </c>
      <c r="AO151" s="62">
        <f t="shared" si="144"/>
        <v>198.19005615475365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81.961605366090254</v>
      </c>
      <c r="T152" s="62">
        <f t="shared" si="142"/>
        <v>408.41952129426909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6.4389552061660353</v>
      </c>
      <c r="AA152" s="23">
        <f>EXP(-LN(2)/25)*AA151+(1-EXP(-LN(2)/25))/(LN(2)/25)*Calculateur!V152*Calculateur!X152*VLOOKUP('Données projet'!$B$9,Paramètres!$A$1:$I$89,3,0)*0.475*44/12</f>
        <v>0.5546718403996107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6.9936270465656456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-5.7639226724859328E-14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373.36760201946345</v>
      </c>
      <c r="AO152" s="62">
        <f t="shared" si="144"/>
        <v>198.19005615475365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81.961605366090254</v>
      </c>
      <c r="T153" s="62">
        <f t="shared" si="142"/>
        <v>408.41952129426909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6.3126912219479987</v>
      </c>
      <c r="AA153" s="23">
        <f>EXP(-LN(2)/25)*AA152+(1-EXP(-LN(2)/25))/(LN(2)/25)*Calculateur!V153*Calculateur!X153*VLOOKUP('Données projet'!$B$9,Paramètres!$A$1:$I$89,3,0)*0.475*44/12</f>
        <v>0.539504309754959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6.8521955317029573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-5.7639226724859328E-14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373.36760201946345</v>
      </c>
      <c r="AO153" s="62">
        <f t="shared" si="144"/>
        <v>198.19005615475365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81.961605366090254</v>
      </c>
      <c r="T154" s="62">
        <f t="shared" si="142"/>
        <v>408.41952129426909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6.1889031974470523</v>
      </c>
      <c r="AA154" s="23">
        <f>EXP(-LN(2)/25)*AA153+(1-EXP(-LN(2)/25))/(LN(2)/25)*Calculateur!V154*Calculateur!X154*VLOOKUP('Données projet'!$B$9,Paramètres!$A$1:$I$89,3,0)*0.475*44/12</f>
        <v>0.52475153603341107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6.713654733480463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-5.7639226724859328E-14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373.36760201946345</v>
      </c>
      <c r="AO154" s="62">
        <f t="shared" si="144"/>
        <v>198.19005615475365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81.961605366090254</v>
      </c>
      <c r="T155" s="62">
        <f t="shared" si="142"/>
        <v>408.41952129426909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6.0675425806033294</v>
      </c>
      <c r="AA155" s="23">
        <f>EXP(-LN(2)/25)*AA154+(1-EXP(-LN(2)/25))/(LN(2)/25)*Calculateur!V155*Calculateur!X155*VLOOKUP('Données projet'!$B$9,Paramètres!$A$1:$I$89,3,0)*0.475*44/12</f>
        <v>0.51040217768509355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6.5779447582884227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-5.7639226724859328E-14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373.36760201946345</v>
      </c>
      <c r="AO155" s="62">
        <f t="shared" si="144"/>
        <v>198.19005615475365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81.961605366090254</v>
      </c>
      <c r="T156" s="62">
        <f t="shared" si="142"/>
        <v>408.41952129426909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5.948561771433245</v>
      </c>
      <c r="AA156" s="23">
        <f>EXP(-LN(2)/25)*AA155+(1-EXP(-LN(2)/25))/(LN(2)/25)*Calculateur!V156*Calculateur!X156*VLOOKUP('Données projet'!$B$9,Paramètres!$A$1:$I$89,3,0)*0.475*44/12</f>
        <v>0.4964452032954107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6.4450069747286554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-5.7639226724859328E-14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373.36760201946345</v>
      </c>
      <c r="AO156" s="62">
        <f t="shared" si="144"/>
        <v>198.19005615475365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81.961605366090254</v>
      </c>
      <c r="T157" s="62">
        <f t="shared" si="142"/>
        <v>408.41952129426909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5.8319141033598587</v>
      </c>
      <c r="AA157" s="23">
        <f>EXP(-LN(2)/25)*AA156+(1-EXP(-LN(2)/25))/(LN(2)/25)*Calculateur!V157*Calculateur!X157*VLOOKUP('Données projet'!$B$9,Paramètres!$A$1:$I$89,3,0)*0.475*44/12</f>
        <v>0.48286988310437912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6.3147839864642377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-5.7639226724859328E-14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373.36760201946345</v>
      </c>
      <c r="AO157" s="62">
        <f t="shared" si="144"/>
        <v>198.19005615475365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81.961605366090254</v>
      </c>
      <c r="T158" s="62">
        <f t="shared" si="142"/>
        <v>408.41952129426909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5.7175538249093387</v>
      </c>
      <c r="AA158" s="23">
        <f>EXP(-LN(2)/25)*AA157+(1-EXP(-LN(2)/25))/(LN(2)/25)*Calculateur!V158*Calculateur!X158*VLOOKUP('Données projet'!$B$9,Paramètres!$A$1:$I$89,3,0)*0.475*44/12</f>
        <v>0.46966578075786636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6.1872196056672051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-5.7639226724859328E-14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373.36760201946345</v>
      </c>
      <c r="AO158" s="62">
        <f t="shared" si="144"/>
        <v>198.19005615475365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81.961605366090254</v>
      </c>
      <c r="T159" s="62">
        <f t="shared" si="142"/>
        <v>408.41952129426909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5.6054360817663511</v>
      </c>
      <c r="AA159" s="23">
        <f>EXP(-LN(2)/25)*AA158+(1-EXP(-LN(2)/25))/(LN(2)/25)*Calculateur!V159*Calculateur!X159*VLOOKUP('Données projet'!$B$9,Paramètres!$A$1:$I$89,3,0)*0.475*44/12</f>
        <v>0.45682274528439254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6.0622588270507434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-5.7639226724859328E-14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373.36760201946345</v>
      </c>
      <c r="AO159" s="62">
        <f t="shared" si="144"/>
        <v>198.19005615475365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81.961605366090254</v>
      </c>
      <c r="T160" s="62">
        <f t="shared" si="142"/>
        <v>408.41952129426909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5.495516899181327</v>
      </c>
      <c r="AA160" s="23">
        <f>EXP(-LN(2)/25)*AA159+(1-EXP(-LN(2)/25))/(LN(2)/25)*Calculateur!V160*Calculateur!X160*VLOOKUP('Données projet'!$B$9,Paramètres!$A$1:$I$89,3,0)*0.475*44/12</f>
        <v>0.44433090329132674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5.939847802472654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-5.7639226724859328E-14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373.36760201946345</v>
      </c>
      <c r="AO160" s="62">
        <f t="shared" si="144"/>
        <v>198.19005615475365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81.961605366090254</v>
      </c>
      <c r="T161" s="62">
        <f t="shared" si="142"/>
        <v>408.41952129426909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5.3877531647227137</v>
      </c>
      <c r="AA161" s="23">
        <f>EXP(-LN(2)/25)*AA160+(1-EXP(-LN(2)/25))/(LN(2)/25)*Calculateur!V161*Calculateur!X161*VLOOKUP('Données projet'!$B$9,Paramètres!$A$1:$I$89,3,0)*0.475*44/12</f>
        <v>0.43218065137447875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5.8199338160971923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-5.7639226724859328E-14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373.36760201946345</v>
      </c>
      <c r="AO161" s="62">
        <f t="shared" si="144"/>
        <v>198.19005615475365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81.961605366090254</v>
      </c>
      <c r="T162" s="62">
        <f t="shared" si="142"/>
        <v>408.41952129426909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5.2821026113674456</v>
      </c>
      <c r="AA162" s="23">
        <f>EXP(-LN(2)/25)*AA161+(1-EXP(-LN(2)/25))/(LN(2)/25)*Calculateur!V162*Calculateur!X162*VLOOKUP('Données projet'!$B$9,Paramètres!$A$1:$I$89,3,0)*0.475*44/12</f>
        <v>0.42036264873525092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5.7024652601026968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-5.7639226724859328E-14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373.36760201946345</v>
      </c>
      <c r="AO162" s="62">
        <f t="shared" si="144"/>
        <v>198.19005615475365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81.961605366090254</v>
      </c>
      <c r="T163" s="62">
        <f t="shared" si="142"/>
        <v>408.41952129426909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5.1785238009230001</v>
      </c>
      <c r="AA163" s="23">
        <f>EXP(-LN(2)/25)*AA162+(1-EXP(-LN(2)/25))/(LN(2)/25)*Calculateur!V163*Calculateur!X163*VLOOKUP('Données projet'!$B$9,Paramètres!$A$1:$I$89,3,0)*0.475*44/12</f>
        <v>0.40886780999967454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5.5873916109226744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-5.7639226724859328E-14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373.36760201946345</v>
      </c>
      <c r="AO163" s="62">
        <f t="shared" si="144"/>
        <v>198.19005615475365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81.961605366090254</v>
      </c>
      <c r="T164" s="62">
        <f t="shared" si="142"/>
        <v>408.41952129426909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5.0769761077745343</v>
      </c>
      <c r="AA164" s="23">
        <f>EXP(-LN(2)/25)*AA163+(1-EXP(-LN(2)/25))/(LN(2)/25)*Calculateur!V164*Calculateur!X164*VLOOKUP('Données projet'!$B$9,Paramètres!$A$1:$I$89,3,0)*0.475*44/12</f>
        <v>0.39768729823380977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5.4746634060083439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-5.7639226724859328E-14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373.36760201946345</v>
      </c>
      <c r="AO164" s="62">
        <f t="shared" si="144"/>
        <v>198.19005615475365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81.961605366090254</v>
      </c>
      <c r="T165" s="62">
        <f t="shared" si="142"/>
        <v>408.41952129426909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4.9774197029507325</v>
      </c>
      <c r="AA165" s="23">
        <f>EXP(-LN(2)/25)*AA164+(1-EXP(-LN(2)/25))/(LN(2)/25)*Calculateur!V165*Calculateur!X165*VLOOKUP('Données projet'!$B$9,Paramètres!$A$1:$I$89,3,0)*0.475*44/12</f>
        <v>0.38681251815014017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5.3642322211008731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-5.7639226724859328E-14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373.36760201946345</v>
      </c>
      <c r="AO165" s="62">
        <f t="shared" si="144"/>
        <v>198.19005615475365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81.961605366090254</v>
      </c>
      <c r="T166" s="62">
        <f t="shared" si="142"/>
        <v>408.41952129426909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4.8798155385021147</v>
      </c>
      <c r="AA166" s="23">
        <f>EXP(-LN(2)/25)*AA165+(1-EXP(-LN(2)/25))/(LN(2)/25)*Calculateur!V166*Calculateur!X166*VLOOKUP('Données projet'!$B$9,Paramètres!$A$1:$I$89,3,0)*0.475*44/12</f>
        <v>0.37623510949973832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5.2560506480018532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-5.7639226724859328E-14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373.36760201946345</v>
      </c>
      <c r="AO166" s="62">
        <f t="shared" si="144"/>
        <v>198.19005615475365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81.961605366090254</v>
      </c>
      <c r="T167" s="62">
        <f t="shared" si="142"/>
        <v>408.41952129426909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4.7841253321856723</v>
      </c>
      <c r="AA167" s="23">
        <f>EXP(-LN(2)/25)*AA166+(1-EXP(-LN(2)/25))/(LN(2)/25)*Calculateur!V167*Calculateur!X167*VLOOKUP('Données projet'!$B$9,Paramètres!$A$1:$I$89,3,0)*0.475*44/12</f>
        <v>0.36594694064512345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5.1500722728307959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-5.7639226724859328E-14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373.36760201946345</v>
      </c>
      <c r="AO167" s="62">
        <f t="shared" si="144"/>
        <v>198.19005615475365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81.961605366090254</v>
      </c>
      <c r="T168" s="62">
        <f t="shared" si="142"/>
        <v>408.41952129426909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4.6903115524498329</v>
      </c>
      <c r="AA168" s="23">
        <f>EXP(-LN(2)/25)*AA167+(1-EXP(-LN(2)/25))/(LN(2)/25)*Calculateur!V168*Calculateur!X168*VLOOKUP('Données projet'!$B$9,Paramètres!$A$1:$I$89,3,0)*0.475*44/12</f>
        <v>0.3559401023088693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5.0462516547587022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-5.7639226724859328E-14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373.36760201946345</v>
      </c>
      <c r="AO168" s="62">
        <f t="shared" si="144"/>
        <v>198.19005615475365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81.961605366090254</v>
      </c>
      <c r="T169" s="62">
        <f t="shared" si="142"/>
        <v>408.41952129426909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4.5983374037138578</v>
      </c>
      <c r="AA169" s="23">
        <f>EXP(-LN(2)/25)*AA168+(1-EXP(-LN(2)/25))/(LN(2)/25)*Calculateur!V169*Calculateur!X169*VLOOKUP('Données projet'!$B$9,Paramètres!$A$1:$I$89,3,0)*0.475*44/12</f>
        <v>0.3462069014931568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4.9445443052070148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-5.7639226724859328E-14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373.36760201946345</v>
      </c>
      <c r="AO169" s="62">
        <f t="shared" si="144"/>
        <v>198.19005615475365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81.961605366090254</v>
      </c>
      <c r="T170" s="62">
        <f t="shared" si="142"/>
        <v>408.41952129426909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4.5081668119359035</v>
      </c>
      <c r="AA170" s="23">
        <f>EXP(-LN(2)/25)*AA169+(1-EXP(-LN(2)/25))/(LN(2)/25)*Calculateur!V170*Calculateur!X170*VLOOKUP('Données projet'!$B$9,Paramètres!$A$1:$I$89,3,0)*0.475*44/12</f>
        <v>0.33673985556559677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4.8449066675015002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-5.7639226724859328E-14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373.36760201946345</v>
      </c>
      <c r="AO170" s="62">
        <f t="shared" si="144"/>
        <v>198.19005615475365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81.961605366090254</v>
      </c>
      <c r="T171" s="62">
        <f t="shared" si="142"/>
        <v>408.41952129426909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4.4197644104640847</v>
      </c>
      <c r="AA171" s="23">
        <f>EXP(-LN(2)/25)*AA170+(1-EXP(-LN(2)/25))/(LN(2)/25)*Calculateur!V171*Calculateur!X171*VLOOKUP('Données projet'!$B$9,Paramètres!$A$1:$I$89,3,0)*0.475*44/12</f>
        <v>0.32753168650677617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4.7472960969708611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-5.7639226724859328E-14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373.36760201946345</v>
      </c>
      <c r="AO171" s="62">
        <f t="shared" si="144"/>
        <v>198.19005615475365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81.961605366090254</v>
      </c>
      <c r="T172" s="62">
        <f t="shared" si="142"/>
        <v>408.41952129426909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4.3330955261649873</v>
      </c>
      <c r="AA172" s="23">
        <f>EXP(-LN(2)/25)*AA171+(1-EXP(-LN(2)/25))/(LN(2)/25)*Calculateur!V172*Calculateur!X172*VLOOKUP('Données projet'!$B$9,Paramètres!$A$1:$I$89,3,0)*0.475*44/12</f>
        <v>0.31857531531510558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4.6516708414800929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-5.7639226724859328E-14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373.36760201946345</v>
      </c>
      <c r="AO172" s="62">
        <f t="shared" si="144"/>
        <v>198.19005615475365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81.961605366090254</v>
      </c>
      <c r="T173" s="62">
        <f t="shared" si="142"/>
        <v>408.41952129426909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4.2481261658241953</v>
      </c>
      <c r="AA173" s="23">
        <f>EXP(-LN(2)/25)*AA172+(1-EXP(-LN(2)/25))/(LN(2)/25)*Calculateur!V173*Calculateur!X173*VLOOKUP('Données projet'!$B$9,Paramètres!$A$1:$I$89,3,0)*0.475*44/12</f>
        <v>0.30986385656466631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4.5579900223888616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-5.7639226724859328E-14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373.36760201946345</v>
      </c>
      <c r="AO173" s="62">
        <f t="shared" si="144"/>
        <v>198.19005615475365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81.961605366090254</v>
      </c>
      <c r="T174" s="62">
        <f t="shared" si="142"/>
        <v>408.41952129426909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4.1648230028134936</v>
      </c>
      <c r="AA174" s="23">
        <f>EXP(-LN(2)/25)*AA173+(1-EXP(-LN(2)/25))/(LN(2)/25)*Calculateur!V174*Calculateur!X174*VLOOKUP('Données projet'!$B$9,Paramètres!$A$1:$I$89,3,0)*0.475*44/12</f>
        <v>0.30139061311187348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4.4662136159253674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-5.7639226724859328E-14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373.36760201946345</v>
      </c>
      <c r="AO174" s="62">
        <f t="shared" si="144"/>
        <v>198.19005615475365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81.961605366090254</v>
      </c>
      <c r="T175" s="62">
        <f t="shared" si="142"/>
        <v>408.41952129426909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4.0831533640195197</v>
      </c>
      <c r="AA175" s="23">
        <f>EXP(-LN(2)/25)*AA174+(1-EXP(-LN(2)/25))/(LN(2)/25)*Calculateur!V175*Calculateur!X175*VLOOKUP('Données projet'!$B$9,Paramètres!$A$1:$I$89,3,0)*0.475*44/12</f>
        <v>0.2931490709468858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4.376302434966405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-5.7639226724859328E-14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373.36760201946345</v>
      </c>
      <c r="AO175" s="62">
        <f t="shared" si="144"/>
        <v>198.19005615475365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81.961605366090254</v>
      </c>
      <c r="T176" s="62">
        <f t="shared" si="142"/>
        <v>408.41952129426909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4.003085217028735</v>
      </c>
      <c r="AA176" s="23">
        <f>EXP(-LN(2)/25)*AA175+(1-EXP(-LN(2)/25))/(LN(2)/25)*Calculateur!V176*Calculateur!X176*VLOOKUP('Données projet'!$B$9,Paramètres!$A$1:$I$89,3,0)*0.475*44/12</f>
        <v>0.28513289418580356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4.2882181112145386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-5.7639226724859328E-14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373.36760201946345</v>
      </c>
      <c r="AO176" s="62">
        <f t="shared" si="144"/>
        <v>198.19005615475365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81.961605366090254</v>
      </c>
      <c r="T177" s="62">
        <f t="shared" si="142"/>
        <v>408.41952129426909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3.9245871575636917</v>
      </c>
      <c r="AA177" s="23">
        <f>EXP(-LN(2)/25)*AA176+(1-EXP(-LN(2)/25))/(LN(2)/25)*Calculateur!V177*Calculateur!X177*VLOOKUP('Données projet'!$B$9,Paramètres!$A$1:$I$89,3,0)*0.475*44/12</f>
        <v>0.27733592019980552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4.2019230777634968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-5.7639226724859328E-14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373.36760201946345</v>
      </c>
      <c r="AO177" s="62">
        <f t="shared" si="144"/>
        <v>198.19005615475365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81.961605366090254</v>
      </c>
      <c r="T178" s="62">
        <f t="shared" si="142"/>
        <v>408.41952129426909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3.8476283971656695</v>
      </c>
      <c r="AA178" s="23">
        <f>EXP(-LN(2)/25)*AA177+(1-EXP(-LN(2)/25))/(LN(2)/25)*Calculateur!V178*Calculateur!X178*VLOOKUP('Données projet'!$B$9,Paramètres!$A$1:$I$89,3,0)*0.475*44/12</f>
        <v>0.26975215487747967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4.1173805520431488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-5.7639226724859328E-14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373.36760201946345</v>
      </c>
      <c r="AO178" s="62">
        <f t="shared" si="144"/>
        <v>198.19005615475365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81.961605366090254</v>
      </c>
      <c r="T179" s="62">
        <f t="shared" si="142"/>
        <v>408.41952129426909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3.7721787511188438</v>
      </c>
      <c r="AA179" s="23">
        <f>EXP(-LN(2)/25)*AA178+(1-EXP(-LN(2)/25))/(LN(2)/25)*Calculateur!V179*Calculateur!X179*VLOOKUP('Données projet'!$B$9,Paramètres!$A$1:$I$89,3,0)*0.475*44/12</f>
        <v>0.2623757680167057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4.0345545191355496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-5.7639226724859328E-14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373.36760201946345</v>
      </c>
      <c r="AO179" s="62">
        <f t="shared" si="144"/>
        <v>198.19005615475365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81.961605366090254</v>
      </c>
      <c r="T180" s="62">
        <f t="shared" si="142"/>
        <v>408.41952129426909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3.6982086266112564</v>
      </c>
      <c r="AA180" s="23">
        <f>EXP(-LN(2)/25)*AA179+(1-EXP(-LN(2)/25))/(LN(2)/25)*Calculateur!V180*Calculateur!X180*VLOOKUP('Données projet'!$B$9,Paramètres!$A$1:$I$89,3,0)*0.475*44/12</f>
        <v>0.25520108884254689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3.9534097154538035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-5.7639226724859328E-14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373.36760201946345</v>
      </c>
      <c r="AO180" s="62">
        <f t="shared" si="144"/>
        <v>198.19005615475365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81.961605366090254</v>
      </c>
      <c r="T181" s="62">
        <f t="shared" si="142"/>
        <v>408.41952129426909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3.6256890111279416</v>
      </c>
      <c r="AA181" s="23">
        <f>EXP(-LN(2)/25)*AA180+(1-EXP(-LN(2)/25))/(LN(2)/25)*Calculateur!V181*Calculateur!X181*VLOOKUP('Données projet'!$B$9,Paramètres!$A$1:$I$89,3,0)*0.475*44/12</f>
        <v>0.24822260164770546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3.8739116127756472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-5.7639226724859328E-14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373.36760201946345</v>
      </c>
      <c r="AO181" s="62">
        <f t="shared" si="144"/>
        <v>198.19005615475365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81.961605366090254</v>
      </c>
      <c r="T182" s="62">
        <f t="shared" si="142"/>
        <v>408.41952129426909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3.5545914610716567</v>
      </c>
      <c r="AA182" s="23">
        <f>EXP(-LN(2)/25)*AA181+(1-EXP(-LN(2)/25))/(LN(2)/25)*Calculateur!V182*Calculateur!X182*VLOOKUP('Données projet'!$B$9,Paramètres!$A$1:$I$89,3,0)*0.475*44/12</f>
        <v>0.24143494155218964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3.7960264026238462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-5.7639226724859328E-14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373.36760201946345</v>
      </c>
      <c r="AO182" s="62">
        <f t="shared" si="144"/>
        <v>198.19005615475365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81.961605366090254</v>
      </c>
      <c r="T183" s="62">
        <f t="shared" si="142"/>
        <v>408.41952129426909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3.4848880906067521</v>
      </c>
      <c r="AA183" s="23">
        <f>EXP(-LN(2)/25)*AA182+(1-EXP(-LN(2)/25))/(LN(2)/25)*Calculateur!V183*Calculateur!X183*VLOOKUP('Données projet'!$B$9,Paramètres!$A$1:$I$89,3,0)*0.475*44/12</f>
        <v>0.23483289037893323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3.7197209809856853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-5.7639226724859328E-14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373.36760201946345</v>
      </c>
      <c r="AO183" s="62">
        <f t="shared" si="144"/>
        <v>198.19005615475365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81.961605366090254</v>
      </c>
      <c r="T184" s="62">
        <f t="shared" si="142"/>
        <v>408.41952129426909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3.416551560721806</v>
      </c>
      <c r="AA184" s="23">
        <f>EXP(-LN(2)/25)*AA183+(1-EXP(-LN(2)/25))/(LN(2)/25)*Calculateur!V184*Calculateur!X184*VLOOKUP('Données projet'!$B$9,Paramètres!$A$1:$I$89,3,0)*0.475*44/12</f>
        <v>0.22841137264219633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3.6449629333640021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-5.7639226724859328E-14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373.36760201946345</v>
      </c>
      <c r="AO184" s="62">
        <f t="shared" si="144"/>
        <v>198.19005615475365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81.961605366090254</v>
      </c>
      <c r="T185" s="62">
        <f t="shared" si="142"/>
        <v>408.41952129426909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3.3495550685067363</v>
      </c>
      <c r="AA185" s="23">
        <f>EXP(-LN(2)/25)*AA184+(1-EXP(-LN(2)/25))/(LN(2)/25)*Calculateur!V185*Calculateur!X185*VLOOKUP('Données projet'!$B$9,Paramètres!$A$1:$I$89,3,0)*0.475*44/12</f>
        <v>0.22216545164566343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3.5717205201523998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-5.7639226724859328E-14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373.36760201946345</v>
      </c>
      <c r="AO185" s="62">
        <f t="shared" si="144"/>
        <v>198.19005615475365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81.961605366090254</v>
      </c>
      <c r="T186" s="62">
        <f t="shared" si="142"/>
        <v>408.41952129426909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3.283872336640179</v>
      </c>
      <c r="AA186" s="23">
        <f>EXP(-LN(2)/25)*AA185+(1-EXP(-LN(2)/25))/(LN(2)/25)*Calculateur!V186*Calculateur!X186*VLOOKUP('Données projet'!$B$9,Paramètres!$A$1:$I$89,3,0)*0.475*44/12</f>
        <v>0.21609032568723943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3.4999626623274183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-5.7639226724859328E-14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373.36760201946345</v>
      </c>
      <c r="AO186" s="62">
        <f t="shared" si="144"/>
        <v>198.19005615475365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81.961605366090254</v>
      </c>
      <c r="T187" s="62">
        <f t="shared" si="142"/>
        <v>408.41952129426909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3.2194776030830141</v>
      </c>
      <c r="AA187" s="23">
        <f>EXP(-LN(2)/25)*AA186+(1-EXP(-LN(2)/25))/(LN(2)/25)*Calculateur!V187*Calculateur!X187*VLOOKUP('Données projet'!$B$9,Paramètres!$A$1:$I$89,3,0)*0.475*44/12</f>
        <v>0.21018132436762552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3.4296589274506397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-5.7639226724859328E-14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373.36760201946345</v>
      </c>
      <c r="AO187" s="62">
        <f t="shared" si="144"/>
        <v>198.19005615475365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81.961605366090254</v>
      </c>
      <c r="T188" s="62">
        <f t="shared" si="142"/>
        <v>408.41952129426909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3.1563456109739962</v>
      </c>
      <c r="AA188" s="23">
        <f>EXP(-LN(2)/25)*AA187+(1-EXP(-LN(2)/25))/(LN(2)/25)*Calculateur!V188*Calculateur!X188*VLOOKUP('Données projet'!$B$9,Paramètres!$A$1:$I$89,3,0)*0.475*44/12</f>
        <v>0.20443390499983732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3.3607795159738334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-5.7639226724859328E-14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373.36760201946345</v>
      </c>
      <c r="AO188" s="62">
        <f t="shared" si="144"/>
        <v>198.19005615475365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81.961605366090254</v>
      </c>
      <c r="T189" s="62">
        <f t="shared" si="142"/>
        <v>408.41952129426909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3.094451598723523</v>
      </c>
      <c r="AA189" s="23">
        <f>EXP(-LN(2)/25)*AA188+(1-EXP(-LN(2)/25))/(LN(2)/25)*Calculateur!V189*Calculateur!X189*VLOOKUP('Données projet'!$B$9,Paramètres!$A$1:$I$89,3,0)*0.475*44/12</f>
        <v>0.19884364911690494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3.2932952478404278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-5.7639226724859328E-14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373.36760201946345</v>
      </c>
      <c r="AO189" s="62">
        <f t="shared" si="144"/>
        <v>198.19005615475365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81.961605366090254</v>
      </c>
      <c r="T190" s="62">
        <f t="shared" si="142"/>
        <v>408.41952129426909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3.033771290301662</v>
      </c>
      <c r="AA190" s="23">
        <f>EXP(-LN(2)/25)*AA189+(1-EXP(-LN(2)/25))/(LN(2)/25)*Calculateur!V190*Calculateur!X190*VLOOKUP('Données projet'!$B$9,Paramètres!$A$1:$I$89,3,0)*0.475*44/12</f>
        <v>0.19340625907507014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3.2271775493767323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-5.7639226724859328E-14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373.36760201946345</v>
      </c>
      <c r="AO190" s="62">
        <f t="shared" si="144"/>
        <v>198.19005615475365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81.961605366090254</v>
      </c>
      <c r="T191" s="62">
        <f t="shared" si="142"/>
        <v>408.41952129426909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2.9742808857166199</v>
      </c>
      <c r="AA191" s="23">
        <f>EXP(-LN(2)/25)*AA190+(1-EXP(-LN(2)/25))/(LN(2)/25)*Calculateur!V191*Calculateur!X191*VLOOKUP('Données projet'!$B$9,Paramètres!$A$1:$I$89,3,0)*0.475*44/12</f>
        <v>0.18811755474986921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3.1623984404664891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-5.7639226724859328E-14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373.36760201946345</v>
      </c>
      <c r="AO191" s="62">
        <f t="shared" si="144"/>
        <v>198.19005615475365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81.961605366090254</v>
      </c>
      <c r="T192" s="62">
        <f t="shared" si="142"/>
        <v>408.41952129426909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2.9159570516799267</v>
      </c>
      <c r="AA192" s="23">
        <f>EXP(-LN(2)/25)*AA191+(1-EXP(-LN(2)/25))/(LN(2)/25)*Calculateur!V192*Calculateur!X192*VLOOKUP('Données projet'!$B$9,Paramètres!$A$1:$I$89,3,0)*0.475*44/12</f>
        <v>0.18297347032256178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3.0989305220024885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-5.7639226724859328E-14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373.36760201946345</v>
      </c>
      <c r="AO192" s="62">
        <f t="shared" si="144"/>
        <v>198.19005615475365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81.961605366090254</v>
      </c>
      <c r="T193" s="62">
        <f t="shared" si="142"/>
        <v>408.41952129426909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2.8587769124546667</v>
      </c>
      <c r="AA193" s="23">
        <f>EXP(-LN(2)/25)*AA192+(1-EXP(-LN(2)/25))/(LN(2)/25)*Calculateur!V193*Calculateur!X193*VLOOKUP('Données projet'!$B$9,Paramètres!$A$1:$I$89,3,0)*0.475*44/12</f>
        <v>0.17797005115443471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3.0367469636091013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-5.7639226724859328E-14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373.36760201946345</v>
      </c>
      <c r="AO193" s="62">
        <f t="shared" si="144"/>
        <v>198.19005615475365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81.961605366090254</v>
      </c>
      <c r="T194" s="62">
        <f t="shared" si="142"/>
        <v>408.41952129426909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2.8027180408831729</v>
      </c>
      <c r="AA194" s="23">
        <f>EXP(-LN(2)/25)*AA193+(1-EXP(-LN(2)/25))/(LN(2)/25)*Calculateur!V194*Calculateur!X194*VLOOKUP('Données projet'!$B$9,Paramètres!$A$1:$I$89,3,0)*0.475*44/12</f>
        <v>0.17310345074657846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2.9758214916297514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-5.7639226724859328E-14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373.36760201946345</v>
      </c>
      <c r="AO194" s="62">
        <f t="shared" si="144"/>
        <v>198.19005615475365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81.961605366090254</v>
      </c>
      <c r="T195" s="62">
        <f t="shared" si="142"/>
        <v>408.41952129426909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2.7477584495906608</v>
      </c>
      <c r="AA195" s="23">
        <f>EXP(-LN(2)/25)*AA194+(1-EXP(-LN(2)/25))/(LN(2)/25)*Calculateur!V195*Calculateur!X195*VLOOKUP('Données projet'!$B$9,Paramètres!$A$1:$I$89,3,0)*0.475*44/12</f>
        <v>0.16836992778279844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2.9161283773734592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-5.7639226724859328E-14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373.36760201946345</v>
      </c>
      <c r="AO195" s="62">
        <f t="shared" si="144"/>
        <v>198.19005615475365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81.961605366090254</v>
      </c>
      <c r="T196" s="62">
        <f t="shared" si="142"/>
        <v>408.41952129426909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2.6938765823613542</v>
      </c>
      <c r="AA196" s="23">
        <f>EXP(-LN(2)/25)*AA195+(1-EXP(-LN(2)/25))/(LN(2)/25)*Calculateur!V196*Calculateur!X196*VLOOKUP('Données projet'!$B$9,Paramètres!$A$1:$I$89,3,0)*0.475*44/12</f>
        <v>0.16376584325338814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2.8576424256147424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-5.7639226724859328E-14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373.36760201946345</v>
      </c>
      <c r="AO196" s="62">
        <f t="shared" si="144"/>
        <v>198.19005615475365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81.961605366090254</v>
      </c>
      <c r="T197" s="62">
        <f t="shared" ref="T197:T203" si="204">$T$3</f>
        <v>408.41952129426909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2.6410513056837206</v>
      </c>
      <c r="AA197" s="23">
        <f>EXP(-LN(2)/25)*AA196+(1-EXP(-LN(2)/25))/(LN(2)/25)*Calculateur!V197*Calculateur!X197*VLOOKUP('Données projet'!$B$9,Paramètres!$A$1:$I$89,3,0)*0.475*44/12</f>
        <v>0.15928765765755284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2.8003389633412734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-5.7639226724859328E-14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373.36760201946345</v>
      </c>
      <c r="AO197" s="62">
        <f t="shared" ref="AO197:AO203" si="205">$AO$3</f>
        <v>198.19005615475365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81.961605366090254</v>
      </c>
      <c r="T198" s="62">
        <f t="shared" si="204"/>
        <v>408.41952129426909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2.5892619004614978</v>
      </c>
      <c r="AA198" s="23">
        <f>EXP(-LN(2)/25)*AA197+(1-EXP(-LN(2)/25))/(LN(2)/25)*Calculateur!V198*Calculateur!X198*VLOOKUP('Données projet'!$B$9,Paramètres!$A$1:$I$89,3,0)*0.475*44/12</f>
        <v>0.15493192828233321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2.744193828743831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-5.7639226724859328E-14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373.36760201946345</v>
      </c>
      <c r="AO198" s="62">
        <f t="shared" si="205"/>
        <v>198.19005615475365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81.961605366090254</v>
      </c>
      <c r="T199" s="62">
        <f t="shared" si="204"/>
        <v>408.41952129426909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2.538488053887265</v>
      </c>
      <c r="AA199" s="23">
        <f>EXP(-LN(2)/25)*AA198+(1-EXP(-LN(2)/25))/(LN(2)/25)*Calculateur!V199*Calculateur!X199*VLOOKUP('Données projet'!$B$9,Paramètres!$A$1:$I$89,3,0)*0.475*44/12</f>
        <v>0.1506953065559368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2.6891833604432018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-5.7639226724859328E-14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373.36760201946345</v>
      </c>
      <c r="AO199" s="62">
        <f t="shared" si="205"/>
        <v>198.19005615475365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81.961605366090254</v>
      </c>
      <c r="T200" s="62">
        <f t="shared" si="204"/>
        <v>408.41952129426909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2.4887098514753641</v>
      </c>
      <c r="AA200" s="23">
        <f>EXP(-LN(2)/25)*AA199+(1-EXP(-LN(2)/25))/(LN(2)/25)*Calculateur!V200*Calculateur!X200*VLOOKUP('Données projet'!$B$9,Paramètres!$A$1:$I$89,3,0)*0.475*44/12</f>
        <v>0.14657453547344296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2.6352843869488072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-5.7639226724859328E-14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373.36760201946345</v>
      </c>
      <c r="AO200" s="62">
        <f t="shared" si="205"/>
        <v>198.19005615475365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81.961605366090254</v>
      </c>
      <c r="T201" s="62">
        <f t="shared" si="204"/>
        <v>408.41952129426909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2.4399077692510551</v>
      </c>
      <c r="AA201" s="23">
        <f>EXP(-LN(2)/25)*AA200+(1-EXP(-LN(2)/25))/(LN(2)/25)*Calculateur!V201*Calculateur!X201*VLOOKUP('Données projet'!$B$9,Paramètres!$A$1:$I$89,3,0)*0.475*44/12</f>
        <v>0.14256644709290184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2.5824742163439569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-5.7639226724859328E-14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373.36760201946345</v>
      </c>
      <c r="AO201" s="62">
        <f t="shared" si="205"/>
        <v>198.19005615475365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81.961605366090254</v>
      </c>
      <c r="T202" s="62">
        <f t="shared" si="204"/>
        <v>408.41952129426909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2.3920626660928339</v>
      </c>
      <c r="AA202" s="23">
        <f>EXP(-LN(2)/25)*AA201+(1-EXP(-LN(2)/25))/(LN(2)/25)*Calculateur!V202*Calculateur!X202*VLOOKUP('Données projet'!$B$9,Paramètres!$A$1:$I$89,3,0)*0.475*44/12</f>
        <v>0.13866796009990282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2.5307306261927369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-5.7639226724859328E-14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373.36760201946345</v>
      </c>
      <c r="AO202" s="62">
        <f t="shared" si="205"/>
        <v>198.19005615475365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81.961605366090254</v>
      </c>
      <c r="T203" s="62">
        <f t="shared" si="204"/>
        <v>408.41952129426909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2.3451557762249142</v>
      </c>
      <c r="AA203" s="23">
        <f>EXP(-LN(2)/25)*AA202+(1-EXP(-LN(2)/25))/(LN(2)/25)*Calculateur!V203*Calculateur!X203*VLOOKUP('Données projet'!$B$9,Paramètres!$A$1:$I$89,3,0)*0.475*44/12</f>
        <v>0.13487607743873989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2.4800318536636543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-5.7639226724859328E-14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373.36760201946345</v>
      </c>
      <c r="AO203" s="62">
        <f t="shared" si="205"/>
        <v>198.19005615475365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1.4746195246963181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V23" sqref="V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Koster</v>
      </c>
      <c r="B6" s="155">
        <f>'Données projet'!D9</f>
        <v>4.9794400000000003</v>
      </c>
      <c r="C6" s="156">
        <f ca="1">IF(OR('Données projet'!B9="",'Données projet'!C9="",'Données projet'!C9=0%),0,Calculateur!S3)</f>
        <v>81.961605366090254</v>
      </c>
      <c r="D6" s="156">
        <f>IF(OR('Données projet'!B9="",'Données projet'!C9="",'Données projet'!C9=0%),0,Calculateur!T3)</f>
        <v>408.41952129426909</v>
      </c>
      <c r="E6" s="156">
        <f ca="1">MIN(C6,D6)</f>
        <v>81.961605366090254</v>
      </c>
      <c r="F6" s="156">
        <f ca="1">E6*B6</f>
        <v>408.12289622412447</v>
      </c>
      <c r="G6" s="156">
        <f ca="1">F6*(100%-'Données projet'!$C$24)*(100%-'Données projet'!$C$25)*(100%-'Données projet'!$C$26)*(100%-'Données projet'!$C$27)</f>
        <v>367.31060660171204</v>
      </c>
      <c r="H6" s="157">
        <f>IF(OR('Données projet'!B9="",'Données projet'!C9="",'Données projet'!C9=0%),0,AVERAGE(Calculateur!$AC$3:$AC$33)*B6)</f>
        <v>251.44634498219415</v>
      </c>
      <c r="I6" s="158">
        <f>H6*(100%-'Données projet'!$C$24)*(100%-'Données projet'!$C$25)*(100%-'Données projet'!$C$26)*(100%-'Données projet'!$C$27)</f>
        <v>226.30171048397474</v>
      </c>
      <c r="J6" s="159">
        <f>IF(OR('Données projet'!B9="",'Données projet'!C9="",'Données projet'!C9=0%),0,SUM(Calculateur!$V$3:$V$33)*VLOOKUP('Données projet'!$B$9,Paramètres!$A$1:$I$89,9,0)*B6)</f>
        <v>1738.6710648000003</v>
      </c>
      <c r="K6" s="160">
        <f>J6*(100%-'Données projet'!$C$24)*(100%-'Données projet'!$C$25)*(100%-'Données projet'!$C$26)*(100%-'Données projet'!$C$27)</f>
        <v>1564.8039583200002</v>
      </c>
      <c r="L6" s="161">
        <f ca="1">G6+I6+K6</f>
        <v>2158.416275405687</v>
      </c>
      <c r="M6" s="25">
        <f ca="1">L6/B6</f>
        <v>433.46566589931535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0.37948800000000005</v>
      </c>
      <c r="C7" s="156">
        <f ca="1">IF(OR('Données projet'!B10="",'Données projet'!C10="",'Données projet'!C10=0%),0,Calculateur!AN3)</f>
        <v>373.36760201946345</v>
      </c>
      <c r="D7" s="156">
        <f>IF(OR('Données projet'!B10="",'Données projet'!C10="",'Données projet'!C10=0%),0,Calculateur!AO3)</f>
        <v>198.19005615475365</v>
      </c>
      <c r="E7" s="156">
        <f t="shared" ref="E7:E15" ca="1" si="0">MIN(C7,D7)</f>
        <v>198.19005615475365</v>
      </c>
      <c r="F7" s="156">
        <f t="shared" ref="F7:F15" ca="1" si="1">E7*B7</f>
        <v>75.210748030055157</v>
      </c>
      <c r="G7" s="156">
        <f ca="1">F7*(100%-'Données projet'!$C$24)*(100%-'Données projet'!$C$25)*(100%-'Données projet'!$C$26)*(100%-'Données projet'!$C$27)</f>
        <v>67.689673227049639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67.689673227049639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483.3336442541796</v>
      </c>
      <c r="G16" s="175">
        <f t="shared" ca="1" si="3"/>
        <v>435.00027982876168</v>
      </c>
      <c r="H16" s="176">
        <f t="shared" si="3"/>
        <v>251.44634498219415</v>
      </c>
      <c r="I16" s="176">
        <f t="shared" si="3"/>
        <v>226.30171048397474</v>
      </c>
      <c r="J16" s="177">
        <f t="shared" si="3"/>
        <v>1738.6710648000003</v>
      </c>
      <c r="K16" s="177">
        <f t="shared" si="3"/>
        <v>1564.8039583200002</v>
      </c>
      <c r="L16" s="178">
        <f t="shared" ca="1" si="3"/>
        <v>2226.1059486327367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" zoomScale="90" zoomScaleNormal="90" workbookViewId="0">
      <selection activeCell="I61" sqref="I6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8758.4114972522657</v>
      </c>
      <c r="U10" s="190">
        <f>'Données projet'!D9</f>
        <v>4.9794400000000003</v>
      </c>
      <c r="V10" s="189">
        <f>U10*T10</f>
        <v>43611.984545877822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347.49136972109613</v>
      </c>
      <c r="U11" s="190">
        <f>'Données projet'!D10</f>
        <v>0.37948800000000005</v>
      </c>
      <c r="V11" s="189">
        <f t="shared" ref="V11" si="0">U11*T11</f>
        <v>131.86880491271936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(4017+13778)/5.4</f>
        <v>3295.37037037037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3404/5.4</f>
        <v>630.37037037037032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3035/5.4</f>
        <v>562.03703703703695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339</v>
      </c>
      <c r="C23" s="206">
        <v>50</v>
      </c>
      <c r="D23" s="194">
        <f>B23*C23</f>
        <v>16950</v>
      </c>
      <c r="E23" s="206"/>
      <c r="F23" s="261"/>
      <c r="H23" s="203">
        <v>3</v>
      </c>
      <c r="I23" s="204">
        <f>3323/5.4</f>
        <v>615.37037037037032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17198.363734347469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29070.871872991564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462</v>
      </c>
      <c r="Q25" s="265"/>
      <c r="R25" s="25"/>
      <c r="S25" s="198" t="s">
        <v>266</v>
      </c>
      <c r="T25" s="337">
        <f ca="1">T23-T24</f>
        <v>-11872.508138644094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5423.6701255581274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462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442.10526315789474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423.06723747166967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404.84903107336811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387.41534074006529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370.73238348331608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354.76783108451303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339.49074744929476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324.87152865961235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310.88184560728456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297.49458909788001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284.68381731854544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272.42470556798617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260.69349815118289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249.46746234562963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238.72484434988479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 t="str">
        <f>IF(O48+1&lt;=MIN('Données projet'!$E$9:$E$18),O48+1,"STOP")</f>
        <v>STOP</v>
      </c>
      <c r="P49" s="197" t="e">
        <f t="shared" si="3"/>
        <v>#VALUE!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e">
        <f>IF(O49+1&lt;=MIN('Données projet'!$E$9:$E$18),O49+1,"STOP")</f>
        <v>#VALUE!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13</v>
      </c>
      <c r="C56" s="292">
        <v>4</v>
      </c>
      <c r="D56" s="191">
        <f t="shared" si="4"/>
        <v>52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14</v>
      </c>
      <c r="C57" s="292">
        <v>8</v>
      </c>
      <c r="D57" s="191">
        <f t="shared" si="4"/>
        <v>112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14</v>
      </c>
      <c r="C58" s="292">
        <v>10</v>
      </c>
      <c r="D58" s="191">
        <f t="shared" si="4"/>
        <v>140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14</v>
      </c>
      <c r="C59" s="292">
        <v>10</v>
      </c>
      <c r="D59" s="191">
        <f t="shared" si="4"/>
        <v>140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14</v>
      </c>
      <c r="C60" s="292">
        <v>15</v>
      </c>
      <c r="D60" s="191">
        <f t="shared" si="4"/>
        <v>210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14</v>
      </c>
      <c r="C61" s="292">
        <v>15</v>
      </c>
      <c r="D61" s="191">
        <f t="shared" si="4"/>
        <v>210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14</v>
      </c>
      <c r="C62" s="292">
        <v>15</v>
      </c>
      <c r="D62" s="191">
        <f t="shared" si="4"/>
        <v>210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14</v>
      </c>
      <c r="C63" s="292">
        <v>15</v>
      </c>
      <c r="D63" s="191">
        <f t="shared" si="4"/>
        <v>210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14</v>
      </c>
      <c r="C64" s="292">
        <v>20</v>
      </c>
      <c r="D64" s="191">
        <f t="shared" si="4"/>
        <v>280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14</v>
      </c>
      <c r="C65" s="292">
        <v>20</v>
      </c>
      <c r="D65" s="191">
        <f t="shared" si="4"/>
        <v>280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14</v>
      </c>
      <c r="C66" s="292">
        <v>20</v>
      </c>
      <c r="D66" s="191">
        <f t="shared" si="4"/>
        <v>280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14</v>
      </c>
      <c r="C67" s="292">
        <v>20</v>
      </c>
      <c r="D67" s="191">
        <f t="shared" si="4"/>
        <v>280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14</v>
      </c>
      <c r="C68" s="292">
        <v>30</v>
      </c>
      <c r="D68" s="191">
        <f t="shared" si="4"/>
        <v>420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13</v>
      </c>
      <c r="C69" s="292">
        <v>30</v>
      </c>
      <c r="D69" s="191">
        <f t="shared" si="4"/>
        <v>390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13</v>
      </c>
      <c r="C70" s="292">
        <v>40</v>
      </c>
      <c r="D70" s="191">
        <f t="shared" si="4"/>
        <v>520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13</v>
      </c>
      <c r="C71" s="292">
        <v>50</v>
      </c>
      <c r="D71" s="191">
        <f t="shared" si="4"/>
        <v>650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13</v>
      </c>
      <c r="C72" s="292">
        <v>70</v>
      </c>
      <c r="D72" s="191">
        <f t="shared" si="4"/>
        <v>910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222</v>
      </c>
      <c r="C73" s="292">
        <v>150</v>
      </c>
      <c r="D73" s="191">
        <f t="shared" si="4"/>
        <v>33300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2024-11-19T13:52:57Z</dcterms:modified>
</cp:coreProperties>
</file>