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4_Auxerre\2025\FRENE\"/>
    </mc:Choice>
  </mc:AlternateContent>
  <xr:revisionPtr revIDLastSave="0" documentId="13_ncr:1_{7400E31B-8091-4A3F-A11F-73A9A1B9437E}" xr6:coauthVersionLast="47" xr6:coauthVersionMax="47" xr10:uidLastSave="{00000000-0000-0000-0000-000000000000}"/>
  <bookViews>
    <workbookView xWindow="-12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6" l="1"/>
  <c r="D199" i="1"/>
  <c r="D198" i="1"/>
  <c r="D197" i="1"/>
  <c r="D196" i="1"/>
  <c r="D195" i="1"/>
  <c r="D194" i="1"/>
  <c r="D193" i="1"/>
  <c r="B173" i="1"/>
  <c r="B172" i="1"/>
  <c r="B171" i="1"/>
  <c r="B170" i="1"/>
  <c r="B169" i="1"/>
  <c r="B168" i="1"/>
  <c r="B167" i="1"/>
  <c r="B147" i="1"/>
  <c r="B146" i="1"/>
  <c r="B145" i="1"/>
  <c r="B144" i="1"/>
  <c r="B143" i="1"/>
  <c r="B142" i="1"/>
  <c r="B141" i="1"/>
  <c r="B140" i="1"/>
  <c r="D123" i="1"/>
  <c r="B123" i="1"/>
  <c r="D122" i="1"/>
  <c r="B122" i="1"/>
  <c r="D121" i="1"/>
  <c r="B121" i="1"/>
  <c r="D120" i="1"/>
  <c r="B120" i="1"/>
  <c r="D119" i="1"/>
  <c r="B119" i="1"/>
  <c r="D118" i="1"/>
  <c r="B118" i="1"/>
  <c r="D117" i="1"/>
  <c r="B117" i="1"/>
  <c r="D116" i="1"/>
  <c r="B116" i="1"/>
  <c r="D115" i="1"/>
  <c r="B115" i="1"/>
  <c r="B114" i="1"/>
  <c r="D96" i="1"/>
  <c r="B96" i="1"/>
  <c r="D95" i="1"/>
  <c r="B95" i="1"/>
  <c r="D94" i="1"/>
  <c r="B94" i="1"/>
  <c r="D93" i="1"/>
  <c r="B93" i="1"/>
  <c r="D92" i="1"/>
  <c r="B92" i="1"/>
  <c r="D91" i="1"/>
  <c r="B91" i="1"/>
  <c r="D90" i="1"/>
  <c r="B90" i="1"/>
  <c r="D89" i="1"/>
  <c r="B89" i="1"/>
  <c r="B88" i="1"/>
  <c r="D78" i="1"/>
  <c r="B78" i="1"/>
  <c r="D77" i="1"/>
  <c r="B77" i="1"/>
  <c r="D76" i="1"/>
  <c r="B76" i="1"/>
  <c r="D75" i="1"/>
  <c r="B75" i="1"/>
  <c r="D74" i="1"/>
  <c r="B74" i="1"/>
  <c r="D73" i="1"/>
  <c r="B73" i="1"/>
  <c r="D72" i="1"/>
  <c r="B72" i="1"/>
  <c r="D71" i="1"/>
  <c r="B71" i="1"/>
  <c r="D70" i="1"/>
  <c r="B70" i="1"/>
  <c r="D69" i="1"/>
  <c r="B69" i="1"/>
  <c r="D68" i="1"/>
  <c r="B68" i="1"/>
  <c r="D67" i="1"/>
  <c r="B67" i="1"/>
  <c r="D66" i="1"/>
  <c r="B66" i="1"/>
  <c r="D65" i="1"/>
  <c r="B65" i="1"/>
  <c r="D64" i="1"/>
  <c r="B64" i="1"/>
  <c r="D63" i="1"/>
  <c r="B63" i="1"/>
  <c r="B62" i="1"/>
  <c r="D51" i="1"/>
  <c r="B51" i="1"/>
  <c r="D50" i="1"/>
  <c r="B50" i="1"/>
  <c r="D49" i="1"/>
  <c r="B49" i="1"/>
  <c r="D48" i="1"/>
  <c r="B48" i="1"/>
  <c r="D47" i="1"/>
  <c r="B47" i="1"/>
  <c r="D46" i="1"/>
  <c r="B46" i="1"/>
  <c r="D45" i="1"/>
  <c r="B45" i="1"/>
  <c r="D44" i="1"/>
  <c r="B44" i="1"/>
  <c r="D43" i="1"/>
  <c r="B43" i="1"/>
  <c r="D42" i="1"/>
  <c r="B42" i="1"/>
  <c r="D41" i="1"/>
  <c r="B41" i="1"/>
  <c r="D40" i="1"/>
  <c r="B40" i="1"/>
  <c r="D39" i="1"/>
  <c r="B39" i="1"/>
  <c r="D38" i="1"/>
  <c r="B38" i="1"/>
  <c r="D37" i="1"/>
  <c r="B37" i="1"/>
  <c r="B3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Q4" i="2" l="1"/>
  <c r="EC4" i="2"/>
  <c r="FR4" i="2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A38" i="2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HI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H141" i="2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EA146" i="2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EB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EA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B178" i="2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EA192" i="2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Y194" i="2" l="1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<sst xmlns="http://schemas.openxmlformats.org/spreadsheetml/2006/main" count="1177" uniqueCount="324">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</sst>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2.6675160418488701</c:v>
                </c:pt>
                <c:pt idx="2">
                  <c:v>3.0797796475340888</c:v>
                </c:pt>
                <c:pt idx="3">
                  <c:v>3.5559878385050854</c:v>
                </c:pt>
                <c:pt idx="4">
                  <c:v>4.1060924309989639</c:v>
                </c:pt>
                <c:pt idx="5">
                  <c:v>4.7415989716746161</c:v>
                </c:pt>
                <c:pt idx="6">
                  <c:v>5.4758100289950429</c:v>
                </c:pt>
                <c:pt idx="7">
                  <c:v>6.3241066841717739</c:v>
                </c:pt>
                <c:pt idx="8">
                  <c:v>7.3042742344467291</c:v>
                </c:pt>
                <c:pt idx="9">
                  <c:v>8.4368790700879845</c:v>
                </c:pt>
                <c:pt idx="10">
                  <c:v>9.7457047850437757</c:v>
                </c:pt>
                <c:pt idx="11">
                  <c:v>11.258256853487337</c:v>
                </c:pt>
                <c:pt idx="12">
                  <c:v>13.006346678015461</c:v>
                </c:pt>
                <c:pt idx="13">
                  <c:v>15.026767521926386</c:v>
                </c:pt>
                <c:pt idx="14">
                  <c:v>17.362076814748239</c:v>
                </c:pt>
                <c:pt idx="15">
                  <c:v>20.06150160983681</c:v>
                </c:pt>
                <c:pt idx="16">
                  <c:v>23.181986625026479</c:v>
                </c:pt>
                <c:pt idx="17">
                  <c:v>26.789407369499227</c:v>
                </c:pt>
                <c:pt idx="18">
                  <c:v>30.959974418863357</c:v>
                </c:pt>
                <c:pt idx="19">
                  <c:v>35.781859023124703</c:v>
                </c:pt>
                <c:pt idx="20">
                  <c:v>41.357075008275459</c:v>
                </c:pt>
                <c:pt idx="21">
                  <c:v>47.803657465333458</c:v>
                </c:pt>
                <c:pt idx="22">
                  <c:v>55.258185131035383</c:v>
                </c:pt>
                <c:pt idx="23">
                  <c:v>63.878700791334211</c:v>
                </c:pt>
                <c:pt idx="24">
                  <c:v>73.848092643840616</c:v>
                </c:pt>
                <c:pt idx="25">
                  <c:v>85.37800952552827</c:v>
                </c:pt>
                <c:pt idx="26">
                  <c:v>98.71339446431891</c:v>
                </c:pt>
                <c:pt idx="27">
                  <c:v>114.13773439901051</c:v>
                </c:pt>
                <c:pt idx="28">
                  <c:v>131.9791394228651</c:v>
                </c:pt>
                <c:pt idx="29">
                  <c:v>152.61738287987308</c:v>
                </c:pt>
                <c:pt idx="30">
                  <c:v>176.49205447088363</c:v>
                </c:pt>
                <c:pt idx="31">
                  <c:v>186.95359711706033</c:v>
                </c:pt>
                <c:pt idx="32">
                  <c:v>197.40148207463395</c:v>
                </c:pt>
                <c:pt idx="33">
                  <c:v>207.83653473133492</c:v>
                </c:pt>
                <c:pt idx="34">
                  <c:v>218.25949073176866</c:v>
                </c:pt>
                <c:pt idx="35">
                  <c:v>228.67100964856897</c:v>
                </c:pt>
                <c:pt idx="36">
                  <c:v>239.07168602996975</c:v>
                </c:pt>
                <c:pt idx="37">
                  <c:v>249.46205842189795</c:v>
                </c:pt>
                <c:pt idx="38">
                  <c:v>259.8426168066029</c:v>
                </c:pt>
                <c:pt idx="39">
                  <c:v>270.21380878920627</c:v>
                </c:pt>
                <c:pt idx="40">
                  <c:v>280.57604478389567</c:v>
                </c:pt>
                <c:pt idx="41">
                  <c:v>290.92970239325638</c:v>
                </c:pt>
                <c:pt idx="42">
                  <c:v>301.27513013111576</c:v>
                </c:pt>
                <c:pt idx="43">
                  <c:v>311.61265060694552</c:v>
                </c:pt>
                <c:pt idx="44">
                  <c:v>321.94256326534446</c:v>
                </c:pt>
                <c:pt idx="45">
                  <c:v>210.01760539829328</c:v>
                </c:pt>
                <c:pt idx="46">
                  <c:v>223.3433746739031</c:v>
                </c:pt>
                <c:pt idx="47">
                  <c:v>236.65091661924077</c:v>
                </c:pt>
                <c:pt idx="48">
                  <c:v>249.94140096875267</c:v>
                </c:pt>
                <c:pt idx="49">
                  <c:v>263.21586282211655</c:v>
                </c:pt>
                <c:pt idx="50">
                  <c:v>276.47522429459542</c:v>
                </c:pt>
                <c:pt idx="51">
                  <c:v>289.72031179267179</c:v>
                </c:pt>
                <c:pt idx="52">
                  <c:v>228.87902042277122</c:v>
                </c:pt>
                <c:pt idx="53">
                  <c:v>241.33853237147972</c:v>
                </c:pt>
                <c:pt idx="54">
                  <c:v>253.78341018742489</c:v>
                </c:pt>
                <c:pt idx="55">
                  <c:v>266.21447290517364</c:v>
                </c:pt>
                <c:pt idx="56">
                  <c:v>278.63245677901716</c:v>
                </c:pt>
                <c:pt idx="57">
                  <c:v>291.03802704516664</c:v>
                </c:pt>
                <c:pt idx="58">
                  <c:v>303.43178757201281</c:v>
                </c:pt>
                <c:pt idx="59">
                  <c:v>315.81428885019949</c:v>
                </c:pt>
                <c:pt idx="60">
                  <c:v>251.78351312244976</c:v>
                </c:pt>
                <c:pt idx="61">
                  <c:v>263.34000449594265</c:v>
                </c:pt>
                <c:pt idx="62">
                  <c:v>274.88505676542917</c:v>
                </c:pt>
                <c:pt idx="63">
                  <c:v>286.41921831121891</c:v>
                </c:pt>
                <c:pt idx="64">
                  <c:v>297.94298971608151</c:v>
                </c:pt>
                <c:pt idx="65">
                  <c:v>309.45682965861977</c:v>
                </c:pt>
                <c:pt idx="66">
                  <c:v>320.96115988314858</c:v>
                </c:pt>
                <c:pt idx="67">
                  <c:v>332.45636941938818</c:v>
                </c:pt>
                <c:pt idx="68">
                  <c:v>281.50796218784762</c:v>
                </c:pt>
                <c:pt idx="69">
                  <c:v>292.545155837614</c:v>
                </c:pt>
                <c:pt idx="70">
                  <c:v>303.57305400018032</c:v>
                </c:pt>
                <c:pt idx="71">
                  <c:v>314.59204211276312</c:v>
                </c:pt>
                <c:pt idx="72">
                  <c:v>325.60247639377735</c:v>
                </c:pt>
                <c:pt idx="73">
                  <c:v>336.60468699221047</c:v>
                </c:pt>
                <c:pt idx="74">
                  <c:v>347.59898070352688</c:v>
                </c:pt>
                <c:pt idx="75">
                  <c:v>358.58564332386726</c:v>
                </c:pt>
                <c:pt idx="76">
                  <c:v>309.45579518663413</c:v>
                </c:pt>
                <c:pt idx="77">
                  <c:v>320.11097004984299</c:v>
                </c:pt>
                <c:pt idx="78">
                  <c:v>330.75829794599554</c:v>
                </c:pt>
                <c:pt idx="79">
                  <c:v>341.39806719991861</c:v>
                </c:pt>
                <c:pt idx="80">
                  <c:v>352.03054668974067</c:v>
                </c:pt>
                <c:pt idx="81">
                  <c:v>362.65598771889108</c:v>
                </c:pt>
                <c:pt idx="82">
                  <c:v>373.27462565717025</c:v>
                </c:pt>
                <c:pt idx="83">
                  <c:v>383.88668138527265</c:v>
                </c:pt>
                <c:pt idx="84">
                  <c:v>394.49236257119691</c:v>
                </c:pt>
                <c:pt idx="85">
                  <c:v>336.95058721961857</c:v>
                </c:pt>
                <c:pt idx="86">
                  <c:v>347.11556558587159</c:v>
                </c:pt>
                <c:pt idx="87">
                  <c:v>357.27401054854323</c:v>
                </c:pt>
                <c:pt idx="88">
                  <c:v>367.42613414859778</c:v>
                </c:pt>
                <c:pt idx="89">
                  <c:v>377.57213574794014</c:v>
                </c:pt>
                <c:pt idx="90">
                  <c:v>387.71220311524468</c:v>
                </c:pt>
                <c:pt idx="91">
                  <c:v>397.84651339222506</c:v>
                </c:pt>
                <c:pt idx="92">
                  <c:v>407.97523395628696</c:v>
                </c:pt>
                <c:pt idx="93">
                  <c:v>418.09852319302132</c:v>
                </c:pt>
                <c:pt idx="94">
                  <c:v>370.27809221654746</c:v>
                </c:pt>
                <c:pt idx="95">
                  <c:v>380.41787655047784</c:v>
                </c:pt>
                <c:pt idx="96">
                  <c:v>390.55178264624448</c:v>
                </c:pt>
                <c:pt idx="97">
                  <c:v>400.67998459146901</c:v>
                </c:pt>
                <c:pt idx="98">
                  <c:v>410.80264695148441</c:v>
                </c:pt>
                <c:pt idx="99">
                  <c:v>420.91992551704237</c:v>
                </c:pt>
                <c:pt idx="100">
                  <c:v>431.03196797636821</c:v>
                </c:pt>
                <c:pt idx="101">
                  <c:v>441.13891452085255</c:v>
                </c:pt>
                <c:pt idx="102">
                  <c:v>451.2408983923292</c:v>
                </c:pt>
                <c:pt idx="103">
                  <c:v>461.33804637878757</c:v>
                </c:pt>
                <c:pt idx="104">
                  <c:v>395.15912626693824</c:v>
                </c:pt>
                <c:pt idx="105">
                  <c:v>404.97257180631692</c:v>
                </c:pt>
                <c:pt idx="106">
                  <c:v>414.78087724967219</c:v>
                </c:pt>
                <c:pt idx="107">
                  <c:v>424.58418132465653</c:v>
                </c:pt>
                <c:pt idx="108">
                  <c:v>434.38261582791301</c:v>
                </c:pt>
                <c:pt idx="109">
                  <c:v>444.17630612325894</c:v>
                </c:pt>
                <c:pt idx="110">
                  <c:v>453.96537159363237</c:v>
                </c:pt>
                <c:pt idx="111">
                  <c:v>463.74992605201828</c:v>
                </c:pt>
                <c:pt idx="112">
                  <c:v>473.53007811588674</c:v>
                </c:pt>
                <c:pt idx="113">
                  <c:v>483.30593154907984</c:v>
                </c:pt>
                <c:pt idx="114">
                  <c:v>432.8155990693013</c:v>
                </c:pt>
                <c:pt idx="115">
                  <c:v>443.01444777265607</c:v>
                </c:pt>
                <c:pt idx="116">
                  <c:v>453.20826667532333</c:v>
                </c:pt>
                <c:pt idx="117">
                  <c:v>463.39718488359148</c:v>
                </c:pt>
                <c:pt idx="118">
                  <c:v>473.58132536211127</c:v>
                </c:pt>
                <c:pt idx="119">
                  <c:v>483.76080535467781</c:v>
                </c:pt>
                <c:pt idx="120">
                  <c:v>493.93573676774707</c:v>
                </c:pt>
                <c:pt idx="121">
                  <c:v>504.10622652070589</c:v>
                </c:pt>
                <c:pt idx="122">
                  <c:v>514.27237686640376</c:v>
                </c:pt>
                <c:pt idx="123">
                  <c:v>524.43428568501929</c:v>
                </c:pt>
                <c:pt idx="124">
                  <c:v>534.59204675396666</c:v>
                </c:pt>
                <c:pt idx="125">
                  <c:v>544.74574999622132</c:v>
                </c:pt>
                <c:pt idx="126">
                  <c:v>462.50915412595759</c:v>
                </c:pt>
                <c:pt idx="127">
                  <c:v>472.57480781864791</c:v>
                </c:pt>
                <c:pt idx="128">
                  <c:v>482.6358981589994</c:v>
                </c:pt>
                <c:pt idx="129">
                  <c:v>492.69253370091127</c:v>
                </c:pt>
                <c:pt idx="130">
                  <c:v>502.74481820472732</c:v>
                </c:pt>
                <c:pt idx="131">
                  <c:v>512.7928509425783</c:v>
                </c:pt>
                <c:pt idx="132">
                  <c:v>522.83672697854365</c:v>
                </c:pt>
                <c:pt idx="133">
                  <c:v>532.87653742616862</c:v>
                </c:pt>
                <c:pt idx="134">
                  <c:v>542.91236968556427</c:v>
                </c:pt>
                <c:pt idx="135">
                  <c:v>552.94430766206358</c:v>
                </c:pt>
                <c:pt idx="136">
                  <c:v>562.97243196818863</c:v>
                </c:pt>
                <c:pt idx="137">
                  <c:v>572.9968201104773</c:v>
                </c:pt>
                <c:pt idx="138">
                  <c:v>484.83750873596932</c:v>
                </c:pt>
                <c:pt idx="139">
                  <c:v>494.62796935081639</c:v>
                </c:pt>
                <c:pt idx="140">
                  <c:v>504.41432391708167</c:v>
                </c:pt>
                <c:pt idx="141">
                  <c:v>514.19666333944122</c:v>
                </c:pt>
                <c:pt idx="142">
                  <c:v>523.97507478125954</c:v>
                </c:pt>
                <c:pt idx="143">
                  <c:v>533.74964188701165</c:v>
                </c:pt>
                <c:pt idx="144">
                  <c:v>543.52044498756334</c:v>
                </c:pt>
                <c:pt idx="145">
                  <c:v>553.28756128992666</c:v>
                </c:pt>
                <c:pt idx="146">
                  <c:v>563.05106505291644</c:v>
                </c:pt>
                <c:pt idx="147">
                  <c:v>572.8110277499942</c:v>
                </c:pt>
                <c:pt idx="148">
                  <c:v>582.56751822043464</c:v>
                </c:pt>
                <c:pt idx="149">
                  <c:v>592.3206028098424</c:v>
                </c:pt>
                <c:pt idx="150">
                  <c:v>367.05615628788252</c:v>
                </c:pt>
                <c:pt idx="151">
                  <c:v>373.02531238000211</c:v>
                </c:pt>
                <c:pt idx="152">
                  <c:v>378.99238662296966</c:v>
                </c:pt>
                <c:pt idx="153">
                  <c:v>384.95741645192157</c:v>
                </c:pt>
                <c:pt idx="154">
                  <c:v>252.8669001492398</c:v>
                </c:pt>
                <c:pt idx="155">
                  <c:v>256.5075597411099</c:v>
                </c:pt>
                <c:pt idx="156">
                  <c:v>260.14705039921705</c:v>
                </c:pt>
                <c:pt idx="157">
                  <c:v>263.7853908188913</c:v>
                </c:pt>
                <c:pt idx="158">
                  <c:v>176.83468552294786</c:v>
                </c:pt>
                <c:pt idx="159">
                  <c:v>179.11325863950739</c:v>
                </c:pt>
                <c:pt idx="160">
                  <c:v>181.39115234734427</c:v>
                </c:pt>
                <c:pt idx="161">
                  <c:v>183.66837640937317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2.6304747110201352</c:v>
                </c:pt>
                <c:pt idx="2">
                  <c:v>2.9948054789559007</c:v>
                </c:pt>
                <c:pt idx="3">
                  <c:v>3.4097769101254549</c:v>
                </c:pt>
                <c:pt idx="4">
                  <c:v>3.8824514584653649</c:v>
                </c:pt>
                <c:pt idx="5">
                  <c:v>4.420879611023909</c:v>
                </c:pt>
                <c:pt idx="6">
                  <c:v>5.034238516275324</c:v>
                </c:pt>
                <c:pt idx="7">
                  <c:v>5.7329901154473992</c:v>
                </c:pt>
                <c:pt idx="8">
                  <c:v>6.5290615274592954</c:v>
                </c:pt>
                <c:pt idx="9">
                  <c:v>7.4360508268756185</c:v>
                </c:pt>
                <c:pt idx="10">
                  <c:v>8.4694617981652822</c:v>
                </c:pt>
                <c:pt idx="11">
                  <c:v>9.6469717563254438</c:v>
                </c:pt>
                <c:pt idx="12">
                  <c:v>10.988737102518002</c:v>
                </c:pt>
                <c:pt idx="13">
                  <c:v>12.517741943965092</c:v>
                </c:pt>
                <c:pt idx="14">
                  <c:v>14.260195861605913</c:v>
                </c:pt>
                <c:pt idx="15">
                  <c:v>16.2459877702324</c:v>
                </c:pt>
                <c:pt idx="16">
                  <c:v>18.50920379919032</c:v>
                </c:pt>
                <c:pt idx="17">
                  <c:v>21.088718244611101</c:v>
                </c:pt>
                <c:pt idx="18">
                  <c:v>24.028867926355232</c:v>
                </c:pt>
                <c:pt idx="19">
                  <c:v>27.380221747047983</c:v>
                </c:pt>
                <c:pt idx="20">
                  <c:v>31.200458922645399</c:v>
                </c:pt>
                <c:pt idx="21">
                  <c:v>35.555371263439412</c:v>
                </c:pt>
                <c:pt idx="22">
                  <c:v>40.520007065060739</c:v>
                </c:pt>
                <c:pt idx="23">
                  <c:v>46.179976659441643</c:v>
                </c:pt>
                <c:pt idx="24">
                  <c:v>52.632942519927703</c:v>
                </c:pt>
                <c:pt idx="25">
                  <c:v>59.990320063127633</c:v>
                </c:pt>
                <c:pt idx="26">
                  <c:v>68.379219000185444</c:v>
                </c:pt>
                <c:pt idx="27">
                  <c:v>77.944659327673889</c:v>
                </c:pt>
                <c:pt idx="28">
                  <c:v>88.852100888331634</c:v>
                </c:pt>
                <c:pt idx="29">
                  <c:v>101.29033096019485</c:v>
                </c:pt>
                <c:pt idx="30">
                  <c:v>115.4747606473389</c:v>
                </c:pt>
                <c:pt idx="31">
                  <c:v>122.44336048246366</c:v>
                </c:pt>
                <c:pt idx="32">
                  <c:v>129.40231590254206</c:v>
                </c:pt>
                <c:pt idx="33">
                  <c:v>136.35221970170323</c:v>
                </c:pt>
                <c:pt idx="34">
                  <c:v>143.29359917732006</c:v>
                </c:pt>
                <c:pt idx="35">
                  <c:v>150.22692626114591</c:v>
                </c:pt>
                <c:pt idx="36">
                  <c:v>157.1526256776888</c:v>
                </c:pt>
                <c:pt idx="37">
                  <c:v>164.07108158586274</c:v>
                </c:pt>
                <c:pt idx="38">
                  <c:v>170.98264303934559</c:v>
                </c:pt>
                <c:pt idx="39">
                  <c:v>177.88762851604102</c:v>
                </c:pt>
                <c:pt idx="40">
                  <c:v>184.78632970610226</c:v>
                </c:pt>
                <c:pt idx="41">
                  <c:v>191.67901470363356</c:v>
                </c:pt>
                <c:pt idx="42">
                  <c:v>198.56593071447472</c:v>
                </c:pt>
                <c:pt idx="43">
                  <c:v>205.44730636804175</c:v>
                </c:pt>
                <c:pt idx="44">
                  <c:v>212.32335370272801</c:v>
                </c:pt>
                <c:pt idx="45">
                  <c:v>219.19426988026797</c:v>
                </c:pt>
                <c:pt idx="46">
                  <c:v>226.06023867358431</c:v>
                </c:pt>
                <c:pt idx="47">
                  <c:v>232.92143176416633</c:v>
                </c:pt>
                <c:pt idx="48">
                  <c:v>239.77800987837665</c:v>
                </c:pt>
                <c:pt idx="49">
                  <c:v>246.63012378681665</c:v>
                </c:pt>
                <c:pt idx="50">
                  <c:v>253.47791518668316</c:v>
                </c:pt>
                <c:pt idx="51">
                  <c:v>260.32151748367414</c:v>
                </c:pt>
                <c:pt idx="52">
                  <c:v>267.16105648727711</c:v>
                </c:pt>
                <c:pt idx="53">
                  <c:v>273.99665103105502</c:v>
                </c:pt>
                <c:pt idx="54">
                  <c:v>280.82841352772942</c:v>
                </c:pt>
                <c:pt idx="55">
                  <c:v>287.6564504673695</c:v>
                </c:pt>
                <c:pt idx="56">
                  <c:v>294.48086286575875</c:v>
                </c:pt>
                <c:pt idx="57">
                  <c:v>301.30174666898682</c:v>
                </c:pt>
                <c:pt idx="58">
                  <c:v>308.11919311945502</c:v>
                </c:pt>
                <c:pt idx="59">
                  <c:v>314.93328908776687</c:v>
                </c:pt>
                <c:pt idx="60">
                  <c:v>321.74411737436884</c:v>
                </c:pt>
                <c:pt idx="61">
                  <c:v>214.45010863273106</c:v>
                </c:pt>
                <c:pt idx="62">
                  <c:v>223.96941779138959</c:v>
                </c:pt>
                <c:pt idx="63">
                  <c:v>233.47945366288806</c:v>
                </c:pt>
                <c:pt idx="64">
                  <c:v>242.98064756639451</c:v>
                </c:pt>
                <c:pt idx="65">
                  <c:v>252.47339430166528</c:v>
                </c:pt>
                <c:pt idx="66">
                  <c:v>261.95805652798663</c:v>
                </c:pt>
                <c:pt idx="67">
                  <c:v>271.43496847511716</c:v>
                </c:pt>
                <c:pt idx="68">
                  <c:v>280.9044391083869</c:v>
                </c:pt>
                <c:pt idx="69">
                  <c:v>290.36675484431993</c:v>
                </c:pt>
                <c:pt idx="70">
                  <c:v>235.80074857838329</c:v>
                </c:pt>
                <c:pt idx="71">
                  <c:v>245.02045784476567</c:v>
                </c:pt>
                <c:pt idx="72">
                  <c:v>254.23228569137893</c:v>
                </c:pt>
                <c:pt idx="73">
                  <c:v>263.43655821796312</c:v>
                </c:pt>
                <c:pt idx="74">
                  <c:v>272.63357685495902</c:v>
                </c:pt>
                <c:pt idx="75">
                  <c:v>281.82362101717945</c:v>
                </c:pt>
                <c:pt idx="76">
                  <c:v>291.00695039294527</c:v>
                </c:pt>
                <c:pt idx="77">
                  <c:v>300.18380692892714</c:v>
                </c:pt>
                <c:pt idx="78">
                  <c:v>259.74548912402537</c:v>
                </c:pt>
                <c:pt idx="79">
                  <c:v>268.8865781781688</c:v>
                </c:pt>
                <c:pt idx="80">
                  <c:v>278.0206717478622</c:v>
                </c:pt>
                <c:pt idx="81">
                  <c:v>287.14803226425778</c:v>
                </c:pt>
                <c:pt idx="82">
                  <c:v>296.26890409886244</c:v>
                </c:pt>
                <c:pt idx="83">
                  <c:v>305.38351533621426</c:v>
                </c:pt>
                <c:pt idx="84">
                  <c:v>314.49207932370922</c:v>
                </c:pt>
                <c:pt idx="85">
                  <c:v>323.59479603237395</c:v>
                </c:pt>
                <c:pt idx="86">
                  <c:v>332.69185325642667</c:v>
                </c:pt>
                <c:pt idx="87">
                  <c:v>288.35825561733924</c:v>
                </c:pt>
                <c:pt idx="88">
                  <c:v>297.44929351276789</c:v>
                </c:pt>
                <c:pt idx="89">
                  <c:v>306.53413881215113</c:v>
                </c:pt>
                <c:pt idx="90">
                  <c:v>315.61300106720921</c:v>
                </c:pt>
                <c:pt idx="91">
                  <c:v>324.68607678062864</c:v>
                </c:pt>
                <c:pt idx="92">
                  <c:v>333.75355056853476</c:v>
                </c:pt>
                <c:pt idx="93">
                  <c:v>342.81559618996067</c:v>
                </c:pt>
                <c:pt idx="94">
                  <c:v>351.87237746171718</c:v>
                </c:pt>
                <c:pt idx="95">
                  <c:v>360.92404907410446</c:v>
                </c:pt>
                <c:pt idx="96">
                  <c:v>310.75089405817272</c:v>
                </c:pt>
                <c:pt idx="97">
                  <c:v>319.80912772274087</c:v>
                </c:pt>
                <c:pt idx="98">
                  <c:v>328.8616841180181</c:v>
                </c:pt>
                <c:pt idx="99">
                  <c:v>337.90874166819123</c:v>
                </c:pt>
                <c:pt idx="100">
                  <c:v>346.95046845698204</c:v>
                </c:pt>
                <c:pt idx="101">
                  <c:v>355.98702308665611</c:v>
                </c:pt>
                <c:pt idx="102">
                  <c:v>365.01855544521135</c:v>
                </c:pt>
                <c:pt idx="103">
                  <c:v>374.0452073936371</c:v>
                </c:pt>
                <c:pt idx="104">
                  <c:v>383.06711338333997</c:v>
                </c:pt>
                <c:pt idx="105">
                  <c:v>337.62377957751374</c:v>
                </c:pt>
                <c:pt idx="106">
                  <c:v>346.7647321247652</c:v>
                </c:pt>
                <c:pt idx="107">
                  <c:v>355.90039527436488</c:v>
                </c:pt>
                <c:pt idx="108">
                  <c:v>365.03092402850547</c:v>
                </c:pt>
                <c:pt idx="109">
                  <c:v>374.15646499788517</c:v>
                </c:pt>
                <c:pt idx="110">
                  <c:v>383.27715705404154</c:v>
                </c:pt>
                <c:pt idx="111">
                  <c:v>392.39313191632488</c:v>
                </c:pt>
                <c:pt idx="112">
                  <c:v>401.50451468145889</c:v>
                </c:pt>
                <c:pt idx="113">
                  <c:v>410.61142430250999</c:v>
                </c:pt>
                <c:pt idx="114">
                  <c:v>362.80443117522736</c:v>
                </c:pt>
                <c:pt idx="115">
                  <c:v>372.05481037651202</c:v>
                </c:pt>
                <c:pt idx="116">
                  <c:v>381.3001761604757</c:v>
                </c:pt>
                <c:pt idx="117">
                  <c:v>390.54066729081529</c:v>
                </c:pt>
                <c:pt idx="118">
                  <c:v>399.77641542564533</c:v>
                </c:pt>
                <c:pt idx="119">
                  <c:v>409.00754564065682</c:v>
                </c:pt>
                <c:pt idx="120">
                  <c:v>418.23417690256929</c:v>
                </c:pt>
                <c:pt idx="121">
                  <c:v>427.45642249861288</c:v>
                </c:pt>
                <c:pt idx="122">
                  <c:v>436.67439042700306</c:v>
                </c:pt>
                <c:pt idx="123">
                  <c:v>383.78619368812286</c:v>
                </c:pt>
                <c:pt idx="124">
                  <c:v>393.13900404679339</c:v>
                </c:pt>
                <c:pt idx="125">
                  <c:v>402.48699071868663</c:v>
                </c:pt>
                <c:pt idx="126">
                  <c:v>411.83028158335838</c:v>
                </c:pt>
                <c:pt idx="127">
                  <c:v>421.16899824201846</c:v>
                </c:pt>
                <c:pt idx="128">
                  <c:v>430.50325646115976</c:v>
                </c:pt>
                <c:pt idx="129">
                  <c:v>439.83316657569753</c:v>
                </c:pt>
                <c:pt idx="130">
                  <c:v>449.15883385610999</c:v>
                </c:pt>
                <c:pt idx="131">
                  <c:v>458.48035884349548</c:v>
                </c:pt>
                <c:pt idx="132">
                  <c:v>467.79783765595442</c:v>
                </c:pt>
                <c:pt idx="133">
                  <c:v>411.79574014270196</c:v>
                </c:pt>
                <c:pt idx="134">
                  <c:v>421.39094156135411</c:v>
                </c:pt>
                <c:pt idx="135">
                  <c:v>430.981439040228</c:v>
                </c:pt>
                <c:pt idx="136">
                  <c:v>440.56735204863531</c:v>
                </c:pt>
                <c:pt idx="137">
                  <c:v>450.14879443126694</c:v>
                </c:pt>
                <c:pt idx="138">
                  <c:v>459.72587478966375</c:v>
                </c:pt>
                <c:pt idx="139">
                  <c:v>469.29869683024191</c:v>
                </c:pt>
                <c:pt idx="140">
                  <c:v>478.86735968243596</c:v>
                </c:pt>
                <c:pt idx="141">
                  <c:v>488.43195819008821</c:v>
                </c:pt>
                <c:pt idx="142">
                  <c:v>497.99258317882374</c:v>
                </c:pt>
                <c:pt idx="143">
                  <c:v>507.5493217018211</c:v>
                </c:pt>
                <c:pt idx="144">
                  <c:v>517.10225726610929</c:v>
                </c:pt>
                <c:pt idx="145">
                  <c:v>445.5484878346154</c:v>
                </c:pt>
                <c:pt idx="146">
                  <c:v>455.3297337445278</c:v>
                </c:pt>
                <c:pt idx="147">
                  <c:v>465.10649068416683</c:v>
                </c:pt>
                <c:pt idx="148">
                  <c:v>474.87886633890304</c:v>
                </c:pt>
                <c:pt idx="149">
                  <c:v>484.64696359962483</c:v>
                </c:pt>
                <c:pt idx="150">
                  <c:v>494.41088087061149</c:v>
                </c:pt>
                <c:pt idx="151">
                  <c:v>504.17071235181538</c:v>
                </c:pt>
                <c:pt idx="152">
                  <c:v>513.92654829815058</c:v>
                </c:pt>
                <c:pt idx="153">
                  <c:v>523.67847525806553</c:v>
                </c:pt>
                <c:pt idx="154">
                  <c:v>533.42657629342273</c:v>
                </c:pt>
                <c:pt idx="155">
                  <c:v>543.17093118246748</c:v>
                </c:pt>
                <c:pt idx="156">
                  <c:v>552.91161660747753</c:v>
                </c:pt>
                <c:pt idx="157">
                  <c:v>475.82276460316598</c:v>
                </c:pt>
                <c:pt idx="158">
                  <c:v>485.76255204965037</c:v>
                </c:pt>
                <c:pt idx="159">
                  <c:v>495.69802222610861</c:v>
                </c:pt>
                <c:pt idx="160">
                  <c:v>505.62927387641224</c:v>
                </c:pt>
                <c:pt idx="161">
                  <c:v>515.55640154868831</c:v>
                </c:pt>
                <c:pt idx="162">
                  <c:v>525.47949585269021</c:v>
                </c:pt>
                <c:pt idx="163">
                  <c:v>535.39864369671363</c:v>
                </c:pt>
                <c:pt idx="164">
                  <c:v>545.31392850604561</c:v>
                </c:pt>
                <c:pt idx="165">
                  <c:v>555.22543042469806</c:v>
                </c:pt>
                <c:pt idx="166">
                  <c:v>565.13322650198916</c:v>
                </c:pt>
                <c:pt idx="167">
                  <c:v>575.0373908653628</c:v>
                </c:pt>
                <c:pt idx="168">
                  <c:v>584.93799488068078</c:v>
                </c:pt>
                <c:pt idx="169">
                  <c:v>500.8960440745891</c:v>
                </c:pt>
                <c:pt idx="170">
                  <c:v>510.81182301373684</c:v>
                </c:pt>
                <c:pt idx="171">
                  <c:v>520.72353666807794</c:v>
                </c:pt>
                <c:pt idx="172">
                  <c:v>530.63127333331011</c:v>
                </c:pt>
                <c:pt idx="173">
                  <c:v>540.53511773879097</c:v>
                </c:pt>
                <c:pt idx="174">
                  <c:v>550.43515125568604</c:v>
                </c:pt>
                <c:pt idx="175">
                  <c:v>560.33145208936605</c:v>
                </c:pt>
                <c:pt idx="176">
                  <c:v>570.22409545750668</c:v>
                </c:pt>
                <c:pt idx="177">
                  <c:v>580.11315375518586</c:v>
                </c:pt>
                <c:pt idx="178">
                  <c:v>589.99869670814132</c:v>
                </c:pt>
                <c:pt idx="179">
                  <c:v>599.8807915152255</c:v>
                </c:pt>
                <c:pt idx="180">
                  <c:v>609.75950298098371</c:v>
                </c:pt>
                <c:pt idx="181">
                  <c:v>385.6183571233351</c:v>
                </c:pt>
                <c:pt idx="182">
                  <c:v>391.84976199847983</c:v>
                </c:pt>
                <c:pt idx="183">
                  <c:v>398.07901764336037</c:v>
                </c:pt>
                <c:pt idx="184">
                  <c:v>404.30616246433732</c:v>
                </c:pt>
                <c:pt idx="185">
                  <c:v>274.65012563220699</c:v>
                </c:pt>
                <c:pt idx="186">
                  <c:v>278.68844915623072</c:v>
                </c:pt>
                <c:pt idx="187">
                  <c:v>282.72545974801784</c:v>
                </c:pt>
                <c:pt idx="188">
                  <c:v>286.76117883484477</c:v>
                </c:pt>
                <c:pt idx="189">
                  <c:v>193.31449115184367</c:v>
                </c:pt>
                <c:pt idx="190">
                  <c:v>195.92807653862818</c:v>
                </c:pt>
                <c:pt idx="191">
                  <c:v>198.54085195578338</c:v>
                </c:pt>
                <c:pt idx="192">
                  <c:v>6.1863725141297383E-12</c:v>
                </c:pt>
                <c:pt idx="193">
                  <c:v>6.1863725141297383E-12</c:v>
                </c:pt>
                <c:pt idx="194">
                  <c:v>6.1863725141297383E-12</c:v>
                </c:pt>
                <c:pt idx="195">
                  <c:v>6.1863725141297383E-12</c:v>
                </c:pt>
                <c:pt idx="196">
                  <c:v>6.1863725141297383E-12</c:v>
                </c:pt>
                <c:pt idx="197">
                  <c:v>6.1863725141297383E-12</c:v>
                </c:pt>
                <c:pt idx="198">
                  <c:v>6.1863725141297383E-12</c:v>
                </c:pt>
                <c:pt idx="199">
                  <c:v>6.1863725141297383E-12</c:v>
                </c:pt>
                <c:pt idx="200">
                  <c:v>6.1863725141297383E-12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1.8723031649007107</c:v>
                </c:pt>
                <c:pt idx="2">
                  <c:v>2.4119576082137919</c:v>
                </c:pt>
                <c:pt idx="3">
                  <c:v>3.1077875147547922</c:v>
                </c:pt>
                <c:pt idx="4">
                  <c:v>4.0051622306374703</c:v>
                </c:pt>
                <c:pt idx="5">
                  <c:v>5.1626778961505897</c:v>
                </c:pt>
                <c:pt idx="6">
                  <c:v>6.6560262423418139</c:v>
                </c:pt>
                <c:pt idx="7">
                  <c:v>8.5829984321267663</c:v>
                </c:pt>
                <c:pt idx="8">
                  <c:v>11.069957874647789</c:v>
                </c:pt>
                <c:pt idx="9">
                  <c:v>14.280214431149867</c:v>
                </c:pt>
                <c:pt idx="10">
                  <c:v>18.424860035282308</c:v>
                </c:pt>
                <c:pt idx="11">
                  <c:v>23.776791095098442</c:v>
                </c:pt>
                <c:pt idx="12">
                  <c:v>30.688857312292658</c:v>
                </c:pt>
                <c:pt idx="13">
                  <c:v>39.617354250979595</c:v>
                </c:pt>
                <c:pt idx="14">
                  <c:v>51.152436925971216</c:v>
                </c:pt>
                <c:pt idx="15">
                  <c:v>66.057498260618672</c:v>
                </c:pt>
                <c:pt idx="16">
                  <c:v>85.320161140728672</c:v>
                </c:pt>
                <c:pt idx="17">
                  <c:v>110.21831702865047</c:v>
                </c:pt>
                <c:pt idx="18">
                  <c:v>142.40566097813468</c:v>
                </c:pt>
                <c:pt idx="19">
                  <c:v>184.02249153410344</c:v>
                </c:pt>
                <c:pt idx="20">
                  <c:v>203.3007266873141</c:v>
                </c:pt>
                <c:pt idx="21">
                  <c:v>222.53665149290285</c:v>
                </c:pt>
                <c:pt idx="22">
                  <c:v>168.7566706161912</c:v>
                </c:pt>
                <c:pt idx="23">
                  <c:v>188.97408626306844</c:v>
                </c:pt>
                <c:pt idx="24">
                  <c:v>209.14106954499582</c:v>
                </c:pt>
                <c:pt idx="25">
                  <c:v>229.2631686584871</c:v>
                </c:pt>
                <c:pt idx="26">
                  <c:v>249.34487716008644</c:v>
                </c:pt>
                <c:pt idx="27">
                  <c:v>269.38990512338609</c:v>
                </c:pt>
                <c:pt idx="28">
                  <c:v>289.40136514946488</c:v>
                </c:pt>
                <c:pt idx="29">
                  <c:v>242.80327727023806</c:v>
                </c:pt>
                <c:pt idx="30">
                  <c:v>264.55540625187342</c:v>
                </c:pt>
                <c:pt idx="31">
                  <c:v>286.26720910143649</c:v>
                </c:pt>
                <c:pt idx="32">
                  <c:v>307.94217323717999</c:v>
                </c:pt>
                <c:pt idx="33">
                  <c:v>329.58325501039627</c:v>
                </c:pt>
                <c:pt idx="34">
                  <c:v>351.19299087374634</c:v>
                </c:pt>
                <c:pt idx="35">
                  <c:v>372.77357972834852</c:v>
                </c:pt>
                <c:pt idx="36">
                  <c:v>310.37056459620067</c:v>
                </c:pt>
                <c:pt idx="37">
                  <c:v>332.16291001549854</c:v>
                </c:pt>
                <c:pt idx="38">
                  <c:v>353.92374107920119</c:v>
                </c:pt>
                <c:pt idx="39">
                  <c:v>375.65526675033772</c:v>
                </c:pt>
                <c:pt idx="40">
                  <c:v>397.35941965516298</c:v>
                </c:pt>
                <c:pt idx="41">
                  <c:v>419.03790416885482</c:v>
                </c:pt>
                <c:pt idx="42">
                  <c:v>440.69223402870375</c:v>
                </c:pt>
                <c:pt idx="43">
                  <c:v>365.57312204300916</c:v>
                </c:pt>
                <c:pt idx="44">
                  <c:v>386.44458202636088</c:v>
                </c:pt>
                <c:pt idx="45">
                  <c:v>407.29156713376295</c:v>
                </c:pt>
                <c:pt idx="46">
                  <c:v>428.11550550227406</c:v>
                </c:pt>
                <c:pt idx="47">
                  <c:v>448.91767507952318</c:v>
                </c:pt>
                <c:pt idx="48">
                  <c:v>469.69922578809798</c:v>
                </c:pt>
                <c:pt idx="49">
                  <c:v>490.46119756343563</c:v>
                </c:pt>
                <c:pt idx="50">
                  <c:v>402.3588366856095</c:v>
                </c:pt>
                <c:pt idx="51">
                  <c:v>421.65245364552828</c:v>
                </c:pt>
                <c:pt idx="52">
                  <c:v>440.92706835035841</c:v>
                </c:pt>
                <c:pt idx="53">
                  <c:v>460.18362785912103</c:v>
                </c:pt>
                <c:pt idx="54">
                  <c:v>479.42299355003178</c:v>
                </c:pt>
                <c:pt idx="55">
                  <c:v>498.64595206966368</c:v>
                </c:pt>
                <c:pt idx="56">
                  <c:v>517.85322450630554</c:v>
                </c:pt>
                <c:pt idx="57">
                  <c:v>445.53319473983174</c:v>
                </c:pt>
                <c:pt idx="58">
                  <c:v>463.13961636412461</c:v>
                </c:pt>
                <c:pt idx="59">
                  <c:v>480.73176524290039</c:v>
                </c:pt>
                <c:pt idx="60">
                  <c:v>498.31023693169209</c:v>
                </c:pt>
                <c:pt idx="61">
                  <c:v>515.87558156393777</c:v>
                </c:pt>
                <c:pt idx="62">
                  <c:v>533.42830877562324</c:v>
                </c:pt>
                <c:pt idx="63">
                  <c:v>550.96889194826019</c:v>
                </c:pt>
                <c:pt idx="64">
                  <c:v>472.35430760583859</c:v>
                </c:pt>
                <c:pt idx="65">
                  <c:v>488.11156591254917</c:v>
                </c:pt>
                <c:pt idx="66">
                  <c:v>503.85803335416534</c:v>
                </c:pt>
                <c:pt idx="67">
                  <c:v>519.59409451524732</c:v>
                </c:pt>
                <c:pt idx="68">
                  <c:v>535.32010879645838</c:v>
                </c:pt>
                <c:pt idx="69">
                  <c:v>551.03641277035797</c:v>
                </c:pt>
                <c:pt idx="70">
                  <c:v>566.74332225455601</c:v>
                </c:pt>
                <c:pt idx="71">
                  <c:v>1.8635787380168604E-12</c:v>
                </c:pt>
                <c:pt idx="72">
                  <c:v>1.8635787380168604E-12</c:v>
                </c:pt>
                <c:pt idx="73">
                  <c:v>1.8635787380168604E-12</c:v>
                </c:pt>
                <c:pt idx="74">
                  <c:v>1.8635787380168604E-12</c:v>
                </c:pt>
                <c:pt idx="75">
                  <c:v>1.8635787380168604E-12</c:v>
                </c:pt>
                <c:pt idx="76">
                  <c:v>1.8635787380168604E-12</c:v>
                </c:pt>
                <c:pt idx="77">
                  <c:v>1.8635787380168604E-12</c:v>
                </c:pt>
                <c:pt idx="78">
                  <c:v>1.8635787380168604E-12</c:v>
                </c:pt>
                <c:pt idx="79">
                  <c:v>1.8635787380168604E-12</c:v>
                </c:pt>
                <c:pt idx="80">
                  <c:v>1.8635787380168604E-12</c:v>
                </c:pt>
                <c:pt idx="81">
                  <c:v>1.8635787380168604E-12</c:v>
                </c:pt>
                <c:pt idx="82">
                  <c:v>1.8635787380168604E-12</c:v>
                </c:pt>
                <c:pt idx="83">
                  <c:v>1.8635787380168604E-12</c:v>
                </c:pt>
                <c:pt idx="84">
                  <c:v>1.8635787380168604E-12</c:v>
                </c:pt>
                <c:pt idx="85">
                  <c:v>1.8635787380168604E-12</c:v>
                </c:pt>
                <c:pt idx="86">
                  <c:v>1.8635787380168604E-12</c:v>
                </c:pt>
                <c:pt idx="87">
                  <c:v>1.8635787380168604E-12</c:v>
                </c:pt>
                <c:pt idx="88">
                  <c:v>1.8635787380168604E-12</c:v>
                </c:pt>
                <c:pt idx="89">
                  <c:v>1.8635787380168604E-12</c:v>
                </c:pt>
                <c:pt idx="90">
                  <c:v>1.8635787380168604E-12</c:v>
                </c:pt>
                <c:pt idx="91">
                  <c:v>1.8635787380168604E-12</c:v>
                </c:pt>
                <c:pt idx="92">
                  <c:v>1.8635787380168604E-12</c:v>
                </c:pt>
                <c:pt idx="93">
                  <c:v>1.8635787380168604E-12</c:v>
                </c:pt>
                <c:pt idx="94">
                  <c:v>1.8635787380168604E-12</c:v>
                </c:pt>
                <c:pt idx="95">
                  <c:v>1.8635787380168604E-12</c:v>
                </c:pt>
                <c:pt idx="96">
                  <c:v>1.8635787380168604E-12</c:v>
                </c:pt>
                <c:pt idx="97">
                  <c:v>1.8635787380168604E-12</c:v>
                </c:pt>
                <c:pt idx="98">
                  <c:v>1.8635787380168604E-12</c:v>
                </c:pt>
                <c:pt idx="99">
                  <c:v>1.8635787380168604E-12</c:v>
                </c:pt>
                <c:pt idx="100">
                  <c:v>1.8635787380168604E-12</c:v>
                </c:pt>
                <c:pt idx="101">
                  <c:v>1.8635787380168604E-12</c:v>
                </c:pt>
                <c:pt idx="102">
                  <c:v>1.8635787380168604E-12</c:v>
                </c:pt>
                <c:pt idx="103">
                  <c:v>1.8635787380168604E-12</c:v>
                </c:pt>
                <c:pt idx="104">
                  <c:v>1.8635787380168604E-12</c:v>
                </c:pt>
                <c:pt idx="105">
                  <c:v>1.8635787380168604E-12</c:v>
                </c:pt>
                <c:pt idx="106">
                  <c:v>1.8635787380168604E-12</c:v>
                </c:pt>
                <c:pt idx="107">
                  <c:v>1.8635787380168604E-12</c:v>
                </c:pt>
                <c:pt idx="108">
                  <c:v>1.8635787380168604E-12</c:v>
                </c:pt>
                <c:pt idx="109">
                  <c:v>1.8635787380168604E-12</c:v>
                </c:pt>
                <c:pt idx="110">
                  <c:v>1.8635787380168604E-12</c:v>
                </c:pt>
                <c:pt idx="111">
                  <c:v>1.8635787380168604E-12</c:v>
                </c:pt>
                <c:pt idx="112">
                  <c:v>1.8635787380168604E-12</c:v>
                </c:pt>
                <c:pt idx="113">
                  <c:v>1.8635787380168604E-12</c:v>
                </c:pt>
                <c:pt idx="114">
                  <c:v>1.8635787380168604E-12</c:v>
                </c:pt>
                <c:pt idx="115">
                  <c:v>1.8635787380168604E-12</c:v>
                </c:pt>
                <c:pt idx="116">
                  <c:v>1.8635787380168604E-12</c:v>
                </c:pt>
                <c:pt idx="117">
                  <c:v>1.8635787380168604E-12</c:v>
                </c:pt>
                <c:pt idx="118">
                  <c:v>1.8635787380168604E-12</c:v>
                </c:pt>
                <c:pt idx="119">
                  <c:v>1.8635787380168604E-12</c:v>
                </c:pt>
                <c:pt idx="120">
                  <c:v>1.8635787380168604E-12</c:v>
                </c:pt>
                <c:pt idx="121">
                  <c:v>1.8635787380168604E-12</c:v>
                </c:pt>
                <c:pt idx="122">
                  <c:v>1.8635787380168604E-12</c:v>
                </c:pt>
                <c:pt idx="123">
                  <c:v>1.8635787380168604E-12</c:v>
                </c:pt>
                <c:pt idx="124">
                  <c:v>1.8635787380168604E-12</c:v>
                </c:pt>
                <c:pt idx="125">
                  <c:v>1.8635787380168604E-12</c:v>
                </c:pt>
                <c:pt idx="126">
                  <c:v>1.8635787380168604E-12</c:v>
                </c:pt>
                <c:pt idx="127">
                  <c:v>1.8635787380168604E-12</c:v>
                </c:pt>
                <c:pt idx="128">
                  <c:v>1.8635787380168604E-12</c:v>
                </c:pt>
                <c:pt idx="129">
                  <c:v>1.8635787380168604E-12</c:v>
                </c:pt>
                <c:pt idx="130">
                  <c:v>1.8635787380168604E-12</c:v>
                </c:pt>
                <c:pt idx="131">
                  <c:v>1.8635787380168604E-12</c:v>
                </c:pt>
                <c:pt idx="132">
                  <c:v>1.8635787380168604E-12</c:v>
                </c:pt>
                <c:pt idx="133">
                  <c:v>1.8635787380168604E-12</c:v>
                </c:pt>
                <c:pt idx="134">
                  <c:v>1.8635787380168604E-12</c:v>
                </c:pt>
                <c:pt idx="135">
                  <c:v>1.8635787380168604E-12</c:v>
                </c:pt>
                <c:pt idx="136">
                  <c:v>1.8635787380168604E-12</c:v>
                </c:pt>
                <c:pt idx="137">
                  <c:v>1.8635787380168604E-12</c:v>
                </c:pt>
                <c:pt idx="138">
                  <c:v>1.8635787380168604E-12</c:v>
                </c:pt>
                <c:pt idx="139">
                  <c:v>1.8635787380168604E-12</c:v>
                </c:pt>
                <c:pt idx="140">
                  <c:v>1.8635787380168604E-12</c:v>
                </c:pt>
                <c:pt idx="141">
                  <c:v>1.8635787380168604E-12</c:v>
                </c:pt>
                <c:pt idx="142">
                  <c:v>1.8635787380168604E-12</c:v>
                </c:pt>
                <c:pt idx="143">
                  <c:v>1.8635787380168604E-12</c:v>
                </c:pt>
                <c:pt idx="144">
                  <c:v>1.8635787380168604E-12</c:v>
                </c:pt>
                <c:pt idx="145">
                  <c:v>1.8635787380168604E-12</c:v>
                </c:pt>
                <c:pt idx="146">
                  <c:v>1.8635787380168604E-12</c:v>
                </c:pt>
                <c:pt idx="147">
                  <c:v>1.8635787380168604E-12</c:v>
                </c:pt>
                <c:pt idx="148">
                  <c:v>1.8635787380168604E-12</c:v>
                </c:pt>
                <c:pt idx="149">
                  <c:v>1.8635787380168604E-12</c:v>
                </c:pt>
                <c:pt idx="150">
                  <c:v>1.8635787380168604E-12</c:v>
                </c:pt>
                <c:pt idx="151">
                  <c:v>1.8635787380168604E-12</c:v>
                </c:pt>
                <c:pt idx="152">
                  <c:v>1.8635787380168604E-12</c:v>
                </c:pt>
                <c:pt idx="153">
                  <c:v>1.8635787380168604E-12</c:v>
                </c:pt>
                <c:pt idx="154">
                  <c:v>1.8635787380168604E-12</c:v>
                </c:pt>
                <c:pt idx="155">
                  <c:v>1.8635787380168604E-12</c:v>
                </c:pt>
                <c:pt idx="156">
                  <c:v>1.8635787380168604E-12</c:v>
                </c:pt>
                <c:pt idx="157">
                  <c:v>1.8635787380168604E-12</c:v>
                </c:pt>
                <c:pt idx="158">
                  <c:v>1.8635787380168604E-12</c:v>
                </c:pt>
                <c:pt idx="159">
                  <c:v>1.8635787380168604E-12</c:v>
                </c:pt>
                <c:pt idx="160">
                  <c:v>1.8635787380168604E-12</c:v>
                </c:pt>
                <c:pt idx="161">
                  <c:v>1.8635787380168604E-12</c:v>
                </c:pt>
                <c:pt idx="162">
                  <c:v>1.8635787380168604E-12</c:v>
                </c:pt>
                <c:pt idx="163">
                  <c:v>1.8635787380168604E-12</c:v>
                </c:pt>
                <c:pt idx="164">
                  <c:v>1.8635787380168604E-12</c:v>
                </c:pt>
                <c:pt idx="165">
                  <c:v>1.8635787380168604E-12</c:v>
                </c:pt>
                <c:pt idx="166">
                  <c:v>1.8635787380168604E-12</c:v>
                </c:pt>
                <c:pt idx="167">
                  <c:v>1.8635787380168604E-12</c:v>
                </c:pt>
                <c:pt idx="168">
                  <c:v>1.8635787380168604E-12</c:v>
                </c:pt>
                <c:pt idx="169">
                  <c:v>1.8635787380168604E-12</c:v>
                </c:pt>
                <c:pt idx="170">
                  <c:v>1.8635787380168604E-12</c:v>
                </c:pt>
                <c:pt idx="171">
                  <c:v>1.8635787380168604E-12</c:v>
                </c:pt>
                <c:pt idx="172">
                  <c:v>1.8635787380168604E-12</c:v>
                </c:pt>
                <c:pt idx="173">
                  <c:v>1.8635787380168604E-12</c:v>
                </c:pt>
                <c:pt idx="174">
                  <c:v>1.8635787380168604E-12</c:v>
                </c:pt>
                <c:pt idx="175">
                  <c:v>1.8635787380168604E-12</c:v>
                </c:pt>
                <c:pt idx="176">
                  <c:v>1.8635787380168604E-12</c:v>
                </c:pt>
                <c:pt idx="177">
                  <c:v>1.8635787380168604E-12</c:v>
                </c:pt>
                <c:pt idx="178">
                  <c:v>1.8635787380168604E-12</c:v>
                </c:pt>
                <c:pt idx="179">
                  <c:v>1.8635787380168604E-12</c:v>
                </c:pt>
                <c:pt idx="180">
                  <c:v>1.8635787380168604E-12</c:v>
                </c:pt>
                <c:pt idx="181">
                  <c:v>1.8635787380168604E-12</c:v>
                </c:pt>
                <c:pt idx="182">
                  <c:v>1.8635787380168604E-12</c:v>
                </c:pt>
                <c:pt idx="183">
                  <c:v>1.8635787380168604E-12</c:v>
                </c:pt>
                <c:pt idx="184">
                  <c:v>1.8635787380168604E-12</c:v>
                </c:pt>
                <c:pt idx="185">
                  <c:v>1.8635787380168604E-12</c:v>
                </c:pt>
                <c:pt idx="186">
                  <c:v>1.8635787380168604E-12</c:v>
                </c:pt>
                <c:pt idx="187">
                  <c:v>1.8635787380168604E-12</c:v>
                </c:pt>
                <c:pt idx="188">
                  <c:v>1.8635787380168604E-12</c:v>
                </c:pt>
                <c:pt idx="189">
                  <c:v>1.8635787380168604E-12</c:v>
                </c:pt>
                <c:pt idx="190">
                  <c:v>1.8635787380168604E-12</c:v>
                </c:pt>
                <c:pt idx="191">
                  <c:v>1.8635787380168604E-12</c:v>
                </c:pt>
                <c:pt idx="192">
                  <c:v>1.8635787380168604E-12</c:v>
                </c:pt>
                <c:pt idx="193">
                  <c:v>1.8635787380168604E-12</c:v>
                </c:pt>
                <c:pt idx="194">
                  <c:v>1.8635787380168604E-12</c:v>
                </c:pt>
                <c:pt idx="195">
                  <c:v>1.8635787380168604E-12</c:v>
                </c:pt>
                <c:pt idx="196">
                  <c:v>1.8635787380168604E-12</c:v>
                </c:pt>
                <c:pt idx="197">
                  <c:v>1.8635787380168604E-12</c:v>
                </c:pt>
                <c:pt idx="198">
                  <c:v>1.8635787380168604E-12</c:v>
                </c:pt>
                <c:pt idx="199">
                  <c:v>1.8635787380168604E-12</c:v>
                </c:pt>
                <c:pt idx="200">
                  <c:v>1.8635787380168604E-12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1.7579305829008012</c:v>
                </c:pt>
                <c:pt idx="2">
                  <c:v>2.1260919764195814</c:v>
                </c:pt>
                <c:pt idx="3">
                  <c:v>2.5716529988763619</c:v>
                </c:pt>
                <c:pt idx="4">
                  <c:v>3.1109444850738091</c:v>
                </c:pt>
                <c:pt idx="5">
                  <c:v>3.7637546436506271</c:v>
                </c:pt>
                <c:pt idx="6">
                  <c:v>4.5540633164380813</c:v>
                </c:pt>
                <c:pt idx="7">
                  <c:v>5.5109326295818439</c:v>
                </c:pt>
                <c:pt idx="8">
                  <c:v>6.6695874356807971</c:v>
                </c:pt>
                <c:pt idx="9">
                  <c:v>8.0727260963908574</c:v>
                </c:pt>
                <c:pt idx="10">
                  <c:v>9.7721108392660554</c:v>
                </c:pt>
                <c:pt idx="11">
                  <c:v>11.830497470879934</c:v>
                </c:pt>
                <c:pt idx="12">
                  <c:v>14.323977041342758</c:v>
                </c:pt>
                <c:pt idx="13">
                  <c:v>17.344817620418535</c:v>
                </c:pt>
                <c:pt idx="14">
                  <c:v>21.00491325475986</c:v>
                </c:pt>
                <c:pt idx="15">
                  <c:v>25.439970149184266</c:v>
                </c:pt>
                <c:pt idx="16">
                  <c:v>30.814588027495319</c:v>
                </c:pt>
                <c:pt idx="17">
                  <c:v>37.328428543923089</c:v>
                </c:pt>
                <c:pt idx="18">
                  <c:v>45.223703828138895</c:v>
                </c:pt>
                <c:pt idx="19">
                  <c:v>54.794268327390633</c:v>
                </c:pt>
                <c:pt idx="20">
                  <c:v>66.396657970399346</c:v>
                </c:pt>
                <c:pt idx="21">
                  <c:v>80.463494643800075</c:v>
                </c:pt>
                <c:pt idx="22">
                  <c:v>97.519763869625478</c:v>
                </c:pt>
                <c:pt idx="23">
                  <c:v>118.20258283868009</c:v>
                </c:pt>
                <c:pt idx="24">
                  <c:v>143.28520876927726</c:v>
                </c:pt>
                <c:pt idx="25">
                  <c:v>173.70619900657479</c:v>
                </c:pt>
                <c:pt idx="26">
                  <c:v>187.33202217022276</c:v>
                </c:pt>
                <c:pt idx="27">
                  <c:v>200.93472667738277</c:v>
                </c:pt>
                <c:pt idx="28">
                  <c:v>214.51609877719758</c:v>
                </c:pt>
                <c:pt idx="29">
                  <c:v>228.07767985608643</c:v>
                </c:pt>
                <c:pt idx="30">
                  <c:v>241.62081288439774</c:v>
                </c:pt>
                <c:pt idx="31">
                  <c:v>255.14667788783132</c:v>
                </c:pt>
                <c:pt idx="32">
                  <c:v>268.65631949348352</c:v>
                </c:pt>
                <c:pt idx="33">
                  <c:v>282.1506686390091</c:v>
                </c:pt>
                <c:pt idx="34">
                  <c:v>295.63055990745659</c:v>
                </c:pt>
                <c:pt idx="35">
                  <c:v>207.85592722630341</c:v>
                </c:pt>
                <c:pt idx="36">
                  <c:v>221.0695032862707</c:v>
                </c:pt>
                <c:pt idx="37">
                  <c:v>234.26495501919439</c:v>
                </c:pt>
                <c:pt idx="38">
                  <c:v>247.44344752263433</c:v>
                </c:pt>
                <c:pt idx="39">
                  <c:v>260.60601157775602</c:v>
                </c:pt>
                <c:pt idx="40">
                  <c:v>273.75356528140463</c:v>
                </c:pt>
                <c:pt idx="41">
                  <c:v>286.88693130081521</c:v>
                </c:pt>
                <c:pt idx="42">
                  <c:v>300.00685080069849</c:v>
                </c:pt>
                <c:pt idx="43">
                  <c:v>313.11399480488848</c:v>
                </c:pt>
                <c:pt idx="44">
                  <c:v>252.91269518652152</c:v>
                </c:pt>
                <c:pt idx="45">
                  <c:v>265.43275413261836</c:v>
                </c:pt>
                <c:pt idx="46">
                  <c:v>277.93950337581595</c:v>
                </c:pt>
                <c:pt idx="47">
                  <c:v>290.43362642615051</c:v>
                </c:pt>
                <c:pt idx="48">
                  <c:v>302.91574315814171</c:v>
                </c:pt>
                <c:pt idx="49">
                  <c:v>315.38641816940515</c:v>
                </c:pt>
                <c:pt idx="50">
                  <c:v>327.84616774734343</c:v>
                </c:pt>
                <c:pt idx="51">
                  <c:v>340.29546572087725</c:v>
                </c:pt>
                <c:pt idx="52">
                  <c:v>352.73474841075375</c:v>
                </c:pt>
                <c:pt idx="53">
                  <c:v>303.99667321986396</c:v>
                </c:pt>
                <c:pt idx="54">
                  <c:v>315.43977434521395</c:v>
                </c:pt>
                <c:pt idx="55">
                  <c:v>326.87367784820384</c:v>
                </c:pt>
                <c:pt idx="56">
                  <c:v>338.29875092273977</c:v>
                </c:pt>
                <c:pt idx="57">
                  <c:v>349.71533392687951</c:v>
                </c:pt>
                <c:pt idx="58">
                  <c:v>361.12374317487928</c:v>
                </c:pt>
                <c:pt idx="59">
                  <c:v>372.52427335787297</c:v>
                </c:pt>
                <c:pt idx="60">
                  <c:v>383.91719965266708</c:v>
                </c:pt>
                <c:pt idx="61">
                  <c:v>395.30277956708704</c:v>
                </c:pt>
                <c:pt idx="62">
                  <c:v>406.68125456158469</c:v>
                </c:pt>
                <c:pt idx="63">
                  <c:v>352.70905366438211</c:v>
                </c:pt>
                <c:pt idx="64">
                  <c:v>362.71958822443975</c:v>
                </c:pt>
                <c:pt idx="65">
                  <c:v>372.72408537057026</c:v>
                </c:pt>
                <c:pt idx="66">
                  <c:v>382.72273007515332</c:v>
                </c:pt>
                <c:pt idx="67">
                  <c:v>392.7156968529805</c:v>
                </c:pt>
                <c:pt idx="68">
                  <c:v>402.7031506092805</c:v>
                </c:pt>
                <c:pt idx="69">
                  <c:v>412.68524739920468</c:v>
                </c:pt>
                <c:pt idx="70">
                  <c:v>422.66213510997824</c:v>
                </c:pt>
                <c:pt idx="71">
                  <c:v>432.63395407527304</c:v>
                </c:pt>
                <c:pt idx="72">
                  <c:v>442.60083762997039</c:v>
                </c:pt>
                <c:pt idx="73">
                  <c:v>389.27758170305543</c:v>
                </c:pt>
                <c:pt idx="74">
                  <c:v>397.69545854963962</c:v>
                </c:pt>
                <c:pt idx="75">
                  <c:v>406.10947696433658</c:v>
                </c:pt>
                <c:pt idx="76">
                  <c:v>414.51972820662985</c:v>
                </c:pt>
                <c:pt idx="77">
                  <c:v>422.92629952874216</c:v>
                </c:pt>
                <c:pt idx="78">
                  <c:v>431.32927442948829</c:v>
                </c:pt>
                <c:pt idx="79">
                  <c:v>439.72873288730921</c:v>
                </c:pt>
                <c:pt idx="80">
                  <c:v>448.12475157456601</c:v>
                </c:pt>
                <c:pt idx="81">
                  <c:v>456.51740405493479</c:v>
                </c:pt>
                <c:pt idx="82">
                  <c:v>464.90676096552414</c:v>
                </c:pt>
                <c:pt idx="83">
                  <c:v>473.29289018515925</c:v>
                </c:pt>
                <c:pt idx="84">
                  <c:v>481.67585699011721</c:v>
                </c:pt>
                <c:pt idx="85">
                  <c:v>421.28397398285665</c:v>
                </c:pt>
                <c:pt idx="86">
                  <c:v>428.05501937740331</c:v>
                </c:pt>
                <c:pt idx="87">
                  <c:v>434.82376220697915</c:v>
                </c:pt>
                <c:pt idx="88">
                  <c:v>441.59024339535648</c:v>
                </c:pt>
                <c:pt idx="89">
                  <c:v>448.35450250901198</c:v>
                </c:pt>
                <c:pt idx="90">
                  <c:v>455.11657782239268</c:v>
                </c:pt>
                <c:pt idx="91">
                  <c:v>461.8765063791011</c:v>
                </c:pt>
                <c:pt idx="92">
                  <c:v>468.63432404930813</c:v>
                </c:pt>
                <c:pt idx="93">
                  <c:v>475.39006558368305</c:v>
                </c:pt>
                <c:pt idx="94">
                  <c:v>482.14376466409476</c:v>
                </c:pt>
                <c:pt idx="95">
                  <c:v>488.89545395132558</c:v>
                </c:pt>
                <c:pt idx="96">
                  <c:v>495.64516513000893</c:v>
                </c:pt>
                <c:pt idx="97">
                  <c:v>430.05314017574682</c:v>
                </c:pt>
                <c:pt idx="98">
                  <c:v>435.36424990967254</c:v>
                </c:pt>
                <c:pt idx="99">
                  <c:v>440.6739690245775</c:v>
                </c:pt>
                <c:pt idx="100">
                  <c:v>445.98231665468944</c:v>
                </c:pt>
                <c:pt idx="101">
                  <c:v>451.28931144119679</c:v>
                </c:pt>
                <c:pt idx="102">
                  <c:v>456.5949715507308</c:v>
                </c:pt>
                <c:pt idx="103">
                  <c:v>461.89931469294379</c:v>
                </c:pt>
                <c:pt idx="104">
                  <c:v>467.20235813723747</c:v>
                </c:pt>
                <c:pt idx="105">
                  <c:v>472.50411872869205</c:v>
                </c:pt>
                <c:pt idx="106">
                  <c:v>477.80461290324229</c:v>
                </c:pt>
                <c:pt idx="107">
                  <c:v>483.10385670214424</c:v>
                </c:pt>
                <c:pt idx="108">
                  <c:v>488.40186578577612</c:v>
                </c:pt>
                <c:pt idx="109">
                  <c:v>430.40872990574212</c:v>
                </c:pt>
                <c:pt idx="110">
                  <c:v>434.53143608807045</c:v>
                </c:pt>
                <c:pt idx="111">
                  <c:v>438.65330254504391</c:v>
                </c:pt>
                <c:pt idx="112">
                  <c:v>442.77433828895482</c:v>
                </c:pt>
                <c:pt idx="113">
                  <c:v>446.89455215047565</c:v>
                </c:pt>
                <c:pt idx="114">
                  <c:v>451.01395278399855</c:v>
                </c:pt>
                <c:pt idx="115">
                  <c:v>455.13254867276805</c:v>
                </c:pt>
                <c:pt idx="116">
                  <c:v>459.25034813381916</c:v>
                </c:pt>
                <c:pt idx="117">
                  <c:v>463.36735932272836</c:v>
                </c:pt>
                <c:pt idx="118">
                  <c:v>467.48359023818756</c:v>
                </c:pt>
                <c:pt idx="119">
                  <c:v>471.59904872640732</c:v>
                </c:pt>
                <c:pt idx="120">
                  <c:v>475.71374248535949</c:v>
                </c:pt>
                <c:pt idx="121">
                  <c:v>8.5144621836285662E-12</c:v>
                </c:pt>
                <c:pt idx="122">
                  <c:v>8.5144621836285662E-12</c:v>
                </c:pt>
                <c:pt idx="123">
                  <c:v>8.5144621836285662E-12</c:v>
                </c:pt>
                <c:pt idx="124">
                  <c:v>8.5144621836285662E-12</c:v>
                </c:pt>
                <c:pt idx="125">
                  <c:v>8.5144621836285662E-12</c:v>
                </c:pt>
                <c:pt idx="126">
                  <c:v>8.5144621836285662E-12</c:v>
                </c:pt>
                <c:pt idx="127">
                  <c:v>8.5144621836285662E-12</c:v>
                </c:pt>
                <c:pt idx="128">
                  <c:v>8.5144621836285662E-12</c:v>
                </c:pt>
                <c:pt idx="129">
                  <c:v>8.5144621836285662E-12</c:v>
                </c:pt>
                <c:pt idx="130">
                  <c:v>8.5144621836285662E-12</c:v>
                </c:pt>
                <c:pt idx="131">
                  <c:v>8.5144621836285662E-12</c:v>
                </c:pt>
                <c:pt idx="132">
                  <c:v>8.5144621836285662E-12</c:v>
                </c:pt>
                <c:pt idx="133">
                  <c:v>8.5144621836285662E-12</c:v>
                </c:pt>
                <c:pt idx="134">
                  <c:v>8.5144621836285662E-12</c:v>
                </c:pt>
                <c:pt idx="135">
                  <c:v>8.5144621836285662E-12</c:v>
                </c:pt>
                <c:pt idx="136">
                  <c:v>8.5144621836285662E-12</c:v>
                </c:pt>
                <c:pt idx="137">
                  <c:v>8.5144621836285662E-12</c:v>
                </c:pt>
                <c:pt idx="138">
                  <c:v>8.5144621836285662E-12</c:v>
                </c:pt>
                <c:pt idx="139">
                  <c:v>8.5144621836285662E-12</c:v>
                </c:pt>
                <c:pt idx="140">
                  <c:v>8.5144621836285662E-12</c:v>
                </c:pt>
                <c:pt idx="141">
                  <c:v>8.5144621836285662E-12</c:v>
                </c:pt>
                <c:pt idx="142">
                  <c:v>8.5144621836285662E-12</c:v>
                </c:pt>
                <c:pt idx="143">
                  <c:v>8.5144621836285662E-12</c:v>
                </c:pt>
                <c:pt idx="144">
                  <c:v>8.5144621836285662E-12</c:v>
                </c:pt>
                <c:pt idx="145">
                  <c:v>8.5144621836285662E-12</c:v>
                </c:pt>
                <c:pt idx="146">
                  <c:v>8.5144621836285662E-12</c:v>
                </c:pt>
                <c:pt idx="147">
                  <c:v>8.5144621836285662E-12</c:v>
                </c:pt>
                <c:pt idx="148">
                  <c:v>8.5144621836285662E-12</c:v>
                </c:pt>
                <c:pt idx="149">
                  <c:v>8.5144621836285662E-12</c:v>
                </c:pt>
                <c:pt idx="150">
                  <c:v>8.5144621836285662E-12</c:v>
                </c:pt>
                <c:pt idx="151">
                  <c:v>8.5144621836285662E-12</c:v>
                </c:pt>
                <c:pt idx="152">
                  <c:v>8.5144621836285662E-12</c:v>
                </c:pt>
                <c:pt idx="153">
                  <c:v>8.5144621836285662E-12</c:v>
                </c:pt>
                <c:pt idx="154">
                  <c:v>8.5144621836285662E-12</c:v>
                </c:pt>
                <c:pt idx="155">
                  <c:v>8.5144621836285662E-12</c:v>
                </c:pt>
                <c:pt idx="156">
                  <c:v>8.5144621836285662E-12</c:v>
                </c:pt>
                <c:pt idx="157">
                  <c:v>8.5144621836285662E-12</c:v>
                </c:pt>
                <c:pt idx="158">
                  <c:v>8.5144621836285662E-12</c:v>
                </c:pt>
                <c:pt idx="159">
                  <c:v>8.5144621836285662E-12</c:v>
                </c:pt>
                <c:pt idx="160">
                  <c:v>8.5144621836285662E-12</c:v>
                </c:pt>
                <c:pt idx="161">
                  <c:v>8.5144621836285662E-12</c:v>
                </c:pt>
                <c:pt idx="162">
                  <c:v>8.5144621836285662E-12</c:v>
                </c:pt>
                <c:pt idx="163">
                  <c:v>8.5144621836285662E-12</c:v>
                </c:pt>
                <c:pt idx="164">
                  <c:v>8.5144621836285662E-12</c:v>
                </c:pt>
                <c:pt idx="165">
                  <c:v>8.5144621836285662E-12</c:v>
                </c:pt>
                <c:pt idx="166">
                  <c:v>8.5144621836285662E-12</c:v>
                </c:pt>
                <c:pt idx="167">
                  <c:v>8.5144621836285662E-12</c:v>
                </c:pt>
                <c:pt idx="168">
                  <c:v>8.5144621836285662E-12</c:v>
                </c:pt>
                <c:pt idx="169">
                  <c:v>8.5144621836285662E-12</c:v>
                </c:pt>
                <c:pt idx="170">
                  <c:v>8.5144621836285662E-12</c:v>
                </c:pt>
                <c:pt idx="171">
                  <c:v>8.5144621836285662E-12</c:v>
                </c:pt>
                <c:pt idx="172">
                  <c:v>8.5144621836285662E-12</c:v>
                </c:pt>
                <c:pt idx="173">
                  <c:v>8.5144621836285662E-12</c:v>
                </c:pt>
                <c:pt idx="174">
                  <c:v>8.5144621836285662E-12</c:v>
                </c:pt>
                <c:pt idx="175">
                  <c:v>8.5144621836285662E-12</c:v>
                </c:pt>
                <c:pt idx="176">
                  <c:v>8.5144621836285662E-12</c:v>
                </c:pt>
                <c:pt idx="177">
                  <c:v>8.5144621836285662E-12</c:v>
                </c:pt>
                <c:pt idx="178">
                  <c:v>8.5144621836285662E-12</c:v>
                </c:pt>
                <c:pt idx="179">
                  <c:v>8.5144621836285662E-12</c:v>
                </c:pt>
                <c:pt idx="180">
                  <c:v>8.5144621836285662E-12</c:v>
                </c:pt>
                <c:pt idx="181">
                  <c:v>8.5144621836285662E-12</c:v>
                </c:pt>
                <c:pt idx="182">
                  <c:v>8.5144621836285662E-12</c:v>
                </c:pt>
                <c:pt idx="183">
                  <c:v>8.5144621836285662E-12</c:v>
                </c:pt>
                <c:pt idx="184">
                  <c:v>8.5144621836285662E-12</c:v>
                </c:pt>
                <c:pt idx="185">
                  <c:v>8.5144621836285662E-12</c:v>
                </c:pt>
                <c:pt idx="186">
                  <c:v>8.5144621836285662E-12</c:v>
                </c:pt>
                <c:pt idx="187">
                  <c:v>8.5144621836285662E-12</c:v>
                </c:pt>
                <c:pt idx="188">
                  <c:v>8.5144621836285662E-12</c:v>
                </c:pt>
                <c:pt idx="189">
                  <c:v>8.5144621836285662E-12</c:v>
                </c:pt>
                <c:pt idx="190">
                  <c:v>8.5144621836285662E-12</c:v>
                </c:pt>
                <c:pt idx="191">
                  <c:v>8.5144621836285662E-12</c:v>
                </c:pt>
                <c:pt idx="192">
                  <c:v>8.5144621836285662E-12</c:v>
                </c:pt>
                <c:pt idx="193">
                  <c:v>8.5144621836285662E-12</c:v>
                </c:pt>
                <c:pt idx="194">
                  <c:v>8.5144621836285662E-12</c:v>
                </c:pt>
                <c:pt idx="195">
                  <c:v>8.5144621836285662E-12</c:v>
                </c:pt>
                <c:pt idx="196">
                  <c:v>8.5144621836285662E-12</c:v>
                </c:pt>
                <c:pt idx="197">
                  <c:v>8.5144621836285662E-12</c:v>
                </c:pt>
                <c:pt idx="198">
                  <c:v>8.5144621836285662E-12</c:v>
                </c:pt>
                <c:pt idx="199">
                  <c:v>8.5144621836285662E-12</c:v>
                </c:pt>
                <c:pt idx="200">
                  <c:v>8.5144621836285662E-12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1.9228171101479343</c:v>
                </c:pt>
                <c:pt idx="2">
                  <c:v>2.3839762212252493</c:v>
                </c:pt>
                <c:pt idx="3">
                  <c:v>2.9561699626966398</c:v>
                </c:pt>
                <c:pt idx="4">
                  <c:v>3.6662308682624953</c:v>
                </c:pt>
                <c:pt idx="5">
                  <c:v>4.5474981006760791</c:v>
                </c:pt>
                <c:pt idx="6">
                  <c:v>5.6414002822324134</c:v>
                </c:pt>
                <c:pt idx="7">
                  <c:v>6.9994245047079717</c:v>
                </c:pt>
                <c:pt idx="8">
                  <c:v>8.6855659931576685</c:v>
                </c:pt>
                <c:pt idx="9">
                  <c:v>10.779376066926231</c:v>
                </c:pt>
                <c:pt idx="10">
                  <c:v>13.379754904830248</c:v>
                </c:pt>
                <c:pt idx="11">
                  <c:v>16.609671582214194</c:v>
                </c:pt>
                <c:pt idx="12">
                  <c:v>20.622038654014851</c:v>
                </c:pt>
                <c:pt idx="13">
                  <c:v>25.607024390178637</c:v>
                </c:pt>
                <c:pt idx="14">
                  <c:v>31.801155346095459</c:v>
                </c:pt>
                <c:pt idx="15">
                  <c:v>39.498648660803447</c:v>
                </c:pt>
                <c:pt idx="16">
                  <c:v>49.065521546616061</c:v>
                </c:pt>
                <c:pt idx="17">
                  <c:v>60.957160137116858</c:v>
                </c:pt>
                <c:pt idx="18">
                  <c:v>75.740197770787589</c:v>
                </c:pt>
                <c:pt idx="19">
                  <c:v>94.119762105118596</c:v>
                </c:pt>
                <c:pt idx="20">
                  <c:v>116.97341140922269</c:v>
                </c:pt>
                <c:pt idx="21">
                  <c:v>108.1931416441323</c:v>
                </c:pt>
                <c:pt idx="22">
                  <c:v>125.6068855785234</c:v>
                </c:pt>
                <c:pt idx="23">
                  <c:v>142.96199841867738</c:v>
                </c:pt>
                <c:pt idx="24">
                  <c:v>160.26661002786599</c:v>
                </c:pt>
                <c:pt idx="25">
                  <c:v>177.52694566934088</c:v>
                </c:pt>
                <c:pt idx="26">
                  <c:v>194.74791846795674</c:v>
                </c:pt>
                <c:pt idx="27">
                  <c:v>211.93350024727374</c:v>
                </c:pt>
                <c:pt idx="28">
                  <c:v>229.08696530373251</c:v>
                </c:pt>
                <c:pt idx="29">
                  <c:v>246.21105711862251</c:v>
                </c:pt>
                <c:pt idx="30">
                  <c:v>263.30810614969687</c:v>
                </c:pt>
                <c:pt idx="31">
                  <c:v>206.25174818981284</c:v>
                </c:pt>
                <c:pt idx="32">
                  <c:v>226.50943532106294</c:v>
                </c:pt>
                <c:pt idx="33">
                  <c:v>246.72563774429935</c:v>
                </c:pt>
                <c:pt idx="34">
                  <c:v>266.90423231001682</c:v>
                </c:pt>
                <c:pt idx="35">
                  <c:v>287.04846149927101</c:v>
                </c:pt>
                <c:pt idx="36">
                  <c:v>307.16107541724091</c:v>
                </c:pt>
                <c:pt idx="37">
                  <c:v>327.24443459088332</c:v>
                </c:pt>
                <c:pt idx="38">
                  <c:v>347.30058618137667</c:v>
                </c:pt>
                <c:pt idx="39">
                  <c:v>367.33132165621686</c:v>
                </c:pt>
                <c:pt idx="40">
                  <c:v>387.33822121677048</c:v>
                </c:pt>
                <c:pt idx="41">
                  <c:v>307.1610754172408</c:v>
                </c:pt>
                <c:pt idx="42">
                  <c:v>327.88357486428237</c:v>
                </c:pt>
                <c:pt idx="43">
                  <c:v>348.57716937355349</c:v>
                </c:pt>
                <c:pt idx="44">
                  <c:v>369.24381536730135</c:v>
                </c:pt>
                <c:pt idx="45">
                  <c:v>389.88523246274627</c:v>
                </c:pt>
                <c:pt idx="46">
                  <c:v>410.50294341321847</c:v>
                </c:pt>
                <c:pt idx="47">
                  <c:v>431.09830560423705</c:v>
                </c:pt>
                <c:pt idx="48">
                  <c:v>451.67253621627088</c:v>
                </c:pt>
                <c:pt idx="49">
                  <c:v>472.22673256386997</c:v>
                </c:pt>
                <c:pt idx="50">
                  <c:v>492.76188870967644</c:v>
                </c:pt>
                <c:pt idx="51">
                  <c:v>399.56060449432636</c:v>
                </c:pt>
                <c:pt idx="52">
                  <c:v>419.40484180194272</c:v>
                </c:pt>
                <c:pt idx="53">
                  <c:v>439.22885835221342</c:v>
                </c:pt>
                <c:pt idx="54">
                  <c:v>459.03369461888457</c:v>
                </c:pt>
                <c:pt idx="55">
                  <c:v>478.82029402342147</c:v>
                </c:pt>
                <c:pt idx="56">
                  <c:v>498.58951570604586</c:v>
                </c:pt>
                <c:pt idx="57">
                  <c:v>518.34214516637292</c:v>
                </c:pt>
                <c:pt idx="58">
                  <c:v>538.07890319826015</c:v>
                </c:pt>
                <c:pt idx="59">
                  <c:v>557.80045344608595</c:v>
                </c:pt>
                <c:pt idx="60">
                  <c:v>577.50740883732692</c:v>
                </c:pt>
                <c:pt idx="61">
                  <c:v>481.4825295865167</c:v>
                </c:pt>
                <c:pt idx="62">
                  <c:v>499.34953422631764</c:v>
                </c:pt>
                <c:pt idx="63">
                  <c:v>517.20300843460734</c:v>
                </c:pt>
                <c:pt idx="64">
                  <c:v>535.04348473955304</c:v>
                </c:pt>
                <c:pt idx="65">
                  <c:v>552.87145728238113</c:v>
                </c:pt>
                <c:pt idx="66">
                  <c:v>570.6873857583937</c:v>
                </c:pt>
                <c:pt idx="67">
                  <c:v>588.49169884050696</c:v>
                </c:pt>
                <c:pt idx="68">
                  <c:v>606.2847971671714</c:v>
                </c:pt>
                <c:pt idx="69">
                  <c:v>624.06705596150925</c:v>
                </c:pt>
                <c:pt idx="70">
                  <c:v>641.8388273366063</c:v>
                </c:pt>
                <c:pt idx="71">
                  <c:v>549.07929537769098</c:v>
                </c:pt>
                <c:pt idx="72">
                  <c:v>564.87639384426382</c:v>
                </c:pt>
                <c:pt idx="73">
                  <c:v>580.66425649016571</c:v>
                </c:pt>
                <c:pt idx="74">
                  <c:v>596.44316965824521</c:v>
                </c:pt>
                <c:pt idx="75">
                  <c:v>612.21340331456997</c:v>
                </c:pt>
                <c:pt idx="76">
                  <c:v>627.97521239147818</c:v>
                </c:pt>
                <c:pt idx="77">
                  <c:v>643.72883798886176</c:v>
                </c:pt>
                <c:pt idx="78">
                  <c:v>659.47450845181413</c:v>
                </c:pt>
                <c:pt idx="79">
                  <c:v>675.21244034007702</c:v>
                </c:pt>
                <c:pt idx="80">
                  <c:v>690.94283930246741</c:v>
                </c:pt>
                <c:pt idx="81">
                  <c:v>606.2847971671714</c:v>
                </c:pt>
                <c:pt idx="82">
                  <c:v>619.90620335950791</c:v>
                </c:pt>
                <c:pt idx="83">
                  <c:v>633.52140991484214</c:v>
                </c:pt>
                <c:pt idx="84">
                  <c:v>647.13056877940483</c:v>
                </c:pt>
                <c:pt idx="85">
                  <c:v>660.73382499079878</c:v>
                </c:pt>
                <c:pt idx="86">
                  <c:v>674.33131713084038</c:v>
                </c:pt>
                <c:pt idx="87">
                  <c:v>687.92317774000242</c:v>
                </c:pt>
                <c:pt idx="88">
                  <c:v>701.50953369741865</c:v>
                </c:pt>
                <c:pt idx="89">
                  <c:v>715.09050656993907</c:v>
                </c:pt>
                <c:pt idx="90">
                  <c:v>728.66621293330627</c:v>
                </c:pt>
                <c:pt idx="91">
                  <c:v>640.57875641162809</c:v>
                </c:pt>
                <c:pt idx="92">
                  <c:v>640.57875641162809</c:v>
                </c:pt>
                <c:pt idx="93">
                  <c:v>640.57875641162809</c:v>
                </c:pt>
                <c:pt idx="94">
                  <c:v>640.57875641162809</c:v>
                </c:pt>
                <c:pt idx="95">
                  <c:v>640.57875641162809</c:v>
                </c:pt>
                <c:pt idx="96">
                  <c:v>640.57875641162809</c:v>
                </c:pt>
                <c:pt idx="97">
                  <c:v>640.57875641162809</c:v>
                </c:pt>
                <c:pt idx="98">
                  <c:v>640.57875641162809</c:v>
                </c:pt>
                <c:pt idx="99">
                  <c:v>640.57875641162809</c:v>
                </c:pt>
                <c:pt idx="100">
                  <c:v>640.57875641162809</c:v>
                </c:pt>
                <c:pt idx="101">
                  <c:v>640.57875641162809</c:v>
                </c:pt>
                <c:pt idx="102">
                  <c:v>640.57875641162809</c:v>
                </c:pt>
                <c:pt idx="103">
                  <c:v>640.57875641162809</c:v>
                </c:pt>
                <c:pt idx="104">
                  <c:v>640.57875641162809</c:v>
                </c:pt>
                <c:pt idx="105">
                  <c:v>640.57875641162809</c:v>
                </c:pt>
                <c:pt idx="106">
                  <c:v>640.57875641162809</c:v>
                </c:pt>
                <c:pt idx="107">
                  <c:v>640.57875641162809</c:v>
                </c:pt>
                <c:pt idx="108">
                  <c:v>640.57875641162809</c:v>
                </c:pt>
                <c:pt idx="109">
                  <c:v>640.57875641162809</c:v>
                </c:pt>
                <c:pt idx="110">
                  <c:v>640.57875641162809</c:v>
                </c:pt>
                <c:pt idx="111">
                  <c:v>640.57875641162809</c:v>
                </c:pt>
                <c:pt idx="112">
                  <c:v>640.57875641162809</c:v>
                </c:pt>
                <c:pt idx="113">
                  <c:v>640.57875641162809</c:v>
                </c:pt>
                <c:pt idx="114">
                  <c:v>640.57875641162809</c:v>
                </c:pt>
                <c:pt idx="115">
                  <c:v>640.57875641162809</c:v>
                </c:pt>
                <c:pt idx="116">
                  <c:v>640.57875641162809</c:v>
                </c:pt>
                <c:pt idx="117">
                  <c:v>640.57875641162809</c:v>
                </c:pt>
                <c:pt idx="118">
                  <c:v>640.57875641162809</c:v>
                </c:pt>
                <c:pt idx="119">
                  <c:v>640.57875641162809</c:v>
                </c:pt>
                <c:pt idx="120">
                  <c:v>640.57875641162809</c:v>
                </c:pt>
                <c:pt idx="121">
                  <c:v>640.57875641162809</c:v>
                </c:pt>
                <c:pt idx="122">
                  <c:v>640.57875641162809</c:v>
                </c:pt>
                <c:pt idx="123">
                  <c:v>640.57875641162809</c:v>
                </c:pt>
                <c:pt idx="124">
                  <c:v>640.57875641162809</c:v>
                </c:pt>
                <c:pt idx="125">
                  <c:v>640.57875641162809</c:v>
                </c:pt>
                <c:pt idx="126">
                  <c:v>640.57875641162809</c:v>
                </c:pt>
                <c:pt idx="127">
                  <c:v>640.57875641162809</c:v>
                </c:pt>
                <c:pt idx="128">
                  <c:v>640.57875641162809</c:v>
                </c:pt>
                <c:pt idx="129">
                  <c:v>640.57875641162809</c:v>
                </c:pt>
                <c:pt idx="130">
                  <c:v>640.57875641162809</c:v>
                </c:pt>
                <c:pt idx="131">
                  <c:v>640.57875641162809</c:v>
                </c:pt>
                <c:pt idx="132">
                  <c:v>640.57875641162809</c:v>
                </c:pt>
                <c:pt idx="133">
                  <c:v>640.57875641162809</c:v>
                </c:pt>
                <c:pt idx="134">
                  <c:v>640.57875641162809</c:v>
                </c:pt>
                <c:pt idx="135">
                  <c:v>640.57875641162809</c:v>
                </c:pt>
                <c:pt idx="136">
                  <c:v>640.57875641162809</c:v>
                </c:pt>
                <c:pt idx="137">
                  <c:v>640.57875641162809</c:v>
                </c:pt>
                <c:pt idx="138">
                  <c:v>640.57875641162809</c:v>
                </c:pt>
                <c:pt idx="139">
                  <c:v>640.57875641162809</c:v>
                </c:pt>
                <c:pt idx="140">
                  <c:v>640.57875641162809</c:v>
                </c:pt>
                <c:pt idx="141">
                  <c:v>640.57875641162809</c:v>
                </c:pt>
                <c:pt idx="142">
                  <c:v>640.57875641162809</c:v>
                </c:pt>
                <c:pt idx="143">
                  <c:v>640.57875641162809</c:v>
                </c:pt>
                <c:pt idx="144">
                  <c:v>640.57875641162809</c:v>
                </c:pt>
                <c:pt idx="145">
                  <c:v>640.57875641162809</c:v>
                </c:pt>
                <c:pt idx="146">
                  <c:v>640.57875641162809</c:v>
                </c:pt>
                <c:pt idx="147">
                  <c:v>640.57875641162809</c:v>
                </c:pt>
                <c:pt idx="148">
                  <c:v>640.57875641162809</c:v>
                </c:pt>
                <c:pt idx="149">
                  <c:v>640.57875641162809</c:v>
                </c:pt>
                <c:pt idx="150">
                  <c:v>640.57875641162809</c:v>
                </c:pt>
                <c:pt idx="151">
                  <c:v>640.57875641162809</c:v>
                </c:pt>
                <c:pt idx="152">
                  <c:v>640.57875641162809</c:v>
                </c:pt>
                <c:pt idx="153">
                  <c:v>640.57875641162809</c:v>
                </c:pt>
                <c:pt idx="154">
                  <c:v>640.57875641162809</c:v>
                </c:pt>
                <c:pt idx="155">
                  <c:v>640.57875641162809</c:v>
                </c:pt>
                <c:pt idx="156">
                  <c:v>640.57875641162809</c:v>
                </c:pt>
                <c:pt idx="157">
                  <c:v>640.57875641162809</c:v>
                </c:pt>
                <c:pt idx="158">
                  <c:v>640.57875641162809</c:v>
                </c:pt>
                <c:pt idx="159">
                  <c:v>640.57875641162809</c:v>
                </c:pt>
                <c:pt idx="160">
                  <c:v>640.57875641162809</c:v>
                </c:pt>
                <c:pt idx="161">
                  <c:v>640.57875641162809</c:v>
                </c:pt>
                <c:pt idx="162">
                  <c:v>640.57875641162809</c:v>
                </c:pt>
                <c:pt idx="163">
                  <c:v>640.57875641162809</c:v>
                </c:pt>
                <c:pt idx="164">
                  <c:v>640.57875641162809</c:v>
                </c:pt>
                <c:pt idx="165">
                  <c:v>640.57875641162809</c:v>
                </c:pt>
                <c:pt idx="166">
                  <c:v>640.57875641162809</c:v>
                </c:pt>
                <c:pt idx="167">
                  <c:v>640.57875641162809</c:v>
                </c:pt>
                <c:pt idx="168">
                  <c:v>640.57875641162809</c:v>
                </c:pt>
                <c:pt idx="169">
                  <c:v>640.57875641162809</c:v>
                </c:pt>
                <c:pt idx="170">
                  <c:v>640.57875641162809</c:v>
                </c:pt>
                <c:pt idx="171">
                  <c:v>640.57875641162809</c:v>
                </c:pt>
                <c:pt idx="172">
                  <c:v>640.57875641162809</c:v>
                </c:pt>
                <c:pt idx="173">
                  <c:v>640.57875641162809</c:v>
                </c:pt>
                <c:pt idx="174">
                  <c:v>640.57875641162809</c:v>
                </c:pt>
                <c:pt idx="175">
                  <c:v>640.57875641162809</c:v>
                </c:pt>
                <c:pt idx="176">
                  <c:v>640.57875641162809</c:v>
                </c:pt>
                <c:pt idx="177">
                  <c:v>640.57875641162809</c:v>
                </c:pt>
                <c:pt idx="178">
                  <c:v>640.57875641162809</c:v>
                </c:pt>
                <c:pt idx="179">
                  <c:v>640.57875641162809</c:v>
                </c:pt>
                <c:pt idx="180">
                  <c:v>640.57875641162809</c:v>
                </c:pt>
                <c:pt idx="181">
                  <c:v>640.57875641162809</c:v>
                </c:pt>
                <c:pt idx="182">
                  <c:v>640.57875641162809</c:v>
                </c:pt>
                <c:pt idx="183">
                  <c:v>640.57875641162809</c:v>
                </c:pt>
                <c:pt idx="184">
                  <c:v>640.57875641162809</c:v>
                </c:pt>
                <c:pt idx="185">
                  <c:v>640.57875641162809</c:v>
                </c:pt>
                <c:pt idx="186">
                  <c:v>640.57875641162809</c:v>
                </c:pt>
                <c:pt idx="187">
                  <c:v>640.57875641162809</c:v>
                </c:pt>
                <c:pt idx="188">
                  <c:v>640.57875641162809</c:v>
                </c:pt>
                <c:pt idx="189">
                  <c:v>640.57875641162809</c:v>
                </c:pt>
                <c:pt idx="190">
                  <c:v>640.57875641162809</c:v>
                </c:pt>
                <c:pt idx="191">
                  <c:v>640.57875641162809</c:v>
                </c:pt>
                <c:pt idx="192">
                  <c:v>640.57875641162809</c:v>
                </c:pt>
                <c:pt idx="193">
                  <c:v>640.57875641162809</c:v>
                </c:pt>
                <c:pt idx="194">
                  <c:v>640.57875641162809</c:v>
                </c:pt>
                <c:pt idx="195">
                  <c:v>640.57875641162809</c:v>
                </c:pt>
                <c:pt idx="196">
                  <c:v>640.57875641162809</c:v>
                </c:pt>
                <c:pt idx="197">
                  <c:v>640.57875641162809</c:v>
                </c:pt>
                <c:pt idx="198">
                  <c:v>640.57875641162809</c:v>
                </c:pt>
                <c:pt idx="199">
                  <c:v>640.57875641162809</c:v>
                </c:pt>
                <c:pt idx="200">
                  <c:v>640.57875641162809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1.9014884712439295</c:v>
                </c:pt>
                <c:pt idx="2">
                  <c:v>2.3313468911234048</c:v>
                </c:pt>
                <c:pt idx="3">
                  <c:v>2.8587572043986178</c:v>
                </c:pt>
                <c:pt idx="4">
                  <c:v>3.5059385328620096</c:v>
                </c:pt>
                <c:pt idx="5">
                  <c:v>4.300188040178206</c:v>
                </c:pt>
                <c:pt idx="6">
                  <c:v>5.275045160981418</c:v>
                </c:pt>
                <c:pt idx="7">
                  <c:v>6.4717235294179156</c:v>
                </c:pt>
                <c:pt idx="8">
                  <c:v>7.9408723261193765</c:v>
                </c:pt>
                <c:pt idx="9">
                  <c:v>9.7447430269023378</c:v>
                </c:pt>
                <c:pt idx="10">
                  <c:v>11.959855104843124</c:v>
                </c:pt>
                <c:pt idx="11">
                  <c:v>14.680275876629251</c:v>
                </c:pt>
                <c:pt idx="12">
                  <c:v>18.021656339394116</c:v>
                </c:pt>
                <c:pt idx="13">
                  <c:v>22.126197680589126</c:v>
                </c:pt>
                <c:pt idx="14">
                  <c:v>27.16876359686341</c:v>
                </c:pt>
                <c:pt idx="15">
                  <c:v>33.364403398631502</c:v>
                </c:pt>
                <c:pt idx="16">
                  <c:v>40.977612287331084</c:v>
                </c:pt>
                <c:pt idx="17">
                  <c:v>50.333730862791022</c:v>
                </c:pt>
                <c:pt idx="18">
                  <c:v>61.832979165799912</c:v>
                </c:pt>
                <c:pt idx="19">
                  <c:v>75.967735475887096</c:v>
                </c:pt>
                <c:pt idx="20">
                  <c:v>93.343811709662134</c:v>
                </c:pt>
                <c:pt idx="21">
                  <c:v>108.1931416441323</c:v>
                </c:pt>
                <c:pt idx="22">
                  <c:v>122.99225398355058</c:v>
                </c:pt>
                <c:pt idx="23">
                  <c:v>137.74805278734988</c:v>
                </c:pt>
                <c:pt idx="24">
                  <c:v>152.46583697153577</c:v>
                </c:pt>
                <c:pt idx="25">
                  <c:v>167.14979619117901</c:v>
                </c:pt>
                <c:pt idx="26">
                  <c:v>181.80332238755173</c:v>
                </c:pt>
                <c:pt idx="27">
                  <c:v>196.42921519855102</c:v>
                </c:pt>
                <c:pt idx="28">
                  <c:v>211.02982277716478</c:v>
                </c:pt>
                <c:pt idx="29">
                  <c:v>225.60714149008663</c:v>
                </c:pt>
                <c:pt idx="30">
                  <c:v>240.162888441636</c:v>
                </c:pt>
                <c:pt idx="31">
                  <c:v>174.41533807140888</c:v>
                </c:pt>
                <c:pt idx="32">
                  <c:v>191.38430889136703</c:v>
                </c:pt>
                <c:pt idx="33">
                  <c:v>208.31825291806945</c:v>
                </c:pt>
                <c:pt idx="34">
                  <c:v>225.22041883707621</c:v>
                </c:pt>
                <c:pt idx="35">
                  <c:v>242.09352745507479</c:v>
                </c:pt>
                <c:pt idx="36">
                  <c:v>258.93988909141774</c:v>
                </c:pt>
                <c:pt idx="37">
                  <c:v>275.76148876119987</c:v>
                </c:pt>
                <c:pt idx="38">
                  <c:v>292.56004945354158</c:v>
                </c:pt>
                <c:pt idx="39">
                  <c:v>309.33708009818031</c:v>
                </c:pt>
                <c:pt idx="40">
                  <c:v>326.09391257189026</c:v>
                </c:pt>
                <c:pt idx="41">
                  <c:v>262.66582457768635</c:v>
                </c:pt>
                <c:pt idx="42">
                  <c:v>279.99529541960356</c:v>
                </c:pt>
                <c:pt idx="43">
                  <c:v>297.30072111303951</c:v>
                </c:pt>
                <c:pt idx="44">
                  <c:v>314.58369804007606</c:v>
                </c:pt>
                <c:pt idx="45">
                  <c:v>331.84563284634072</c:v>
                </c:pt>
                <c:pt idx="46">
                  <c:v>349.08777389556735</c:v>
                </c:pt>
                <c:pt idx="47">
                  <c:v>366.31123618163451</c:v>
                </c:pt>
                <c:pt idx="48">
                  <c:v>383.51702130873832</c:v>
                </c:pt>
                <c:pt idx="49">
                  <c:v>400.70603369795055</c:v>
                </c:pt>
                <c:pt idx="50">
                  <c:v>417.87909386741256</c:v>
                </c:pt>
                <c:pt idx="51">
                  <c:v>343.98098656104827</c:v>
                </c:pt>
                <c:pt idx="52">
                  <c:v>360.57209353569027</c:v>
                </c:pt>
                <c:pt idx="53">
                  <c:v>377.14651019229763</c:v>
                </c:pt>
                <c:pt idx="54">
                  <c:v>393.70507308256555</c:v>
                </c:pt>
                <c:pt idx="55">
                  <c:v>410.24854266397239</c:v>
                </c:pt>
                <c:pt idx="56">
                  <c:v>426.77761307453534</c:v>
                </c:pt>
                <c:pt idx="57">
                  <c:v>443.29292031429782</c:v>
                </c:pt>
                <c:pt idx="58">
                  <c:v>459.79504914411183</c:v>
                </c:pt>
                <c:pt idx="59">
                  <c:v>476.28453894255739</c:v>
                </c:pt>
                <c:pt idx="60">
                  <c:v>492.76188870967667</c:v>
                </c:pt>
                <c:pt idx="61">
                  <c:v>416.3532258391262</c:v>
                </c:pt>
                <c:pt idx="62">
                  <c:v>431.35243491022493</c:v>
                </c:pt>
                <c:pt idx="63">
                  <c:v>446.34044245385985</c:v>
                </c:pt>
                <c:pt idx="64">
                  <c:v>461.31767749667296</c:v>
                </c:pt>
                <c:pt idx="65">
                  <c:v>476.28453894255739</c:v>
                </c:pt>
                <c:pt idx="66">
                  <c:v>491.24139858744519</c:v>
                </c:pt>
                <c:pt idx="67">
                  <c:v>506.18860374788665</c:v>
                </c:pt>
                <c:pt idx="68">
                  <c:v>521.12647956306989</c:v>
                </c:pt>
                <c:pt idx="69">
                  <c:v>536.05533101923231</c:v>
                </c:pt>
                <c:pt idx="70">
                  <c:v>550.97544473689732</c:v>
                </c:pt>
                <c:pt idx="71">
                  <c:v>476.91850457599202</c:v>
                </c:pt>
                <c:pt idx="72">
                  <c:v>490.22768306866277</c:v>
                </c:pt>
                <c:pt idx="73">
                  <c:v>503.52919939265206</c:v>
                </c:pt>
                <c:pt idx="74">
                  <c:v>516.82328443201197</c:v>
                </c:pt>
                <c:pt idx="75">
                  <c:v>530.11015622696834</c:v>
                </c:pt>
                <c:pt idx="76">
                  <c:v>543.39002099916331</c:v>
                </c:pt>
                <c:pt idx="77">
                  <c:v>556.6630740714902</c:v>
                </c:pt>
                <c:pt idx="78">
                  <c:v>569.92950069565984</c:v>
                </c:pt>
                <c:pt idx="79">
                  <c:v>583.18947679873202</c:v>
                </c:pt>
                <c:pt idx="80">
                  <c:v>596.44316965824521</c:v>
                </c:pt>
                <c:pt idx="81">
                  <c:v>528.21246537398588</c:v>
                </c:pt>
                <c:pt idx="82">
                  <c:v>539.59647733911243</c:v>
                </c:pt>
                <c:pt idx="83">
                  <c:v>550.97544473689732</c:v>
                </c:pt>
                <c:pt idx="84">
                  <c:v>562.34948641975677</c:v>
                </c:pt>
                <c:pt idx="85">
                  <c:v>573.71871604099533</c:v>
                </c:pt>
                <c:pt idx="86">
                  <c:v>585.0832423829371</c:v>
                </c:pt>
                <c:pt idx="87">
                  <c:v>596.44316965824521</c:v>
                </c:pt>
                <c:pt idx="88">
                  <c:v>607.7985977870967</c:v>
                </c:pt>
                <c:pt idx="89">
                  <c:v>619.1496226525752</c:v>
                </c:pt>
                <c:pt idx="90">
                  <c:v>630.49633633636552</c:v>
                </c:pt>
                <c:pt idx="91">
                  <c:v>559.82234138161891</c:v>
                </c:pt>
                <c:pt idx="92">
                  <c:v>559.82234138161891</c:v>
                </c:pt>
                <c:pt idx="93">
                  <c:v>559.82234138161891</c:v>
                </c:pt>
                <c:pt idx="94">
                  <c:v>559.82234138161891</c:v>
                </c:pt>
                <c:pt idx="95">
                  <c:v>559.82234138161891</c:v>
                </c:pt>
                <c:pt idx="96">
                  <c:v>559.82234138161891</c:v>
                </c:pt>
                <c:pt idx="97">
                  <c:v>559.82234138161891</c:v>
                </c:pt>
                <c:pt idx="98">
                  <c:v>559.82234138161891</c:v>
                </c:pt>
                <c:pt idx="99">
                  <c:v>559.82234138161891</c:v>
                </c:pt>
                <c:pt idx="100">
                  <c:v>559.82234138161891</c:v>
                </c:pt>
                <c:pt idx="101">
                  <c:v>559.82234138161891</c:v>
                </c:pt>
                <c:pt idx="102">
                  <c:v>559.82234138161891</c:v>
                </c:pt>
                <c:pt idx="103">
                  <c:v>559.82234138161891</c:v>
                </c:pt>
                <c:pt idx="104">
                  <c:v>559.82234138161891</c:v>
                </c:pt>
                <c:pt idx="105">
                  <c:v>559.82234138161891</c:v>
                </c:pt>
                <c:pt idx="106">
                  <c:v>559.82234138161891</c:v>
                </c:pt>
                <c:pt idx="107">
                  <c:v>559.82234138161891</c:v>
                </c:pt>
                <c:pt idx="108">
                  <c:v>559.82234138161891</c:v>
                </c:pt>
                <c:pt idx="109">
                  <c:v>559.82234138161891</c:v>
                </c:pt>
                <c:pt idx="110">
                  <c:v>559.82234138161891</c:v>
                </c:pt>
                <c:pt idx="111">
                  <c:v>559.82234138161891</c:v>
                </c:pt>
                <c:pt idx="112">
                  <c:v>559.82234138161891</c:v>
                </c:pt>
                <c:pt idx="113">
                  <c:v>559.82234138161891</c:v>
                </c:pt>
                <c:pt idx="114">
                  <c:v>559.82234138161891</c:v>
                </c:pt>
                <c:pt idx="115">
                  <c:v>559.82234138161891</c:v>
                </c:pt>
                <c:pt idx="116">
                  <c:v>559.82234138161891</c:v>
                </c:pt>
                <c:pt idx="117">
                  <c:v>559.82234138161891</c:v>
                </c:pt>
                <c:pt idx="118">
                  <c:v>559.82234138161891</c:v>
                </c:pt>
                <c:pt idx="119">
                  <c:v>559.82234138161891</c:v>
                </c:pt>
                <c:pt idx="120">
                  <c:v>559.82234138161891</c:v>
                </c:pt>
                <c:pt idx="121">
                  <c:v>559.82234138161891</c:v>
                </c:pt>
                <c:pt idx="122">
                  <c:v>559.82234138161891</c:v>
                </c:pt>
                <c:pt idx="123">
                  <c:v>559.82234138161891</c:v>
                </c:pt>
                <c:pt idx="124">
                  <c:v>559.82234138161891</c:v>
                </c:pt>
                <c:pt idx="125">
                  <c:v>559.82234138161891</c:v>
                </c:pt>
                <c:pt idx="126">
                  <c:v>559.82234138161891</c:v>
                </c:pt>
                <c:pt idx="127">
                  <c:v>559.82234138161891</c:v>
                </c:pt>
                <c:pt idx="128">
                  <c:v>559.82234138161891</c:v>
                </c:pt>
                <c:pt idx="129">
                  <c:v>559.82234138161891</c:v>
                </c:pt>
                <c:pt idx="130">
                  <c:v>559.82234138161891</c:v>
                </c:pt>
                <c:pt idx="131">
                  <c:v>559.82234138161891</c:v>
                </c:pt>
                <c:pt idx="132">
                  <c:v>559.82234138161891</c:v>
                </c:pt>
                <c:pt idx="133">
                  <c:v>559.82234138161891</c:v>
                </c:pt>
                <c:pt idx="134">
                  <c:v>559.82234138161891</c:v>
                </c:pt>
                <c:pt idx="135">
                  <c:v>559.82234138161891</c:v>
                </c:pt>
                <c:pt idx="136">
                  <c:v>559.82234138161891</c:v>
                </c:pt>
                <c:pt idx="137">
                  <c:v>559.82234138161891</c:v>
                </c:pt>
                <c:pt idx="138">
                  <c:v>559.82234138161891</c:v>
                </c:pt>
                <c:pt idx="139">
                  <c:v>559.82234138161891</c:v>
                </c:pt>
                <c:pt idx="140">
                  <c:v>559.82234138161891</c:v>
                </c:pt>
                <c:pt idx="141">
                  <c:v>559.82234138161891</c:v>
                </c:pt>
                <c:pt idx="142">
                  <c:v>559.82234138161891</c:v>
                </c:pt>
                <c:pt idx="143">
                  <c:v>559.82234138161891</c:v>
                </c:pt>
                <c:pt idx="144">
                  <c:v>559.82234138161891</c:v>
                </c:pt>
                <c:pt idx="145">
                  <c:v>559.82234138161891</c:v>
                </c:pt>
                <c:pt idx="146">
                  <c:v>559.82234138161891</c:v>
                </c:pt>
                <c:pt idx="147">
                  <c:v>559.82234138161891</c:v>
                </c:pt>
                <c:pt idx="148">
                  <c:v>559.82234138161891</c:v>
                </c:pt>
                <c:pt idx="149">
                  <c:v>559.82234138161891</c:v>
                </c:pt>
                <c:pt idx="150">
                  <c:v>559.82234138161891</c:v>
                </c:pt>
                <c:pt idx="151">
                  <c:v>559.82234138161891</c:v>
                </c:pt>
                <c:pt idx="152">
                  <c:v>559.82234138161891</c:v>
                </c:pt>
                <c:pt idx="153">
                  <c:v>559.82234138161891</c:v>
                </c:pt>
                <c:pt idx="154">
                  <c:v>559.82234138161891</c:v>
                </c:pt>
                <c:pt idx="155">
                  <c:v>559.82234138161891</c:v>
                </c:pt>
                <c:pt idx="156">
                  <c:v>559.82234138161891</c:v>
                </c:pt>
                <c:pt idx="157">
                  <c:v>559.82234138161891</c:v>
                </c:pt>
                <c:pt idx="158">
                  <c:v>559.82234138161891</c:v>
                </c:pt>
                <c:pt idx="159">
                  <c:v>559.82234138161891</c:v>
                </c:pt>
                <c:pt idx="160">
                  <c:v>559.82234138161891</c:v>
                </c:pt>
                <c:pt idx="161">
                  <c:v>559.82234138161891</c:v>
                </c:pt>
                <c:pt idx="162">
                  <c:v>559.82234138161891</c:v>
                </c:pt>
                <c:pt idx="163">
                  <c:v>559.82234138161891</c:v>
                </c:pt>
                <c:pt idx="164">
                  <c:v>559.82234138161891</c:v>
                </c:pt>
                <c:pt idx="165">
                  <c:v>559.82234138161891</c:v>
                </c:pt>
                <c:pt idx="166">
                  <c:v>559.82234138161891</c:v>
                </c:pt>
                <c:pt idx="167">
                  <c:v>559.82234138161891</c:v>
                </c:pt>
                <c:pt idx="168">
                  <c:v>559.82234138161891</c:v>
                </c:pt>
                <c:pt idx="169">
                  <c:v>559.82234138161891</c:v>
                </c:pt>
                <c:pt idx="170">
                  <c:v>559.82234138161891</c:v>
                </c:pt>
                <c:pt idx="171">
                  <c:v>559.82234138161891</c:v>
                </c:pt>
                <c:pt idx="172">
                  <c:v>559.82234138161891</c:v>
                </c:pt>
                <c:pt idx="173">
                  <c:v>559.82234138161891</c:v>
                </c:pt>
                <c:pt idx="174">
                  <c:v>559.82234138161891</c:v>
                </c:pt>
                <c:pt idx="175">
                  <c:v>559.82234138161891</c:v>
                </c:pt>
                <c:pt idx="176">
                  <c:v>559.82234138161891</c:v>
                </c:pt>
                <c:pt idx="177">
                  <c:v>559.82234138161891</c:v>
                </c:pt>
                <c:pt idx="178">
                  <c:v>559.82234138161891</c:v>
                </c:pt>
                <c:pt idx="179">
                  <c:v>559.82234138161891</c:v>
                </c:pt>
                <c:pt idx="180">
                  <c:v>559.82234138161891</c:v>
                </c:pt>
                <c:pt idx="181">
                  <c:v>559.82234138161891</c:v>
                </c:pt>
                <c:pt idx="182">
                  <c:v>559.82234138161891</c:v>
                </c:pt>
                <c:pt idx="183">
                  <c:v>559.82234138161891</c:v>
                </c:pt>
                <c:pt idx="184">
                  <c:v>559.82234138161891</c:v>
                </c:pt>
                <c:pt idx="185">
                  <c:v>559.82234138161891</c:v>
                </c:pt>
                <c:pt idx="186">
                  <c:v>559.82234138161891</c:v>
                </c:pt>
                <c:pt idx="187">
                  <c:v>559.82234138161891</c:v>
                </c:pt>
                <c:pt idx="188">
                  <c:v>559.82234138161891</c:v>
                </c:pt>
                <c:pt idx="189">
                  <c:v>559.82234138161891</c:v>
                </c:pt>
                <c:pt idx="190">
                  <c:v>559.82234138161891</c:v>
                </c:pt>
                <c:pt idx="191">
                  <c:v>559.82234138161891</c:v>
                </c:pt>
                <c:pt idx="192">
                  <c:v>559.82234138161891</c:v>
                </c:pt>
                <c:pt idx="193">
                  <c:v>559.82234138161891</c:v>
                </c:pt>
                <c:pt idx="194">
                  <c:v>559.82234138161891</c:v>
                </c:pt>
                <c:pt idx="195">
                  <c:v>559.82234138161891</c:v>
                </c:pt>
                <c:pt idx="196">
                  <c:v>559.82234138161891</c:v>
                </c:pt>
                <c:pt idx="197">
                  <c:v>559.82234138161891</c:v>
                </c:pt>
                <c:pt idx="198">
                  <c:v>559.82234138161891</c:v>
                </c:pt>
                <c:pt idx="199">
                  <c:v>559.82234138161891</c:v>
                </c:pt>
                <c:pt idx="200">
                  <c:v>559.82234138161891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1.9214893041217032</c:v>
                </c:pt>
                <c:pt idx="2">
                  <c:v>2.5987025008718923</c:v>
                </c:pt>
                <c:pt idx="3">
                  <c:v>3.5156040807503324</c:v>
                </c:pt>
                <c:pt idx="4">
                  <c:v>4.7573647265716694</c:v>
                </c:pt>
                <c:pt idx="5">
                  <c:v>6.4395315306240031</c:v>
                </c:pt>
                <c:pt idx="6">
                  <c:v>8.7188988740568281</c:v>
                </c:pt>
                <c:pt idx="7">
                  <c:v>11.808281901058599</c:v>
                </c:pt>
                <c:pt idx="8">
                  <c:v>15.996597611169451</c:v>
                </c:pt>
                <c:pt idx="9">
                  <c:v>21.676165746847925</c:v>
                </c:pt>
                <c:pt idx="10">
                  <c:v>29.379832297005887</c:v>
                </c:pt>
                <c:pt idx="11">
                  <c:v>43.42796098315484</c:v>
                </c:pt>
                <c:pt idx="12">
                  <c:v>57.352308105364443</c:v>
                </c:pt>
                <c:pt idx="13">
                  <c:v>71.187624867837272</c:v>
                </c:pt>
                <c:pt idx="14">
                  <c:v>84.953789769718654</c:v>
                </c:pt>
                <c:pt idx="15">
                  <c:v>98.663638916304294</c:v>
                </c:pt>
                <c:pt idx="16">
                  <c:v>112.32612308019601</c:v>
                </c:pt>
                <c:pt idx="17">
                  <c:v>125.94782644681675</c:v>
                </c:pt>
                <c:pt idx="18">
                  <c:v>139.53378725227557</c:v>
                </c:pt>
                <c:pt idx="19">
                  <c:v>153.08797965351815</c:v>
                </c:pt>
                <c:pt idx="20">
                  <c:v>166.61361501076925</c:v>
                </c:pt>
                <c:pt idx="21">
                  <c:v>115.43621516079592</c:v>
                </c:pt>
                <c:pt idx="22">
                  <c:v>132.1491048997581</c:v>
                </c:pt>
                <c:pt idx="23">
                  <c:v>148.81093286135925</c:v>
                </c:pt>
                <c:pt idx="24">
                  <c:v>165.4282275996666</c:v>
                </c:pt>
                <c:pt idx="25">
                  <c:v>182.0060955160782</c:v>
                </c:pt>
                <c:pt idx="26">
                  <c:v>198.54863502669249</c:v>
                </c:pt>
                <c:pt idx="27">
                  <c:v>215.05920485974343</c:v>
                </c:pt>
                <c:pt idx="28">
                  <c:v>231.54060536306488</c:v>
                </c:pt>
                <c:pt idx="29">
                  <c:v>247.99520534543674</c:v>
                </c:pt>
                <c:pt idx="30">
                  <c:v>264.42503341914329</c:v>
                </c:pt>
                <c:pt idx="31">
                  <c:v>196.30551917967912</c:v>
                </c:pt>
                <c:pt idx="32">
                  <c:v>210.58075731770046</c:v>
                </c:pt>
                <c:pt idx="33">
                  <c:v>224.83368096285912</c:v>
                </c:pt>
                <c:pt idx="34">
                  <c:v>239.06590436046736</c:v>
                </c:pt>
                <c:pt idx="35">
                  <c:v>253.27883373100008</c:v>
                </c:pt>
                <c:pt idx="36">
                  <c:v>267.47370449813809</c:v>
                </c:pt>
                <c:pt idx="37">
                  <c:v>281.65161019072974</c:v>
                </c:pt>
                <c:pt idx="38">
                  <c:v>295.81352521481881</c:v>
                </c:pt>
                <c:pt idx="39">
                  <c:v>309.96032303309579</c:v>
                </c:pt>
                <c:pt idx="40">
                  <c:v>324.09279084959798</c:v>
                </c:pt>
                <c:pt idx="41">
                  <c:v>256.09574439867498</c:v>
                </c:pt>
                <c:pt idx="42">
                  <c:v>267.70818510138707</c:v>
                </c:pt>
                <c:pt idx="43">
                  <c:v>279.30928259257695</c:v>
                </c:pt>
                <c:pt idx="44">
                  <c:v>290.89957463061307</c:v>
                </c:pt>
                <c:pt idx="45">
                  <c:v>302.47955260057626</c:v>
                </c:pt>
                <c:pt idx="46">
                  <c:v>314.04966717357325</c:v>
                </c:pt>
                <c:pt idx="47">
                  <c:v>325.61033308796351</c:v>
                </c:pt>
                <c:pt idx="48">
                  <c:v>337.16193321571785</c:v>
                </c:pt>
                <c:pt idx="49">
                  <c:v>348.70482204213005</c:v>
                </c:pt>
                <c:pt idx="50">
                  <c:v>360.23932866053048</c:v>
                </c:pt>
                <c:pt idx="51">
                  <c:v>305.63599851497548</c:v>
                </c:pt>
                <c:pt idx="52">
                  <c:v>315.21783358823507</c:v>
                </c:pt>
                <c:pt idx="53">
                  <c:v>324.79321443249796</c:v>
                </c:pt>
                <c:pt idx="54">
                  <c:v>334.36235827747288</c:v>
                </c:pt>
                <c:pt idx="55">
                  <c:v>343.92546889640698</c:v>
                </c:pt>
                <c:pt idx="56">
                  <c:v>353.48273779876689</c:v>
                </c:pt>
                <c:pt idx="57">
                  <c:v>363.03434528713234</c:v>
                </c:pt>
                <c:pt idx="58">
                  <c:v>372.58046139700485</c:v>
                </c:pt>
                <c:pt idx="59">
                  <c:v>382.12124673523084</c:v>
                </c:pt>
                <c:pt idx="60">
                  <c:v>391.65685323028885</c:v>
                </c:pt>
                <c:pt idx="61">
                  <c:v>346.37361123107047</c:v>
                </c:pt>
                <c:pt idx="62">
                  <c:v>354.64786759228576</c:v>
                </c:pt>
                <c:pt idx="63">
                  <c:v>362.91789568036029</c:v>
                </c:pt>
                <c:pt idx="64">
                  <c:v>371.18380550457044</c:v>
                </c:pt>
                <c:pt idx="65">
                  <c:v>379.44570177141003</c:v>
                </c:pt>
                <c:pt idx="66">
                  <c:v>387.70368425262308</c:v>
                </c:pt>
                <c:pt idx="67">
                  <c:v>395.95784812023118</c:v>
                </c:pt>
                <c:pt idx="68">
                  <c:v>404.20828425215444</c:v>
                </c:pt>
                <c:pt idx="69">
                  <c:v>412.45507951156748</c:v>
                </c:pt>
                <c:pt idx="70">
                  <c:v>420.69831700274091</c:v>
                </c:pt>
                <c:pt idx="71">
                  <c:v>378.98034777548816</c:v>
                </c:pt>
                <c:pt idx="72">
                  <c:v>386.0756548689514</c:v>
                </c:pt>
                <c:pt idx="73">
                  <c:v>393.16812973897248</c:v>
                </c:pt>
                <c:pt idx="74">
                  <c:v>400.25783072357098</c:v>
                </c:pt>
                <c:pt idx="75">
                  <c:v>407.34481392391939</c:v>
                </c:pt>
                <c:pt idx="76">
                  <c:v>414.42913332839385</c:v>
                </c:pt>
                <c:pt idx="77">
                  <c:v>421.51084092769702</c:v>
                </c:pt>
                <c:pt idx="78">
                  <c:v>428.58998682183602</c:v>
                </c:pt>
                <c:pt idx="79">
                  <c:v>435.66661931966229</c:v>
                </c:pt>
                <c:pt idx="80">
                  <c:v>442.74078503160263</c:v>
                </c:pt>
                <c:pt idx="81">
                  <c:v>3.3837175350986671E-12</c:v>
                </c:pt>
                <c:pt idx="82">
                  <c:v>3.3837175350986671E-12</c:v>
                </c:pt>
                <c:pt idx="83">
                  <c:v>3.3837175350986671E-12</c:v>
                </c:pt>
                <c:pt idx="84">
                  <c:v>3.3837175350986671E-12</c:v>
                </c:pt>
                <c:pt idx="85">
                  <c:v>3.3837175350986671E-12</c:v>
                </c:pt>
                <c:pt idx="86">
                  <c:v>3.3837175350986671E-12</c:v>
                </c:pt>
                <c:pt idx="87">
                  <c:v>3.3837175350986671E-12</c:v>
                </c:pt>
                <c:pt idx="88">
                  <c:v>3.3837175350986671E-12</c:v>
                </c:pt>
                <c:pt idx="89">
                  <c:v>3.3837175350986671E-12</c:v>
                </c:pt>
                <c:pt idx="90">
                  <c:v>3.3837175350986671E-12</c:v>
                </c:pt>
                <c:pt idx="91">
                  <c:v>3.3837175350986671E-12</c:v>
                </c:pt>
                <c:pt idx="92">
                  <c:v>3.3837175350986671E-12</c:v>
                </c:pt>
                <c:pt idx="93">
                  <c:v>3.3837175350986671E-12</c:v>
                </c:pt>
                <c:pt idx="94">
                  <c:v>3.3837175350986671E-12</c:v>
                </c:pt>
                <c:pt idx="95">
                  <c:v>3.3837175350986671E-12</c:v>
                </c:pt>
                <c:pt idx="96">
                  <c:v>3.3837175350986671E-12</c:v>
                </c:pt>
                <c:pt idx="97">
                  <c:v>3.3837175350986671E-12</c:v>
                </c:pt>
                <c:pt idx="98">
                  <c:v>3.3837175350986671E-12</c:v>
                </c:pt>
                <c:pt idx="99">
                  <c:v>3.3837175350986671E-12</c:v>
                </c:pt>
                <c:pt idx="100">
                  <c:v>3.3837175350986671E-12</c:v>
                </c:pt>
                <c:pt idx="101">
                  <c:v>3.3837175350986671E-12</c:v>
                </c:pt>
                <c:pt idx="102">
                  <c:v>3.3837175350986671E-12</c:v>
                </c:pt>
                <c:pt idx="103">
                  <c:v>3.3837175350986671E-12</c:v>
                </c:pt>
                <c:pt idx="104">
                  <c:v>3.3837175350986671E-12</c:v>
                </c:pt>
                <c:pt idx="105">
                  <c:v>3.3837175350986671E-12</c:v>
                </c:pt>
                <c:pt idx="106">
                  <c:v>3.3837175350986671E-12</c:v>
                </c:pt>
                <c:pt idx="107">
                  <c:v>3.3837175350986671E-12</c:v>
                </c:pt>
                <c:pt idx="108">
                  <c:v>3.3837175350986671E-12</c:v>
                </c:pt>
                <c:pt idx="109">
                  <c:v>3.3837175350986671E-12</c:v>
                </c:pt>
                <c:pt idx="110">
                  <c:v>3.3837175350986671E-12</c:v>
                </c:pt>
                <c:pt idx="111">
                  <c:v>3.3837175350986671E-12</c:v>
                </c:pt>
                <c:pt idx="112">
                  <c:v>3.3837175350986671E-12</c:v>
                </c:pt>
                <c:pt idx="113">
                  <c:v>3.3837175350986671E-12</c:v>
                </c:pt>
                <c:pt idx="114">
                  <c:v>3.3837175350986671E-12</c:v>
                </c:pt>
                <c:pt idx="115">
                  <c:v>3.3837175350986671E-12</c:v>
                </c:pt>
                <c:pt idx="116">
                  <c:v>3.3837175350986671E-12</c:v>
                </c:pt>
                <c:pt idx="117">
                  <c:v>3.3837175350986671E-12</c:v>
                </c:pt>
                <c:pt idx="118">
                  <c:v>3.3837175350986671E-12</c:v>
                </c:pt>
                <c:pt idx="119">
                  <c:v>3.3837175350986671E-12</c:v>
                </c:pt>
                <c:pt idx="120">
                  <c:v>3.3837175350986671E-12</c:v>
                </c:pt>
                <c:pt idx="121">
                  <c:v>3.3837175350986671E-12</c:v>
                </c:pt>
                <c:pt idx="122">
                  <c:v>3.3837175350986671E-12</c:v>
                </c:pt>
                <c:pt idx="123">
                  <c:v>3.3837175350986671E-12</c:v>
                </c:pt>
                <c:pt idx="124">
                  <c:v>3.3837175350986671E-12</c:v>
                </c:pt>
                <c:pt idx="125">
                  <c:v>3.3837175350986671E-12</c:v>
                </c:pt>
                <c:pt idx="126">
                  <c:v>3.3837175350986671E-12</c:v>
                </c:pt>
                <c:pt idx="127">
                  <c:v>3.3837175350986671E-12</c:v>
                </c:pt>
                <c:pt idx="128">
                  <c:v>3.3837175350986671E-12</c:v>
                </c:pt>
                <c:pt idx="129">
                  <c:v>3.3837175350986671E-12</c:v>
                </c:pt>
                <c:pt idx="130">
                  <c:v>3.3837175350986671E-12</c:v>
                </c:pt>
                <c:pt idx="131">
                  <c:v>3.3837175350986671E-12</c:v>
                </c:pt>
                <c:pt idx="132">
                  <c:v>3.3837175350986671E-12</c:v>
                </c:pt>
                <c:pt idx="133">
                  <c:v>3.3837175350986671E-12</c:v>
                </c:pt>
                <c:pt idx="134">
                  <c:v>3.3837175350986671E-12</c:v>
                </c:pt>
                <c:pt idx="135">
                  <c:v>3.3837175350986671E-12</c:v>
                </c:pt>
                <c:pt idx="136">
                  <c:v>3.3837175350986671E-12</c:v>
                </c:pt>
                <c:pt idx="137">
                  <c:v>3.3837175350986671E-12</c:v>
                </c:pt>
                <c:pt idx="138">
                  <c:v>3.3837175350986671E-12</c:v>
                </c:pt>
                <c:pt idx="139">
                  <c:v>3.3837175350986671E-12</c:v>
                </c:pt>
                <c:pt idx="140">
                  <c:v>3.3837175350986671E-12</c:v>
                </c:pt>
                <c:pt idx="141">
                  <c:v>3.3837175350986671E-12</c:v>
                </c:pt>
                <c:pt idx="142">
                  <c:v>3.3837175350986671E-12</c:v>
                </c:pt>
                <c:pt idx="143">
                  <c:v>3.3837175350986671E-12</c:v>
                </c:pt>
                <c:pt idx="144">
                  <c:v>3.3837175350986671E-12</c:v>
                </c:pt>
                <c:pt idx="145">
                  <c:v>3.3837175350986671E-12</c:v>
                </c:pt>
                <c:pt idx="146">
                  <c:v>3.3837175350986671E-12</c:v>
                </c:pt>
                <c:pt idx="147">
                  <c:v>3.3837175350986671E-12</c:v>
                </c:pt>
                <c:pt idx="148">
                  <c:v>3.3837175350986671E-12</c:v>
                </c:pt>
                <c:pt idx="149">
                  <c:v>3.3837175350986671E-12</c:v>
                </c:pt>
                <c:pt idx="150">
                  <c:v>3.3837175350986671E-12</c:v>
                </c:pt>
                <c:pt idx="151">
                  <c:v>3.3837175350986671E-12</c:v>
                </c:pt>
                <c:pt idx="152">
                  <c:v>3.3837175350986671E-12</c:v>
                </c:pt>
                <c:pt idx="153">
                  <c:v>3.3837175350986671E-12</c:v>
                </c:pt>
                <c:pt idx="154">
                  <c:v>3.3837175350986671E-12</c:v>
                </c:pt>
                <c:pt idx="155">
                  <c:v>3.3837175350986671E-12</c:v>
                </c:pt>
                <c:pt idx="156">
                  <c:v>3.3837175350986671E-12</c:v>
                </c:pt>
                <c:pt idx="157">
                  <c:v>3.3837175350986671E-12</c:v>
                </c:pt>
                <c:pt idx="158">
                  <c:v>3.3837175350986671E-12</c:v>
                </c:pt>
                <c:pt idx="159">
                  <c:v>3.3837175350986671E-12</c:v>
                </c:pt>
                <c:pt idx="160">
                  <c:v>3.3837175350986671E-12</c:v>
                </c:pt>
                <c:pt idx="161">
                  <c:v>3.3837175350986671E-12</c:v>
                </c:pt>
                <c:pt idx="162">
                  <c:v>3.3837175350986671E-12</c:v>
                </c:pt>
                <c:pt idx="163">
                  <c:v>3.3837175350986671E-12</c:v>
                </c:pt>
                <c:pt idx="164">
                  <c:v>3.3837175350986671E-12</c:v>
                </c:pt>
                <c:pt idx="165">
                  <c:v>3.3837175350986671E-12</c:v>
                </c:pt>
                <c:pt idx="166">
                  <c:v>3.3837175350986671E-12</c:v>
                </c:pt>
                <c:pt idx="167">
                  <c:v>3.3837175350986671E-12</c:v>
                </c:pt>
                <c:pt idx="168">
                  <c:v>3.3837175350986671E-12</c:v>
                </c:pt>
                <c:pt idx="169">
                  <c:v>3.3837175350986671E-12</c:v>
                </c:pt>
                <c:pt idx="170">
                  <c:v>3.3837175350986671E-12</c:v>
                </c:pt>
                <c:pt idx="171">
                  <c:v>3.3837175350986671E-12</c:v>
                </c:pt>
                <c:pt idx="172">
                  <c:v>3.3837175350986671E-12</c:v>
                </c:pt>
                <c:pt idx="173">
                  <c:v>3.3837175350986671E-12</c:v>
                </c:pt>
                <c:pt idx="174">
                  <c:v>3.3837175350986671E-12</c:v>
                </c:pt>
                <c:pt idx="175">
                  <c:v>3.3837175350986671E-12</c:v>
                </c:pt>
                <c:pt idx="176">
                  <c:v>3.3837175350986671E-12</c:v>
                </c:pt>
                <c:pt idx="177">
                  <c:v>3.3837175350986671E-12</c:v>
                </c:pt>
                <c:pt idx="178">
                  <c:v>3.3837175350986671E-12</c:v>
                </c:pt>
                <c:pt idx="179">
                  <c:v>3.3837175350986671E-12</c:v>
                </c:pt>
                <c:pt idx="180">
                  <c:v>3.3837175350986671E-12</c:v>
                </c:pt>
                <c:pt idx="181">
                  <c:v>3.3837175350986671E-12</c:v>
                </c:pt>
                <c:pt idx="182">
                  <c:v>3.3837175350986671E-12</c:v>
                </c:pt>
                <c:pt idx="183">
                  <c:v>3.3837175350986671E-12</c:v>
                </c:pt>
                <c:pt idx="184">
                  <c:v>3.3837175350986671E-12</c:v>
                </c:pt>
                <c:pt idx="185">
                  <c:v>3.3837175350986671E-12</c:v>
                </c:pt>
                <c:pt idx="186">
                  <c:v>3.3837175350986671E-12</c:v>
                </c:pt>
                <c:pt idx="187">
                  <c:v>3.3837175350986671E-12</c:v>
                </c:pt>
                <c:pt idx="188">
                  <c:v>3.3837175350986671E-12</c:v>
                </c:pt>
                <c:pt idx="189">
                  <c:v>3.3837175350986671E-12</c:v>
                </c:pt>
                <c:pt idx="190">
                  <c:v>3.3837175350986671E-12</c:v>
                </c:pt>
                <c:pt idx="191">
                  <c:v>3.3837175350986671E-12</c:v>
                </c:pt>
                <c:pt idx="192">
                  <c:v>3.3837175350986671E-12</c:v>
                </c:pt>
                <c:pt idx="193">
                  <c:v>3.3837175350986671E-12</c:v>
                </c:pt>
                <c:pt idx="194">
                  <c:v>3.3837175350986671E-12</c:v>
                </c:pt>
                <c:pt idx="195">
                  <c:v>3.3837175350986671E-12</c:v>
                </c:pt>
                <c:pt idx="196">
                  <c:v>3.3837175350986671E-12</c:v>
                </c:pt>
                <c:pt idx="197">
                  <c:v>3.3837175350986671E-12</c:v>
                </c:pt>
                <c:pt idx="198">
                  <c:v>3.3837175350986671E-12</c:v>
                </c:pt>
                <c:pt idx="199">
                  <c:v>3.3837175350986671E-12</c:v>
                </c:pt>
                <c:pt idx="200">
                  <c:v>3.3837175350986671E-12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1.8048777904338316</c:v>
                </c:pt>
                <c:pt idx="2">
                  <c:v>2.2926058768515145</c:v>
                </c:pt>
                <c:pt idx="3">
                  <c:v>2.9126602190110025</c:v>
                </c:pt>
                <c:pt idx="4">
                  <c:v>3.7010779404507814</c:v>
                </c:pt>
                <c:pt idx="5">
                  <c:v>4.7037449367941093</c:v>
                </c:pt>
                <c:pt idx="6">
                  <c:v>5.9790962943622175</c:v>
                </c:pt>
                <c:pt idx="7">
                  <c:v>7.6015593615318195</c:v>
                </c:pt>
                <c:pt idx="8">
                  <c:v>9.6659442758631346</c:v>
                </c:pt>
                <c:pt idx="9">
                  <c:v>12.293043370855143</c:v>
                </c:pt>
                <c:pt idx="10">
                  <c:v>15.636773196306708</c:v>
                </c:pt>
                <c:pt idx="11">
                  <c:v>26.276606960936949</c:v>
                </c:pt>
                <c:pt idx="12">
                  <c:v>36.792126819104425</c:v>
                </c:pt>
                <c:pt idx="13">
                  <c:v>47.224797257079274</c:v>
                </c:pt>
                <c:pt idx="14">
                  <c:v>57.595727469096431</c:v>
                </c:pt>
                <c:pt idx="15">
                  <c:v>67.917680098140238</c:v>
                </c:pt>
                <c:pt idx="16">
                  <c:v>78.199181576347655</c:v>
                </c:pt>
                <c:pt idx="17">
                  <c:v>88.446317030523275</c:v>
                </c:pt>
                <c:pt idx="18">
                  <c:v>98.663638916304294</c:v>
                </c:pt>
                <c:pt idx="19">
                  <c:v>108.85467590109558</c:v>
                </c:pt>
                <c:pt idx="20">
                  <c:v>119.0222397663063</c:v>
                </c:pt>
                <c:pt idx="21">
                  <c:v>93.498362906844463</c:v>
                </c:pt>
                <c:pt idx="22">
                  <c:v>107.53721190988357</c:v>
                </c:pt>
                <c:pt idx="23">
                  <c:v>121.5308837363976</c:v>
                </c:pt>
                <c:pt idx="24">
                  <c:v>135.48532164045579</c:v>
                </c:pt>
                <c:pt idx="25">
                  <c:v>149.40514060588052</c:v>
                </c:pt>
                <c:pt idx="26">
                  <c:v>163.29402328311821</c:v>
                </c:pt>
                <c:pt idx="27">
                  <c:v>177.15497347241683</c:v>
                </c:pt>
                <c:pt idx="28">
                  <c:v>190.99048579587341</c:v>
                </c:pt>
                <c:pt idx="29">
                  <c:v>204.8026634679417</c:v>
                </c:pt>
                <c:pt idx="30">
                  <c:v>218.59330254631723</c:v>
                </c:pt>
                <c:pt idx="31">
                  <c:v>164.59833707071277</c:v>
                </c:pt>
                <c:pt idx="32">
                  <c:v>176.79989200231066</c:v>
                </c:pt>
                <c:pt idx="33">
                  <c:v>188.98169275702335</c:v>
                </c:pt>
                <c:pt idx="34">
                  <c:v>201.14519296569901</c:v>
                </c:pt>
                <c:pt idx="35">
                  <c:v>213.29165590345337</c:v>
                </c:pt>
                <c:pt idx="36">
                  <c:v>225.4221890749391</c:v>
                </c:pt>
                <c:pt idx="37">
                  <c:v>237.53777095307456</c:v>
                </c:pt>
                <c:pt idx="38">
                  <c:v>249.63927196919659</c:v>
                </c:pt>
                <c:pt idx="39">
                  <c:v>261.7274712150774</c:v>
                </c:pt>
                <c:pt idx="40">
                  <c:v>273.80306989453726</c:v>
                </c:pt>
                <c:pt idx="41">
                  <c:v>217.65100589555246</c:v>
                </c:pt>
                <c:pt idx="42">
                  <c:v>227.30517892841024</c:v>
                </c:pt>
                <c:pt idx="43">
                  <c:v>236.94996773022407</c:v>
                </c:pt>
                <c:pt idx="44">
                  <c:v>246.5858084671363</c:v>
                </c:pt>
                <c:pt idx="45">
                  <c:v>256.21310040094528</c:v>
                </c:pt>
                <c:pt idx="46">
                  <c:v>265.83221031126931</c:v>
                </c:pt>
                <c:pt idx="47">
                  <c:v>275.44347624354708</c:v>
                </c:pt>
                <c:pt idx="48">
                  <c:v>285.04721070608588</c:v>
                </c:pt>
                <c:pt idx="49">
                  <c:v>294.64370341336456</c:v>
                </c:pt>
                <c:pt idx="50">
                  <c:v>304.23322365298299</c:v>
                </c:pt>
                <c:pt idx="51">
                  <c:v>259.61589786659118</c:v>
                </c:pt>
                <c:pt idx="52">
                  <c:v>267.70818510138707</c:v>
                </c:pt>
                <c:pt idx="53">
                  <c:v>275.79496328358562</c:v>
                </c:pt>
                <c:pt idx="54">
                  <c:v>283.87641689700018</c:v>
                </c:pt>
                <c:pt idx="55">
                  <c:v>291.95271905336477</c:v>
                </c:pt>
                <c:pt idx="56">
                  <c:v>300.02403249547757</c:v>
                </c:pt>
                <c:pt idx="57">
                  <c:v>308.09051048666475</c:v>
                </c:pt>
                <c:pt idx="58">
                  <c:v>316.1522976021505</c:v>
                </c:pt>
                <c:pt idx="59">
                  <c:v>324.20953043543028</c:v>
                </c:pt>
                <c:pt idx="60">
                  <c:v>332.26233823070532</c:v>
                </c:pt>
                <c:pt idx="61">
                  <c:v>296.74930832673999</c:v>
                </c:pt>
                <c:pt idx="62">
                  <c:v>303.29796050375188</c:v>
                </c:pt>
                <c:pt idx="63">
                  <c:v>309.84346710446158</c:v>
                </c:pt>
                <c:pt idx="64">
                  <c:v>316.38590403300685</c:v>
                </c:pt>
                <c:pt idx="65">
                  <c:v>322.92534379451826</c:v>
                </c:pt>
                <c:pt idx="66">
                  <c:v>329.46185571461717</c:v>
                </c:pt>
                <c:pt idx="67">
                  <c:v>335.99550614056949</c:v>
                </c:pt>
                <c:pt idx="68">
                  <c:v>342.52635862596304</c:v>
                </c:pt>
                <c:pt idx="69">
                  <c:v>349.05447410055422</c:v>
                </c:pt>
                <c:pt idx="70">
                  <c:v>355.57991102673378</c:v>
                </c:pt>
                <c:pt idx="71">
                  <c:v>323.62582320544703</c:v>
                </c:pt>
                <c:pt idx="72">
                  <c:v>328.99505767197456</c:v>
                </c:pt>
                <c:pt idx="73">
                  <c:v>334.36235827747322</c:v>
                </c:pt>
                <c:pt idx="74">
                  <c:v>339.72776048524355</c:v>
                </c:pt>
                <c:pt idx="75">
                  <c:v>345.09129854560803</c:v>
                </c:pt>
                <c:pt idx="76">
                  <c:v>350.45300555603359</c:v>
                </c:pt>
                <c:pt idx="77">
                  <c:v>355.812913517379</c:v>
                </c:pt>
                <c:pt idx="78">
                  <c:v>361.17105338657365</c:v>
                </c:pt>
                <c:pt idx="79">
                  <c:v>366.52745512600387</c:v>
                </c:pt>
                <c:pt idx="80">
                  <c:v>371.88214774985994</c:v>
                </c:pt>
                <c:pt idx="81">
                  <c:v>4.8565452596705266E-12</c:v>
                </c:pt>
                <c:pt idx="82">
                  <c:v>4.8565452596705266E-12</c:v>
                </c:pt>
                <c:pt idx="83">
                  <c:v>4.8565452596705266E-12</c:v>
                </c:pt>
                <c:pt idx="84">
                  <c:v>4.8565452596705266E-12</c:v>
                </c:pt>
                <c:pt idx="85">
                  <c:v>4.8565452596705266E-12</c:v>
                </c:pt>
                <c:pt idx="86">
                  <c:v>4.8565452596705266E-12</c:v>
                </c:pt>
                <c:pt idx="87">
                  <c:v>4.8565452596705266E-12</c:v>
                </c:pt>
                <c:pt idx="88">
                  <c:v>4.8565452596705266E-12</c:v>
                </c:pt>
                <c:pt idx="89">
                  <c:v>4.8565452596705266E-12</c:v>
                </c:pt>
                <c:pt idx="90">
                  <c:v>4.8565452596705266E-12</c:v>
                </c:pt>
                <c:pt idx="91">
                  <c:v>4.8565452596705266E-12</c:v>
                </c:pt>
                <c:pt idx="92">
                  <c:v>4.8565452596705266E-12</c:v>
                </c:pt>
                <c:pt idx="93">
                  <c:v>4.8565452596705266E-12</c:v>
                </c:pt>
                <c:pt idx="94">
                  <c:v>4.8565452596705266E-12</c:v>
                </c:pt>
                <c:pt idx="95">
                  <c:v>4.8565452596705266E-12</c:v>
                </c:pt>
                <c:pt idx="96">
                  <c:v>4.8565452596705266E-12</c:v>
                </c:pt>
                <c:pt idx="97">
                  <c:v>4.8565452596705266E-12</c:v>
                </c:pt>
                <c:pt idx="98">
                  <c:v>4.8565452596705266E-12</c:v>
                </c:pt>
                <c:pt idx="99">
                  <c:v>4.8565452596705266E-12</c:v>
                </c:pt>
                <c:pt idx="100">
                  <c:v>4.8565452596705266E-12</c:v>
                </c:pt>
                <c:pt idx="101">
                  <c:v>4.8565452596705266E-12</c:v>
                </c:pt>
                <c:pt idx="102">
                  <c:v>4.8565452596705266E-12</c:v>
                </c:pt>
                <c:pt idx="103">
                  <c:v>4.8565452596705266E-12</c:v>
                </c:pt>
                <c:pt idx="104">
                  <c:v>4.8565452596705266E-12</c:v>
                </c:pt>
                <c:pt idx="105">
                  <c:v>4.8565452596705266E-12</c:v>
                </c:pt>
                <c:pt idx="106">
                  <c:v>4.8565452596705266E-12</c:v>
                </c:pt>
                <c:pt idx="107">
                  <c:v>4.8565452596705266E-12</c:v>
                </c:pt>
                <c:pt idx="108">
                  <c:v>4.8565452596705266E-12</c:v>
                </c:pt>
                <c:pt idx="109">
                  <c:v>4.8565452596705266E-12</c:v>
                </c:pt>
                <c:pt idx="110">
                  <c:v>4.8565452596705266E-12</c:v>
                </c:pt>
                <c:pt idx="111">
                  <c:v>4.8565452596705266E-12</c:v>
                </c:pt>
                <c:pt idx="112">
                  <c:v>4.8565452596705266E-12</c:v>
                </c:pt>
                <c:pt idx="113">
                  <c:v>4.8565452596705266E-12</c:v>
                </c:pt>
                <c:pt idx="114">
                  <c:v>4.8565452596705266E-12</c:v>
                </c:pt>
                <c:pt idx="115">
                  <c:v>4.8565452596705266E-12</c:v>
                </c:pt>
                <c:pt idx="116">
                  <c:v>4.8565452596705266E-12</c:v>
                </c:pt>
                <c:pt idx="117">
                  <c:v>4.8565452596705266E-12</c:v>
                </c:pt>
                <c:pt idx="118">
                  <c:v>4.8565452596705266E-12</c:v>
                </c:pt>
                <c:pt idx="119">
                  <c:v>4.8565452596705266E-12</c:v>
                </c:pt>
                <c:pt idx="120">
                  <c:v>4.8565452596705266E-12</c:v>
                </c:pt>
                <c:pt idx="121">
                  <c:v>4.8565452596705266E-12</c:v>
                </c:pt>
                <c:pt idx="122">
                  <c:v>4.8565452596705266E-12</c:v>
                </c:pt>
                <c:pt idx="123">
                  <c:v>4.8565452596705266E-12</c:v>
                </c:pt>
                <c:pt idx="124">
                  <c:v>4.8565452596705266E-12</c:v>
                </c:pt>
                <c:pt idx="125">
                  <c:v>4.8565452596705266E-12</c:v>
                </c:pt>
                <c:pt idx="126">
                  <c:v>4.8565452596705266E-12</c:v>
                </c:pt>
                <c:pt idx="127">
                  <c:v>4.8565452596705266E-12</c:v>
                </c:pt>
                <c:pt idx="128">
                  <c:v>4.8565452596705266E-12</c:v>
                </c:pt>
                <c:pt idx="129">
                  <c:v>4.8565452596705266E-12</c:v>
                </c:pt>
                <c:pt idx="130">
                  <c:v>4.8565452596705266E-12</c:v>
                </c:pt>
                <c:pt idx="131">
                  <c:v>4.8565452596705266E-12</c:v>
                </c:pt>
                <c:pt idx="132">
                  <c:v>4.8565452596705266E-12</c:v>
                </c:pt>
                <c:pt idx="133">
                  <c:v>4.8565452596705266E-12</c:v>
                </c:pt>
                <c:pt idx="134">
                  <c:v>4.8565452596705266E-12</c:v>
                </c:pt>
                <c:pt idx="135">
                  <c:v>4.8565452596705266E-12</c:v>
                </c:pt>
                <c:pt idx="136">
                  <c:v>4.8565452596705266E-12</c:v>
                </c:pt>
                <c:pt idx="137">
                  <c:v>4.8565452596705266E-12</c:v>
                </c:pt>
                <c:pt idx="138">
                  <c:v>4.8565452596705266E-12</c:v>
                </c:pt>
                <c:pt idx="139">
                  <c:v>4.8565452596705266E-12</c:v>
                </c:pt>
                <c:pt idx="140">
                  <c:v>4.8565452596705266E-12</c:v>
                </c:pt>
                <c:pt idx="141">
                  <c:v>4.8565452596705266E-12</c:v>
                </c:pt>
                <c:pt idx="142">
                  <c:v>4.8565452596705266E-12</c:v>
                </c:pt>
                <c:pt idx="143">
                  <c:v>4.8565452596705266E-12</c:v>
                </c:pt>
                <c:pt idx="144">
                  <c:v>4.8565452596705266E-12</c:v>
                </c:pt>
                <c:pt idx="145">
                  <c:v>4.8565452596705266E-12</c:v>
                </c:pt>
                <c:pt idx="146">
                  <c:v>4.8565452596705266E-12</c:v>
                </c:pt>
                <c:pt idx="147">
                  <c:v>4.8565452596705266E-12</c:v>
                </c:pt>
                <c:pt idx="148">
                  <c:v>4.8565452596705266E-12</c:v>
                </c:pt>
                <c:pt idx="149">
                  <c:v>4.8565452596705266E-12</c:v>
                </c:pt>
                <c:pt idx="150">
                  <c:v>4.8565452596705266E-12</c:v>
                </c:pt>
                <c:pt idx="151">
                  <c:v>4.8565452596705266E-12</c:v>
                </c:pt>
                <c:pt idx="152">
                  <c:v>4.8565452596705266E-12</c:v>
                </c:pt>
                <c:pt idx="153">
                  <c:v>4.8565452596705266E-12</c:v>
                </c:pt>
                <c:pt idx="154">
                  <c:v>4.8565452596705266E-12</c:v>
                </c:pt>
                <c:pt idx="155">
                  <c:v>4.8565452596705266E-12</c:v>
                </c:pt>
                <c:pt idx="156">
                  <c:v>4.8565452596705266E-12</c:v>
                </c:pt>
                <c:pt idx="157">
                  <c:v>4.8565452596705266E-12</c:v>
                </c:pt>
                <c:pt idx="158">
                  <c:v>4.8565452596705266E-12</c:v>
                </c:pt>
                <c:pt idx="159">
                  <c:v>4.8565452596705266E-12</c:v>
                </c:pt>
                <c:pt idx="160">
                  <c:v>4.8565452596705266E-12</c:v>
                </c:pt>
                <c:pt idx="161">
                  <c:v>4.8565452596705266E-12</c:v>
                </c:pt>
                <c:pt idx="162">
                  <c:v>4.8565452596705266E-12</c:v>
                </c:pt>
                <c:pt idx="163">
                  <c:v>4.8565452596705266E-12</c:v>
                </c:pt>
                <c:pt idx="164">
                  <c:v>4.8565452596705266E-12</c:v>
                </c:pt>
                <c:pt idx="165">
                  <c:v>4.8565452596705266E-12</c:v>
                </c:pt>
                <c:pt idx="166">
                  <c:v>4.8565452596705266E-12</c:v>
                </c:pt>
                <c:pt idx="167">
                  <c:v>4.8565452596705266E-12</c:v>
                </c:pt>
                <c:pt idx="168">
                  <c:v>4.8565452596705266E-12</c:v>
                </c:pt>
                <c:pt idx="169">
                  <c:v>4.8565452596705266E-12</c:v>
                </c:pt>
                <c:pt idx="170">
                  <c:v>4.8565452596705266E-12</c:v>
                </c:pt>
                <c:pt idx="171">
                  <c:v>4.8565452596705266E-12</c:v>
                </c:pt>
                <c:pt idx="172">
                  <c:v>4.8565452596705266E-12</c:v>
                </c:pt>
                <c:pt idx="173">
                  <c:v>4.8565452596705266E-12</c:v>
                </c:pt>
                <c:pt idx="174">
                  <c:v>4.8565452596705266E-12</c:v>
                </c:pt>
                <c:pt idx="175">
                  <c:v>4.8565452596705266E-12</c:v>
                </c:pt>
                <c:pt idx="176">
                  <c:v>4.8565452596705266E-12</c:v>
                </c:pt>
                <c:pt idx="177">
                  <c:v>4.8565452596705266E-12</c:v>
                </c:pt>
                <c:pt idx="178">
                  <c:v>4.8565452596705266E-12</c:v>
                </c:pt>
                <c:pt idx="179">
                  <c:v>4.8565452596705266E-12</c:v>
                </c:pt>
                <c:pt idx="180">
                  <c:v>4.8565452596705266E-12</c:v>
                </c:pt>
                <c:pt idx="181">
                  <c:v>4.8565452596705266E-12</c:v>
                </c:pt>
                <c:pt idx="182">
                  <c:v>4.8565452596705266E-12</c:v>
                </c:pt>
                <c:pt idx="183">
                  <c:v>4.8565452596705266E-12</c:v>
                </c:pt>
                <c:pt idx="184">
                  <c:v>4.8565452596705266E-12</c:v>
                </c:pt>
                <c:pt idx="185">
                  <c:v>4.8565452596705266E-12</c:v>
                </c:pt>
                <c:pt idx="186">
                  <c:v>4.8565452596705266E-12</c:v>
                </c:pt>
                <c:pt idx="187">
                  <c:v>4.8565452596705266E-12</c:v>
                </c:pt>
                <c:pt idx="188">
                  <c:v>4.8565452596705266E-12</c:v>
                </c:pt>
                <c:pt idx="189">
                  <c:v>4.8565452596705266E-12</c:v>
                </c:pt>
                <c:pt idx="190">
                  <c:v>4.8565452596705266E-12</c:v>
                </c:pt>
                <c:pt idx="191">
                  <c:v>4.8565452596705266E-12</c:v>
                </c:pt>
                <c:pt idx="192">
                  <c:v>4.8565452596705266E-12</c:v>
                </c:pt>
                <c:pt idx="193">
                  <c:v>4.8565452596705266E-12</c:v>
                </c:pt>
                <c:pt idx="194">
                  <c:v>4.8565452596705266E-12</c:v>
                </c:pt>
                <c:pt idx="195">
                  <c:v>4.8565452596705266E-12</c:v>
                </c:pt>
                <c:pt idx="196">
                  <c:v>4.8565452596705266E-12</c:v>
                </c:pt>
                <c:pt idx="197">
                  <c:v>4.8565452596705266E-12</c:v>
                </c:pt>
                <c:pt idx="198">
                  <c:v>4.8565452596705266E-12</c:v>
                </c:pt>
                <c:pt idx="199">
                  <c:v>4.8565452596705266E-12</c:v>
                </c:pt>
                <c:pt idx="200">
                  <c:v>4.8565452596705266E-12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E17" sqref="E17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14.23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14</v>
      </c>
      <c r="C9" s="32">
        <v>0.12</v>
      </c>
      <c r="D9" s="33">
        <f t="shared" ref="D9:D18" si="0">C9*$C$5</f>
        <v>1.7076</v>
      </c>
      <c r="E9" s="34">
        <v>161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14</v>
      </c>
      <c r="C10" s="32">
        <v>0.05</v>
      </c>
      <c r="D10" s="33">
        <f t="shared" si="0"/>
        <v>0.71150000000000002</v>
      </c>
      <c r="E10" s="34">
        <v>191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18</v>
      </c>
      <c r="C11" s="32">
        <v>0.28000000000000003</v>
      </c>
      <c r="D11" s="33">
        <f t="shared" si="0"/>
        <v>3.9844000000000004</v>
      </c>
      <c r="E11" s="34">
        <v>70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18</v>
      </c>
      <c r="C12" s="32">
        <v>0.2</v>
      </c>
      <c r="D12" s="33">
        <f t="shared" si="0"/>
        <v>2.8460000000000001</v>
      </c>
      <c r="E12" s="34">
        <v>120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35</v>
      </c>
      <c r="C13" s="32">
        <v>7.0000000000000007E-2</v>
      </c>
      <c r="D13" s="33">
        <f t="shared" si="0"/>
        <v>0.9961000000000001</v>
      </c>
      <c r="E13" s="34">
        <v>90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 t="s">
        <v>35</v>
      </c>
      <c r="C14" s="32">
        <v>0.13</v>
      </c>
      <c r="D14" s="33">
        <f t="shared" si="0"/>
        <v>1.8499000000000001</v>
      </c>
      <c r="E14" s="34">
        <v>90</v>
      </c>
      <c r="F14" s="35" t="str">
        <f t="array" ref="F14">IF(E14="","",IF(INDEX(A:A,MAX(IF(ISNUMBER($A$166:$A$185),ROW($A$166:$A$185),"")))&lt;&gt;E14,"Corrigez : révolution incorrecte","OK"))</f>
        <v>OK</v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 t="s">
        <v>81</v>
      </c>
      <c r="C15" s="32">
        <v>0.12</v>
      </c>
      <c r="D15" s="33">
        <f t="shared" si="0"/>
        <v>1.7076</v>
      </c>
      <c r="E15" s="34">
        <v>80</v>
      </c>
      <c r="F15" s="35" t="str">
        <f t="array" ref="F15">IF(E15="","",IF(INDEX(A:A,MAX(IF(ISNUMBER($A$192:$A$211),ROW($A$192:$A$211),"")))&lt;&gt;E15,"Corrigez : révolution incorrecte","OK"))</f>
        <v>OK</v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 t="s">
        <v>81</v>
      </c>
      <c r="C16" s="32">
        <v>0.03</v>
      </c>
      <c r="D16" s="33">
        <f t="shared" si="0"/>
        <v>0.4269</v>
      </c>
      <c r="E16" s="34">
        <v>80</v>
      </c>
      <c r="F16" s="35" t="str">
        <f t="array" ref="F16">IF(E16="","",IF(INDEX(A:A,MAX(IF(ISNUMBER($A$218:$A$237),ROW($A$218:$A$237),"")))&lt;&gt;E16,"Corrigez : révolution incorrecte","OK"))</f>
        <v>OK</v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14.23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Chêne sessile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30</v>
      </c>
      <c r="B36" s="60">
        <f>136.82/1.56</f>
        <v>87.705128205128204</v>
      </c>
      <c r="C36" s="60"/>
      <c r="D36" s="60"/>
      <c r="E36" s="51"/>
      <c r="F36" s="51"/>
      <c r="G36" s="51"/>
      <c r="H36" s="51"/>
      <c r="I36" s="49">
        <f>IFERROR(B36/A36,"")</f>
        <v>2.9235042735042733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44</v>
      </c>
      <c r="B37" s="60">
        <f>253.38/1.56</f>
        <v>162.42307692307691</v>
      </c>
      <c r="C37" s="60">
        <v>1</v>
      </c>
      <c r="D37" s="60">
        <f>100.49/1.56</f>
        <v>64.416666666666657</v>
      </c>
      <c r="E37" s="51"/>
      <c r="F37" s="51"/>
      <c r="G37" s="51"/>
      <c r="H37" s="51"/>
      <c r="I37" s="53">
        <f t="shared" ref="I37:I55" si="1">IF(A37&lt;&gt;0,(B37-(B36-D36))/(A37-A36),"")</f>
        <v>5.3369963369963358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51</v>
      </c>
      <c r="B38" s="60">
        <f>227.43/1.56</f>
        <v>145.78846153846155</v>
      </c>
      <c r="C38" s="60">
        <v>2</v>
      </c>
      <c r="D38" s="60">
        <f>58.79/1.56</f>
        <v>37.685897435897431</v>
      </c>
      <c r="E38" s="51"/>
      <c r="F38" s="51"/>
      <c r="G38" s="51"/>
      <c r="H38" s="51"/>
      <c r="I38" s="53">
        <f t="shared" si="1"/>
        <v>6.8260073260073284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59</v>
      </c>
      <c r="B39" s="60">
        <f>248.44/1.56</f>
        <v>159.25641025641025</v>
      </c>
      <c r="C39" s="60">
        <v>3</v>
      </c>
      <c r="D39" s="60">
        <f>60.75/1.56</f>
        <v>38.942307692307693</v>
      </c>
      <c r="E39" s="51"/>
      <c r="F39" s="51"/>
      <c r="G39" s="51"/>
      <c r="H39" s="51"/>
      <c r="I39" s="49">
        <f t="shared" si="1"/>
        <v>6.3942307692307665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67</v>
      </c>
      <c r="B40" s="60">
        <f>261.86/1.56</f>
        <v>167.85897435897436</v>
      </c>
      <c r="C40" s="60">
        <v>4</v>
      </c>
      <c r="D40" s="60">
        <f>49.91/1.56</f>
        <v>31.993589743589741</v>
      </c>
      <c r="E40" s="51"/>
      <c r="F40" s="51"/>
      <c r="G40" s="51"/>
      <c r="H40" s="51"/>
      <c r="I40" s="49">
        <f t="shared" si="1"/>
        <v>5.9431089743589762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75</v>
      </c>
      <c r="B41" s="60">
        <f>282.96/1.56</f>
        <v>181.38461538461536</v>
      </c>
      <c r="C41" s="60">
        <v>5</v>
      </c>
      <c r="D41" s="60">
        <f>48.23/1.56</f>
        <v>30.916666666666664</v>
      </c>
      <c r="E41" s="51"/>
      <c r="F41" s="51"/>
      <c r="G41" s="51"/>
      <c r="H41" s="51"/>
      <c r="I41" s="53">
        <f t="shared" si="1"/>
        <v>5.6899038461538431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84</v>
      </c>
      <c r="B42" s="60">
        <f>312.01/1.56</f>
        <v>200.00641025641025</v>
      </c>
      <c r="C42" s="60">
        <v>6</v>
      </c>
      <c r="D42" s="60">
        <f>54.73/1.56</f>
        <v>35.083333333333329</v>
      </c>
      <c r="E42" s="51"/>
      <c r="F42" s="51"/>
      <c r="G42" s="51"/>
      <c r="H42" s="51"/>
      <c r="I42" s="53">
        <f t="shared" si="1"/>
        <v>5.5042735042735051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93</v>
      </c>
      <c r="B43" s="60">
        <f>331.14/1.56</f>
        <v>212.26923076923075</v>
      </c>
      <c r="C43" s="60">
        <v>7</v>
      </c>
      <c r="D43" s="60">
        <f>46.93/1.56</f>
        <v>30.083333333333332</v>
      </c>
      <c r="E43" s="51"/>
      <c r="F43" s="51"/>
      <c r="G43" s="51"/>
      <c r="H43" s="51"/>
      <c r="I43" s="49">
        <f t="shared" si="1"/>
        <v>5.2606837606837598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103</v>
      </c>
      <c r="B44" s="60">
        <f>366.24/1.56</f>
        <v>234.76923076923077</v>
      </c>
      <c r="C44" s="60">
        <v>8</v>
      </c>
      <c r="D44" s="60">
        <f>61.64/1.56</f>
        <v>39.512820512820511</v>
      </c>
      <c r="E44" s="51"/>
      <c r="F44" s="51"/>
      <c r="G44" s="51"/>
      <c r="H44" s="51"/>
      <c r="I44" s="49">
        <f t="shared" si="1"/>
        <v>5.2583333333333373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>
        <v>113</v>
      </c>
      <c r="B45" s="60">
        <f>384.1/1.56</f>
        <v>246.21794871794873</v>
      </c>
      <c r="C45" s="60">
        <v>9</v>
      </c>
      <c r="D45" s="60">
        <f>49.3/1.56</f>
        <v>31.602564102564099</v>
      </c>
      <c r="E45" s="51"/>
      <c r="F45" s="51"/>
      <c r="G45" s="51"/>
      <c r="H45" s="51"/>
      <c r="I45" s="49">
        <f t="shared" si="1"/>
        <v>5.0961538461538449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>
        <v>125</v>
      </c>
      <c r="B46" s="60">
        <f>434.14/1.56</f>
        <v>278.29487179487177</v>
      </c>
      <c r="C46" s="60">
        <v>10</v>
      </c>
      <c r="D46" s="60">
        <f>75.13/1.56</f>
        <v>48.160256410256409</v>
      </c>
      <c r="E46" s="51"/>
      <c r="F46" s="51"/>
      <c r="G46" s="51"/>
      <c r="H46" s="51"/>
      <c r="I46" s="49">
        <f t="shared" si="1"/>
        <v>5.3066239316239274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>
        <v>137</v>
      </c>
      <c r="B47" s="60">
        <f>457.19/1.56</f>
        <v>293.07051282051282</v>
      </c>
      <c r="C47" s="60">
        <v>11</v>
      </c>
      <c r="D47" s="60">
        <f>79.81/1.56</f>
        <v>51.160256410256409</v>
      </c>
      <c r="E47" s="51"/>
      <c r="F47" s="51"/>
      <c r="G47" s="51"/>
      <c r="H47" s="51"/>
      <c r="I47" s="49">
        <f t="shared" si="1"/>
        <v>5.2446581196581219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>
        <v>149</v>
      </c>
      <c r="B48" s="60">
        <f>472.97/1.56</f>
        <v>303.18589743589746</v>
      </c>
      <c r="C48" s="60">
        <v>12</v>
      </c>
      <c r="D48" s="60">
        <f>187.99/1.56</f>
        <v>120.50641025641026</v>
      </c>
      <c r="E48" s="51"/>
      <c r="F48" s="51"/>
      <c r="G48" s="51"/>
      <c r="H48" s="51"/>
      <c r="I48" s="49">
        <f t="shared" si="1"/>
        <v>5.1063034188034209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>
        <v>153</v>
      </c>
      <c r="B49" s="60">
        <f>304.29/1.56</f>
        <v>195.05769230769232</v>
      </c>
      <c r="C49" s="60">
        <v>13</v>
      </c>
      <c r="D49" s="60">
        <f>109.38/1.56</f>
        <v>70.115384615384613</v>
      </c>
      <c r="E49" s="51"/>
      <c r="F49" s="51"/>
      <c r="G49" s="51"/>
      <c r="H49" s="51"/>
      <c r="I49" s="49">
        <f t="shared" si="1"/>
        <v>3.0945512820512846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>
        <v>157</v>
      </c>
      <c r="B50" s="50">
        <f>206.59/1.56</f>
        <v>132.42948717948718</v>
      </c>
      <c r="C50" s="50">
        <v>14</v>
      </c>
      <c r="D50" s="50">
        <f>71.31/1.56</f>
        <v>45.71153846153846</v>
      </c>
      <c r="E50" s="51"/>
      <c r="F50" s="51"/>
      <c r="G50" s="51"/>
      <c r="H50" s="51"/>
      <c r="I50" s="49">
        <f t="shared" si="1"/>
        <v>1.8717948717948687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>
        <v>161</v>
      </c>
      <c r="B51" s="50">
        <f>142.53/1.56</f>
        <v>91.365384615384613</v>
      </c>
      <c r="C51" s="50">
        <v>15</v>
      </c>
      <c r="D51" s="50">
        <f>142.53/1.56</f>
        <v>91.365384615384613</v>
      </c>
      <c r="E51" s="51"/>
      <c r="F51" s="51"/>
      <c r="G51" s="51"/>
      <c r="H51" s="51"/>
      <c r="I51" s="49">
        <f t="shared" si="1"/>
        <v>1.1618589743589709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Chêne sessile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30</v>
      </c>
      <c r="B62" s="60">
        <f>88.52/1.56</f>
        <v>56.743589743589737</v>
      </c>
      <c r="C62" s="60"/>
      <c r="D62" s="60"/>
      <c r="E62" s="51"/>
      <c r="F62" s="51"/>
      <c r="G62" s="51"/>
      <c r="H62" s="51"/>
      <c r="I62" s="53">
        <f>IFERROR(B62/A62,"")</f>
        <v>1.8914529914529912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60</v>
      </c>
      <c r="B63" s="60">
        <f>253.22/1.56</f>
        <v>162.32051282051282</v>
      </c>
      <c r="C63" s="60">
        <v>1</v>
      </c>
      <c r="D63" s="60">
        <f>93.75/1.56</f>
        <v>60.096153846153847</v>
      </c>
      <c r="E63" s="51"/>
      <c r="F63" s="51"/>
      <c r="G63" s="51"/>
      <c r="H63" s="51"/>
      <c r="I63" s="49">
        <f>IF(A63&lt;&gt;0,(B63-(B62-D62))/(A63-A62),"")</f>
        <v>3.5192307692307692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69</v>
      </c>
      <c r="B64" s="60">
        <f>227.95/1.56</f>
        <v>146.12179487179486</v>
      </c>
      <c r="C64" s="60">
        <v>2</v>
      </c>
      <c r="D64" s="60">
        <f>51.18/1.56</f>
        <v>32.807692307692307</v>
      </c>
      <c r="E64" s="51"/>
      <c r="F64" s="51"/>
      <c r="G64" s="51"/>
      <c r="H64" s="51"/>
      <c r="I64" s="49">
        <f>IF(A64&lt;&gt;0,(B64-(B63-D63))/(A64-A63),"")</f>
        <v>4.8774928774928759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77</v>
      </c>
      <c r="B65" s="60">
        <f>235.85/1.56</f>
        <v>151.18589743589743</v>
      </c>
      <c r="C65" s="60">
        <v>3</v>
      </c>
      <c r="D65" s="60">
        <f>39.84/1.56</f>
        <v>25.53846153846154</v>
      </c>
      <c r="E65" s="51"/>
      <c r="F65" s="51"/>
      <c r="G65" s="51"/>
      <c r="H65" s="51"/>
      <c r="I65" s="49">
        <f>IF(A65&lt;&gt;0,(B65-(B64-D64))/(A65-A64),"")</f>
        <v>4.7339743589743595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86</v>
      </c>
      <c r="B66" s="60">
        <f>262.05/1.56</f>
        <v>167.98076923076923</v>
      </c>
      <c r="C66" s="60">
        <v>4</v>
      </c>
      <c r="D66" s="60">
        <f>43.03/1.56</f>
        <v>27.583333333333332</v>
      </c>
      <c r="E66" s="51"/>
      <c r="F66" s="51"/>
      <c r="G66" s="51"/>
      <c r="H66" s="51"/>
      <c r="I66" s="49">
        <f t="shared" ref="I66:I81" si="2">IF(A66&lt;&gt;0,(B66-(B65-D65))/(A66-A65),"")</f>
        <v>4.7037037037037051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95</v>
      </c>
      <c r="B67" s="60">
        <f>284.85/1.56</f>
        <v>182.59615384615387</v>
      </c>
      <c r="C67" s="60">
        <v>5</v>
      </c>
      <c r="D67" s="60">
        <f>47.79/1.56</f>
        <v>30.634615384615383</v>
      </c>
      <c r="E67" s="51"/>
      <c r="F67" s="51"/>
      <c r="G67" s="51"/>
      <c r="H67" s="51"/>
      <c r="I67" s="49">
        <f t="shared" si="2"/>
        <v>4.6887464387464428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104</v>
      </c>
      <c r="B68" s="60">
        <f>302.76/1.56</f>
        <v>194.07692307692307</v>
      </c>
      <c r="C68" s="60">
        <v>6</v>
      </c>
      <c r="D68" s="60">
        <f>44.11/1.56</f>
        <v>28.275641025641026</v>
      </c>
      <c r="E68" s="51"/>
      <c r="F68" s="51"/>
      <c r="G68" s="51"/>
      <c r="H68" s="51"/>
      <c r="I68" s="49">
        <f t="shared" si="2"/>
        <v>4.6794871794871762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113</v>
      </c>
      <c r="B69" s="50">
        <f>325.07/1.56</f>
        <v>208.37820512820511</v>
      </c>
      <c r="C69" s="50">
        <v>7</v>
      </c>
      <c r="D69" s="50">
        <f>46.18/1.56</f>
        <v>29.602564102564102</v>
      </c>
      <c r="E69" s="51"/>
      <c r="F69" s="51"/>
      <c r="G69" s="51"/>
      <c r="H69" s="51"/>
      <c r="I69" s="49">
        <f t="shared" si="2"/>
        <v>4.7307692307692299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122</v>
      </c>
      <c r="B70" s="50">
        <f>346.21/1.56</f>
        <v>221.92948717948715</v>
      </c>
      <c r="C70" s="50">
        <v>8</v>
      </c>
      <c r="D70" s="50">
        <f>50.44/1.56</f>
        <v>32.333333333333329</v>
      </c>
      <c r="E70" s="51"/>
      <c r="F70" s="51"/>
      <c r="G70" s="51"/>
      <c r="H70" s="51"/>
      <c r="I70" s="49">
        <f t="shared" si="2"/>
        <v>4.7948717948717956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>
        <v>132</v>
      </c>
      <c r="B71" s="50">
        <f>371.49/1.56</f>
        <v>238.13461538461539</v>
      </c>
      <c r="C71" s="50">
        <v>9</v>
      </c>
      <c r="D71" s="50">
        <f>53.24/1.56</f>
        <v>34.128205128205131</v>
      </c>
      <c r="E71" s="51"/>
      <c r="F71" s="51"/>
      <c r="G71" s="51"/>
      <c r="H71" s="51"/>
      <c r="I71" s="49">
        <f t="shared" si="2"/>
        <v>4.8538461538461579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>
        <v>144</v>
      </c>
      <c r="B72" s="50">
        <f>411.61/1.56</f>
        <v>263.85256410256409</v>
      </c>
      <c r="C72" s="50">
        <v>10</v>
      </c>
      <c r="D72" s="50">
        <f>66.14/1.56</f>
        <v>42.397435897435898</v>
      </c>
      <c r="E72" s="51"/>
      <c r="F72" s="51"/>
      <c r="G72" s="51"/>
      <c r="H72" s="51"/>
      <c r="I72" s="49">
        <f t="shared" si="2"/>
        <v>4.9871794871794863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>
        <v>156</v>
      </c>
      <c r="B73" s="50">
        <f>440.8/1.56</f>
        <v>282.56410256410254</v>
      </c>
      <c r="C73" s="50">
        <v>11</v>
      </c>
      <c r="D73" s="50">
        <f>70.87/1.56</f>
        <v>45.429487179487182</v>
      </c>
      <c r="E73" s="51"/>
      <c r="F73" s="51"/>
      <c r="G73" s="51"/>
      <c r="H73" s="51"/>
      <c r="I73" s="49">
        <f t="shared" si="2"/>
        <v>5.0924145299145307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>
        <v>168</v>
      </c>
      <c r="B74" s="50">
        <f>466.94/1.56</f>
        <v>299.32051282051282</v>
      </c>
      <c r="C74" s="50">
        <v>12</v>
      </c>
      <c r="D74" s="50">
        <f>76.6/1.56</f>
        <v>49.102564102564095</v>
      </c>
      <c r="E74" s="51"/>
      <c r="F74" s="51"/>
      <c r="G74" s="51"/>
      <c r="H74" s="51"/>
      <c r="I74" s="49">
        <f t="shared" si="2"/>
        <v>5.1821581196581219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>
        <v>180</v>
      </c>
      <c r="B75" s="50">
        <f>487.22/1.56</f>
        <v>312.32051282051282</v>
      </c>
      <c r="C75" s="50">
        <v>13</v>
      </c>
      <c r="D75" s="50">
        <f>187.44/1.56</f>
        <v>120.15384615384615</v>
      </c>
      <c r="E75" s="51"/>
      <c r="F75" s="51"/>
      <c r="G75" s="51"/>
      <c r="H75" s="51"/>
      <c r="I75" s="49">
        <f t="shared" si="2"/>
        <v>5.1752136752136737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>
        <v>184</v>
      </c>
      <c r="B76" s="50">
        <f>319.96/1.56</f>
        <v>205.10256410256409</v>
      </c>
      <c r="C76" s="50">
        <v>14</v>
      </c>
      <c r="D76" s="50">
        <f>107.89/1.56</f>
        <v>69.160256410256409</v>
      </c>
      <c r="E76" s="51"/>
      <c r="F76" s="51"/>
      <c r="G76" s="51"/>
      <c r="H76" s="51"/>
      <c r="I76" s="49">
        <f t="shared" si="2"/>
        <v>3.2339743589743506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>
        <v>188</v>
      </c>
      <c r="B77" s="50">
        <f>225.05/1.56</f>
        <v>144.26282051282053</v>
      </c>
      <c r="C77" s="50">
        <v>15</v>
      </c>
      <c r="D77" s="50">
        <f>76.92/1.56</f>
        <v>49.307692307692307</v>
      </c>
      <c r="E77" s="51"/>
      <c r="F77" s="51"/>
      <c r="G77" s="51"/>
      <c r="H77" s="51"/>
      <c r="I77" s="49">
        <f t="shared" si="2"/>
        <v>2.0801282051282115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>
        <v>191</v>
      </c>
      <c r="B78" s="50">
        <f>154.38/1.56</f>
        <v>98.961538461538453</v>
      </c>
      <c r="C78" s="50">
        <v>16</v>
      </c>
      <c r="D78" s="50">
        <f>154.38/1.56</f>
        <v>98.961538461538453</v>
      </c>
      <c r="E78" s="51"/>
      <c r="F78" s="51"/>
      <c r="G78" s="51"/>
      <c r="H78" s="51"/>
      <c r="I78" s="49">
        <f t="shared" si="2"/>
        <v>1.3354700854700781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Douglas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19</v>
      </c>
      <c r="B88" s="60">
        <f>192.63/1.3</f>
        <v>148.17692307692306</v>
      </c>
      <c r="C88" s="60"/>
      <c r="D88" s="60"/>
      <c r="E88" s="51"/>
      <c r="F88" s="51"/>
      <c r="G88" s="51"/>
      <c r="H88" s="87"/>
      <c r="I88" s="53">
        <f>IFERROR(B88/A88,"")</f>
        <v>7.7987854251012134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21</v>
      </c>
      <c r="B89" s="60">
        <f>234.08/1.3</f>
        <v>180.06153846153848</v>
      </c>
      <c r="C89" s="60">
        <v>1</v>
      </c>
      <c r="D89" s="60">
        <f>79.52/1.3</f>
        <v>61.169230769230765</v>
      </c>
      <c r="E89" s="51"/>
      <c r="F89" s="51">
        <v>0.5</v>
      </c>
      <c r="G89" s="51">
        <v>0.5</v>
      </c>
      <c r="H89" s="87"/>
      <c r="I89" s="53">
        <f t="shared" ref="I89:I107" si="3">IF(A89&lt;&gt;0,(B89-(B88-D88))/(A89-A88),"")</f>
        <v>15.942307692307708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28</v>
      </c>
      <c r="B90" s="60">
        <f>306.42/1.3</f>
        <v>235.7076923076923</v>
      </c>
      <c r="C90" s="60">
        <v>2</v>
      </c>
      <c r="D90" s="60">
        <f>73.99/1.3</f>
        <v>56.91538461538461</v>
      </c>
      <c r="E90" s="87">
        <v>0.1</v>
      </c>
      <c r="F90" s="87">
        <v>0.45</v>
      </c>
      <c r="G90" s="87">
        <v>0.45</v>
      </c>
      <c r="H90" s="87"/>
      <c r="I90" s="53">
        <f t="shared" si="3"/>
        <v>16.687912087912085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35</v>
      </c>
      <c r="B91" s="60">
        <f>397.14/1.3</f>
        <v>305.49230769230769</v>
      </c>
      <c r="C91" s="60">
        <v>3</v>
      </c>
      <c r="D91" s="60">
        <f>91.65/1.3</f>
        <v>70.5</v>
      </c>
      <c r="E91" s="87"/>
      <c r="F91" s="87"/>
      <c r="G91" s="87"/>
      <c r="H91" s="87"/>
      <c r="I91" s="53">
        <f t="shared" si="3"/>
        <v>18.099999999999998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42</v>
      </c>
      <c r="B92" s="60">
        <f>471.38/1.3</f>
        <v>362.59999999999997</v>
      </c>
      <c r="C92" s="60">
        <v>4</v>
      </c>
      <c r="D92" s="60">
        <f>104.87/1.3</f>
        <v>80.669230769230765</v>
      </c>
      <c r="E92" s="87"/>
      <c r="F92" s="87"/>
      <c r="G92" s="87"/>
      <c r="H92" s="87"/>
      <c r="I92" s="53">
        <f t="shared" si="3"/>
        <v>18.229670329670324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49</v>
      </c>
      <c r="B93" s="60">
        <f>525.94/1.3</f>
        <v>404.56923076923078</v>
      </c>
      <c r="C93" s="60">
        <v>5</v>
      </c>
      <c r="D93" s="60">
        <f>117.59/1.3</f>
        <v>90.453846153846158</v>
      </c>
      <c r="E93" s="87"/>
      <c r="F93" s="87"/>
      <c r="G93" s="87"/>
      <c r="H93" s="87"/>
      <c r="I93" s="53">
        <f t="shared" si="3"/>
        <v>17.519780219780223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56</v>
      </c>
      <c r="B94" s="60">
        <f>556.02/1.3</f>
        <v>427.7076923076923</v>
      </c>
      <c r="C94" s="60">
        <v>6</v>
      </c>
      <c r="D94" s="60">
        <f>98.63/1.3</f>
        <v>75.869230769230768</v>
      </c>
      <c r="E94" s="87"/>
      <c r="F94" s="87"/>
      <c r="G94" s="87"/>
      <c r="H94" s="87"/>
      <c r="I94" s="53">
        <f t="shared" si="3"/>
        <v>16.227472527472521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63</v>
      </c>
      <c r="B95" s="60">
        <f>592.43/1.3</f>
        <v>455.71538461538455</v>
      </c>
      <c r="C95" s="60">
        <v>7</v>
      </c>
      <c r="D95" s="60">
        <f>103.64/1.3</f>
        <v>79.723076923076917</v>
      </c>
      <c r="E95" s="87"/>
      <c r="F95" s="87"/>
      <c r="G95" s="87"/>
      <c r="H95" s="87"/>
      <c r="I95" s="53">
        <f t="shared" si="3"/>
        <v>14.839560439560435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>
        <v>70</v>
      </c>
      <c r="B96" s="60">
        <f>609.79/1.3</f>
        <v>469.06923076923073</v>
      </c>
      <c r="C96" s="60">
        <v>8</v>
      </c>
      <c r="D96" s="60">
        <f>609.79/1.3</f>
        <v>469.06923076923073</v>
      </c>
      <c r="E96" s="87"/>
      <c r="F96" s="87"/>
      <c r="G96" s="87"/>
      <c r="H96" s="87"/>
      <c r="I96" s="53">
        <f t="shared" si="3"/>
        <v>13.296703296703299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Douglas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25</v>
      </c>
      <c r="B114" s="60">
        <f>181.56/1.3</f>
        <v>139.66153846153847</v>
      </c>
      <c r="C114" s="50"/>
      <c r="D114" s="60"/>
      <c r="E114" s="51"/>
      <c r="F114" s="51"/>
      <c r="G114" s="51"/>
      <c r="H114" s="51"/>
      <c r="I114" s="53">
        <f>IFERROR(B114/A114,"")</f>
        <v>5.5864615384615384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34</v>
      </c>
      <c r="B115" s="60">
        <f>313.18/1.3</f>
        <v>240.90769230769232</v>
      </c>
      <c r="C115" s="50">
        <v>1</v>
      </c>
      <c r="D115" s="60">
        <f>109.16/1.3</f>
        <v>83.969230769230762</v>
      </c>
      <c r="E115" s="51"/>
      <c r="F115" s="51"/>
      <c r="G115" s="51"/>
      <c r="H115" s="51"/>
      <c r="I115" s="53">
        <f t="shared" ref="I115:I133" si="4">IF(A115&lt;&gt;0,(B115-(B114-D114))/(A115-A114),"")</f>
        <v>11.249572649572649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43</v>
      </c>
      <c r="B116" s="60">
        <f>332.17/1.3</f>
        <v>255.51538461538462</v>
      </c>
      <c r="C116" s="50">
        <v>2</v>
      </c>
      <c r="D116" s="60">
        <f>78.83/1.3</f>
        <v>60.638461538461534</v>
      </c>
      <c r="E116" s="51"/>
      <c r="F116" s="51"/>
      <c r="G116" s="51"/>
      <c r="H116" s="51"/>
      <c r="I116" s="53">
        <f t="shared" si="4"/>
        <v>10.952991452991451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52</v>
      </c>
      <c r="B117" s="60">
        <f>375.29/1.3</f>
        <v>288.68461538461537</v>
      </c>
      <c r="C117" s="50">
        <v>3</v>
      </c>
      <c r="D117" s="60">
        <f>65.46/1.3</f>
        <v>50.353846153846149</v>
      </c>
      <c r="E117" s="51"/>
      <c r="F117" s="51"/>
      <c r="G117" s="51"/>
      <c r="H117" s="51"/>
      <c r="I117" s="53">
        <f t="shared" si="4"/>
        <v>10.423076923076922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62</v>
      </c>
      <c r="B118" s="60">
        <f>434.17/1.3</f>
        <v>333.97692307692307</v>
      </c>
      <c r="C118" s="50">
        <v>4</v>
      </c>
      <c r="D118" s="60">
        <f>69.82/1.3</f>
        <v>53.707692307692298</v>
      </c>
      <c r="E118" s="51"/>
      <c r="F118" s="51"/>
      <c r="G118" s="51"/>
      <c r="H118" s="51"/>
      <c r="I118" s="53">
        <f t="shared" si="4"/>
        <v>9.5646153846153847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72</v>
      </c>
      <c r="B119" s="60">
        <f>473.47/1.3</f>
        <v>364.2076923076923</v>
      </c>
      <c r="C119" s="50">
        <v>5</v>
      </c>
      <c r="D119" s="60">
        <f>67.51/1.3</f>
        <v>51.930769230769236</v>
      </c>
      <c r="E119" s="51"/>
      <c r="F119" s="51"/>
      <c r="G119" s="51"/>
      <c r="H119" s="51"/>
      <c r="I119" s="53">
        <f t="shared" si="4"/>
        <v>8.3938461538461517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84</v>
      </c>
      <c r="B120" s="60">
        <f>516.3/1.3</f>
        <v>397.15384615384613</v>
      </c>
      <c r="C120" s="60">
        <v>6</v>
      </c>
      <c r="D120" s="60">
        <f>73.57/1.3</f>
        <v>56.592307692307685</v>
      </c>
      <c r="E120" s="87"/>
      <c r="F120" s="87"/>
      <c r="G120" s="87"/>
      <c r="H120" s="87"/>
      <c r="I120" s="53">
        <f t="shared" si="4"/>
        <v>7.073076923076921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>
        <v>96</v>
      </c>
      <c r="B121" s="60">
        <f>531.63/1.3</f>
        <v>408.94615384615383</v>
      </c>
      <c r="C121" s="60">
        <v>7</v>
      </c>
      <c r="D121" s="60">
        <f>77.71/1.3</f>
        <v>59.776923076923069</v>
      </c>
      <c r="E121" s="87"/>
      <c r="F121" s="87"/>
      <c r="G121" s="87"/>
      <c r="H121" s="87"/>
      <c r="I121" s="53">
        <f t="shared" si="4"/>
        <v>5.6987179487179462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>
        <v>108</v>
      </c>
      <c r="B122" s="60">
        <f>523.68/1.3</f>
        <v>402.83076923076919</v>
      </c>
      <c r="C122" s="60">
        <v>8</v>
      </c>
      <c r="D122" s="60">
        <f>68.07/1.3</f>
        <v>52.361538461538451</v>
      </c>
      <c r="E122" s="87"/>
      <c r="F122" s="87"/>
      <c r="G122" s="87"/>
      <c r="H122" s="87"/>
      <c r="I122" s="53">
        <f t="shared" si="4"/>
        <v>4.4717948717948701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>
        <v>120</v>
      </c>
      <c r="B123" s="60">
        <f>509.76/1.3</f>
        <v>392.12307692307689</v>
      </c>
      <c r="C123" s="60">
        <v>9</v>
      </c>
      <c r="D123" s="60">
        <f>509.76/1.3</f>
        <v>392.12307692307689</v>
      </c>
      <c r="E123" s="87"/>
      <c r="F123" s="87"/>
      <c r="G123" s="87"/>
      <c r="H123" s="87"/>
      <c r="I123" s="53">
        <f t="shared" si="4"/>
        <v>3.4711538461538445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Pin laricio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>
        <v>20</v>
      </c>
      <c r="B140" s="60">
        <f>67+20</f>
        <v>87</v>
      </c>
      <c r="C140" s="50">
        <v>1</v>
      </c>
      <c r="D140" s="60">
        <v>20</v>
      </c>
      <c r="E140" s="51"/>
      <c r="F140" s="51">
        <v>0.5</v>
      </c>
      <c r="G140" s="51">
        <v>0.5</v>
      </c>
      <c r="H140" s="51"/>
      <c r="I140" s="57">
        <f>IFERROR(B140/A140,"")</f>
        <v>4.3499999999999996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>
        <v>30</v>
      </c>
      <c r="B141" s="60">
        <f>140+60</f>
        <v>200</v>
      </c>
      <c r="C141" s="50">
        <v>2</v>
      </c>
      <c r="D141" s="60">
        <v>60</v>
      </c>
      <c r="E141" s="51">
        <v>0.1</v>
      </c>
      <c r="F141" s="51">
        <v>0.45</v>
      </c>
      <c r="G141" s="51">
        <v>0.45</v>
      </c>
      <c r="H141" s="51"/>
      <c r="I141" s="57">
        <f t="shared" ref="I141:I159" si="5">IF(A141&lt;&gt;0,(B141-(B140-D140))/(A141-A140),"")</f>
        <v>13.3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>
        <v>40</v>
      </c>
      <c r="B142" s="60">
        <f>218+79</f>
        <v>297</v>
      </c>
      <c r="C142" s="50">
        <v>3</v>
      </c>
      <c r="D142" s="60">
        <v>79</v>
      </c>
      <c r="E142" s="51"/>
      <c r="F142" s="51"/>
      <c r="G142" s="51"/>
      <c r="H142" s="51"/>
      <c r="I142" s="57">
        <f t="shared" si="5"/>
        <v>15.7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>
        <v>50</v>
      </c>
      <c r="B143" s="60">
        <f>291+89</f>
        <v>380</v>
      </c>
      <c r="C143" s="50">
        <v>4</v>
      </c>
      <c r="D143" s="60">
        <v>89</v>
      </c>
      <c r="E143" s="51"/>
      <c r="F143" s="51"/>
      <c r="G143" s="51"/>
      <c r="H143" s="51"/>
      <c r="I143" s="57">
        <f t="shared" si="5"/>
        <v>16.2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>
        <v>60</v>
      </c>
      <c r="B144" s="60">
        <f>357+90</f>
        <v>447</v>
      </c>
      <c r="C144" s="50">
        <v>5</v>
      </c>
      <c r="D144" s="60">
        <v>90</v>
      </c>
      <c r="E144" s="51"/>
      <c r="F144" s="51"/>
      <c r="G144" s="51"/>
      <c r="H144" s="51"/>
      <c r="I144" s="57">
        <f t="shared" si="5"/>
        <v>15.6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>
        <v>70</v>
      </c>
      <c r="B145" s="60">
        <f>412+86</f>
        <v>498</v>
      </c>
      <c r="C145" s="50">
        <v>6</v>
      </c>
      <c r="D145" s="60">
        <v>86</v>
      </c>
      <c r="E145" s="51"/>
      <c r="F145" s="51"/>
      <c r="G145" s="51"/>
      <c r="H145" s="51"/>
      <c r="I145" s="57">
        <f t="shared" si="5"/>
        <v>14.1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>
        <v>80</v>
      </c>
      <c r="B146" s="60">
        <f>459+78</f>
        <v>537</v>
      </c>
      <c r="C146" s="50">
        <v>7</v>
      </c>
      <c r="D146" s="60">
        <v>78</v>
      </c>
      <c r="E146" s="51"/>
      <c r="F146" s="51"/>
      <c r="G146" s="51"/>
      <c r="H146" s="51"/>
      <c r="I146" s="57">
        <f t="shared" si="5"/>
        <v>12.5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>
        <v>90</v>
      </c>
      <c r="B147" s="60">
        <f>497+70</f>
        <v>567</v>
      </c>
      <c r="C147" s="50">
        <v>8</v>
      </c>
      <c r="D147" s="60">
        <v>70</v>
      </c>
      <c r="E147" s="51"/>
      <c r="F147" s="51"/>
      <c r="G147" s="51"/>
      <c r="H147" s="51"/>
      <c r="I147" s="57">
        <f>IF(A147&lt;&gt;0,(B147-(B146-D146))/(A147-A146),"")</f>
        <v>10.8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>Pin laricio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>
        <v>20</v>
      </c>
      <c r="B166" s="60">
        <v>69</v>
      </c>
      <c r="C166" s="60"/>
      <c r="D166" s="60"/>
      <c r="E166" s="51"/>
      <c r="F166" s="51"/>
      <c r="G166" s="51"/>
      <c r="H166" s="51"/>
      <c r="I166" s="49">
        <f>IFERROR(B166/A166,"")</f>
        <v>3.45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>
        <v>30</v>
      </c>
      <c r="B167" s="60">
        <f>118+64</f>
        <v>182</v>
      </c>
      <c r="C167" s="60">
        <v>1</v>
      </c>
      <c r="D167" s="60">
        <v>64</v>
      </c>
      <c r="E167" s="51">
        <v>0.1</v>
      </c>
      <c r="F167" s="51">
        <v>0.45</v>
      </c>
      <c r="G167" s="51">
        <v>0.45</v>
      </c>
      <c r="H167" s="51"/>
      <c r="I167" s="49">
        <f t="shared" ref="I167:I185" si="6">IF(A167&lt;&gt;0,(B167-(B166-D166))/(A167-A166),"")</f>
        <v>11.3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>
        <v>40</v>
      </c>
      <c r="B168" s="60">
        <f>186+63</f>
        <v>249</v>
      </c>
      <c r="C168" s="60">
        <v>2</v>
      </c>
      <c r="D168" s="60">
        <v>63</v>
      </c>
      <c r="E168" s="51"/>
      <c r="F168" s="51"/>
      <c r="G168" s="51"/>
      <c r="H168" s="51"/>
      <c r="I168" s="49">
        <f t="shared" si="6"/>
        <v>13.1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>
        <v>50</v>
      </c>
      <c r="B169" s="60">
        <f>250+71</f>
        <v>321</v>
      </c>
      <c r="C169" s="60">
        <v>3</v>
      </c>
      <c r="D169" s="60">
        <v>71</v>
      </c>
      <c r="E169" s="51"/>
      <c r="F169" s="51"/>
      <c r="G169" s="51"/>
      <c r="H169" s="51"/>
      <c r="I169" s="49">
        <f t="shared" si="6"/>
        <v>13.5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>
        <v>60</v>
      </c>
      <c r="B170" s="60">
        <f>308+72</f>
        <v>380</v>
      </c>
      <c r="C170" s="60">
        <v>4</v>
      </c>
      <c r="D170" s="60">
        <v>72</v>
      </c>
      <c r="E170" s="51"/>
      <c r="F170" s="51"/>
      <c r="G170" s="51"/>
      <c r="H170" s="51"/>
      <c r="I170" s="49">
        <f t="shared" si="6"/>
        <v>13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>
        <v>70</v>
      </c>
      <c r="B171" s="60">
        <f>357+69</f>
        <v>426</v>
      </c>
      <c r="C171" s="60">
        <v>5</v>
      </c>
      <c r="D171" s="60">
        <v>69</v>
      </c>
      <c r="E171" s="51"/>
      <c r="F171" s="51"/>
      <c r="G171" s="51"/>
      <c r="H171" s="51"/>
      <c r="I171" s="49">
        <f t="shared" si="6"/>
        <v>11.8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>
        <v>80</v>
      </c>
      <c r="B172" s="60">
        <f>399+63</f>
        <v>462</v>
      </c>
      <c r="C172" s="60">
        <v>6</v>
      </c>
      <c r="D172" s="60">
        <v>63</v>
      </c>
      <c r="E172" s="51"/>
      <c r="F172" s="51"/>
      <c r="G172" s="51"/>
      <c r="H172" s="51"/>
      <c r="I172" s="49">
        <f t="shared" si="6"/>
        <v>10.5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>
        <v>90</v>
      </c>
      <c r="B173" s="50">
        <f>433+56</f>
        <v>489</v>
      </c>
      <c r="C173" s="50">
        <v>7</v>
      </c>
      <c r="D173" s="50">
        <v>56</v>
      </c>
      <c r="E173" s="51"/>
      <c r="F173" s="51"/>
      <c r="G173" s="51"/>
      <c r="H173" s="51"/>
      <c r="I173" s="49">
        <f t="shared" si="6"/>
        <v>9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>Mélèze hybride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>
        <v>10</v>
      </c>
      <c r="B192" s="60">
        <v>23</v>
      </c>
      <c r="C192" s="60"/>
      <c r="D192" s="60"/>
      <c r="E192" s="51"/>
      <c r="F192" s="51"/>
      <c r="G192" s="51"/>
      <c r="H192" s="51"/>
      <c r="I192" s="49">
        <f>IFERROR(B192/A192,"")</f>
        <v>2.2999999999999998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>
        <v>20</v>
      </c>
      <c r="B193" s="60">
        <v>137</v>
      </c>
      <c r="C193" s="60">
        <v>1</v>
      </c>
      <c r="D193" s="60">
        <f>22+35</f>
        <v>57</v>
      </c>
      <c r="E193" s="51"/>
      <c r="F193" s="51">
        <v>0.5</v>
      </c>
      <c r="G193" s="51">
        <v>0.5</v>
      </c>
      <c r="H193" s="51"/>
      <c r="I193" s="49">
        <f t="shared" ref="I193:I211" si="7">IF(A193&lt;&gt;0,(B193-(B192-D192))/(A193-A192),"")</f>
        <v>11.4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>
        <v>30</v>
      </c>
      <c r="B194" s="60">
        <v>220</v>
      </c>
      <c r="C194" s="60">
        <v>2</v>
      </c>
      <c r="D194" s="60">
        <f>35+35</f>
        <v>70</v>
      </c>
      <c r="E194" s="51">
        <v>0.1</v>
      </c>
      <c r="F194" s="51">
        <v>0.45</v>
      </c>
      <c r="G194" s="51">
        <v>0.45</v>
      </c>
      <c r="H194" s="51"/>
      <c r="I194" s="49">
        <f t="shared" si="7"/>
        <v>14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>
        <v>40</v>
      </c>
      <c r="B195" s="60">
        <v>271</v>
      </c>
      <c r="C195" s="60">
        <v>3</v>
      </c>
      <c r="D195" s="60">
        <f>35+33</f>
        <v>68</v>
      </c>
      <c r="E195" s="51"/>
      <c r="F195" s="51"/>
      <c r="G195" s="51"/>
      <c r="H195" s="51"/>
      <c r="I195" s="49">
        <f t="shared" si="7"/>
        <v>12.1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>
        <v>50</v>
      </c>
      <c r="B196" s="60">
        <v>302</v>
      </c>
      <c r="C196" s="60">
        <v>4</v>
      </c>
      <c r="D196" s="60">
        <f>29+26</f>
        <v>55</v>
      </c>
      <c r="E196" s="51"/>
      <c r="F196" s="51"/>
      <c r="G196" s="51"/>
      <c r="H196" s="51"/>
      <c r="I196" s="49">
        <f t="shared" si="7"/>
        <v>9.9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>
        <v>60</v>
      </c>
      <c r="B197" s="60">
        <v>329</v>
      </c>
      <c r="C197" s="60">
        <v>5</v>
      </c>
      <c r="D197" s="60">
        <f>24+22</f>
        <v>46</v>
      </c>
      <c r="E197" s="51"/>
      <c r="F197" s="51"/>
      <c r="G197" s="51"/>
      <c r="H197" s="51"/>
      <c r="I197" s="49">
        <f t="shared" si="7"/>
        <v>8.1999999999999993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>
        <v>70</v>
      </c>
      <c r="B198" s="60">
        <v>354</v>
      </c>
      <c r="C198" s="60">
        <v>6</v>
      </c>
      <c r="D198" s="60">
        <f>21+21</f>
        <v>42</v>
      </c>
      <c r="E198" s="51"/>
      <c r="F198" s="51"/>
      <c r="G198" s="51"/>
      <c r="H198" s="51"/>
      <c r="I198" s="49">
        <f t="shared" si="7"/>
        <v>7.1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>
        <v>80</v>
      </c>
      <c r="B199" s="50">
        <v>373</v>
      </c>
      <c r="C199" s="50">
        <v>7</v>
      </c>
      <c r="D199" s="50">
        <f>B199</f>
        <v>373</v>
      </c>
      <c r="E199" s="51"/>
      <c r="F199" s="51"/>
      <c r="G199" s="51"/>
      <c r="H199" s="51"/>
      <c r="I199" s="49">
        <f t="shared" si="7"/>
        <v>6.1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>Mélèze hybride</v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>
        <v>10</v>
      </c>
      <c r="B218" s="60">
        <v>12</v>
      </c>
      <c r="C218" s="50"/>
      <c r="D218" s="60"/>
      <c r="E218" s="63"/>
      <c r="F218" s="63"/>
      <c r="G218" s="63"/>
      <c r="H218" s="63"/>
      <c r="I218" s="53">
        <f>IFERROR(B218/A218,"")</f>
        <v>1.2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>
        <v>20</v>
      </c>
      <c r="B219" s="60">
        <v>97</v>
      </c>
      <c r="C219" s="50">
        <v>1</v>
      </c>
      <c r="D219" s="60">
        <v>33</v>
      </c>
      <c r="E219" s="63"/>
      <c r="F219" s="63">
        <v>0.5</v>
      </c>
      <c r="G219" s="63">
        <v>0.5</v>
      </c>
      <c r="H219" s="63"/>
      <c r="I219" s="53">
        <f t="shared" ref="I219:I237" si="8">IF(A219&lt;&gt;0,(B219-(B218-D218))/(A219-A218),"")</f>
        <v>8.5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>
        <v>30</v>
      </c>
      <c r="B220" s="60">
        <v>181</v>
      </c>
      <c r="C220" s="50">
        <v>2</v>
      </c>
      <c r="D220" s="60">
        <v>56</v>
      </c>
      <c r="E220" s="63">
        <v>0.1</v>
      </c>
      <c r="F220" s="63">
        <v>0.45</v>
      </c>
      <c r="G220" s="63">
        <v>0.45</v>
      </c>
      <c r="H220" s="63"/>
      <c r="I220" s="53">
        <f t="shared" si="8"/>
        <v>11.7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>
        <v>40</v>
      </c>
      <c r="B221" s="55">
        <v>228</v>
      </c>
      <c r="C221" s="55">
        <v>3</v>
      </c>
      <c r="D221" s="55">
        <v>56</v>
      </c>
      <c r="E221" s="63"/>
      <c r="F221" s="63"/>
      <c r="G221" s="63"/>
      <c r="H221" s="63"/>
      <c r="I221" s="53">
        <f t="shared" si="8"/>
        <v>10.3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>
        <v>50</v>
      </c>
      <c r="B222" s="55">
        <v>254</v>
      </c>
      <c r="C222" s="55">
        <v>4</v>
      </c>
      <c r="D222" s="55">
        <v>45</v>
      </c>
      <c r="E222" s="63"/>
      <c r="F222" s="63"/>
      <c r="G222" s="63"/>
      <c r="H222" s="63"/>
      <c r="I222" s="53">
        <f t="shared" si="8"/>
        <v>8.1999999999999993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>
        <v>60</v>
      </c>
      <c r="B223" s="55">
        <v>278</v>
      </c>
      <c r="C223" s="55">
        <v>5</v>
      </c>
      <c r="D223" s="55">
        <v>36</v>
      </c>
      <c r="E223" s="63"/>
      <c r="F223" s="63"/>
      <c r="G223" s="63"/>
      <c r="H223" s="63"/>
      <c r="I223" s="53">
        <f t="shared" si="8"/>
        <v>6.9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>
        <v>70</v>
      </c>
      <c r="B224" s="55">
        <v>298</v>
      </c>
      <c r="C224" s="55">
        <v>6</v>
      </c>
      <c r="D224" s="55">
        <v>32</v>
      </c>
      <c r="E224" s="63"/>
      <c r="F224" s="63"/>
      <c r="G224" s="63"/>
      <c r="H224" s="63"/>
      <c r="I224" s="53">
        <f t="shared" si="8"/>
        <v>5.6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>
        <v>80</v>
      </c>
      <c r="B225" s="55">
        <v>312</v>
      </c>
      <c r="C225" s="55">
        <v>7</v>
      </c>
      <c r="D225" s="55">
        <v>312</v>
      </c>
      <c r="E225" s="63"/>
      <c r="F225" s="63"/>
      <c r="G225" s="63"/>
      <c r="H225" s="63"/>
      <c r="I225" s="53">
        <f t="shared" si="8"/>
        <v>4.5999999999999996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9" sqref="F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Chêne sessile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sessile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Douglas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Douglas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Pin laricio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Pin laricio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>Mélèze hybride</v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>Mélèze hybride</v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153.45079678708987</v>
      </c>
      <c r="T3" s="59">
        <f>IF('Données projet'!E9&gt;30,$R$33-$H$33,LOOKUP('Données projet'!$E$9,$A$3:$A$203,R3:R203)-LOOKUP('Données projet'!$E$9,$A$3:$A$203,$H$3:$H$203))</f>
        <v>115.4217868409637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123.92486590666675</v>
      </c>
      <c r="AO3" s="59">
        <f>IF('Données projet'!E10&gt;30,$AM$33-$H$33,LOOKUP('Données projet'!$E$10,$A$3:$A$203,AM3:AM203)-LOOKUP('Données projet'!$E$10,$A$3:$A$203,$H$3:$H$203))</f>
        <v>54.404493017418986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224.7049802939942</v>
      </c>
      <c r="BJ3" s="59">
        <f>IF('Données projet'!E11&gt;30,$BH$33-$H$33,LOOKUP('Données projet'!$E$11,$A$3:$A$203,BH3:BH203)-LOOKUP('Données projet'!$E$11,$A$3:$A$203,$H$3:$H$203))</f>
        <v>203.48513862195352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190.08613104982993</v>
      </c>
      <c r="CE3" s="59">
        <f>IF('Données projet'!E12&gt;30,$CC$33-$H$33,LOOKUP('Données projet'!$E$12,$A$3:$A$203,CC3:CC203)-LOOKUP('Données projet'!$E$12,$A$3:$A$203,$H$3:$H$203))</f>
        <v>180.55054525447781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270.30888762640245</v>
      </c>
      <c r="CZ3" s="59">
        <f>IF('Données projet'!E13&gt;30,$CX$33-$H$33,LOOKUP('Données projet'!$E$13,$A$3:$A$203,CX3:CX203)-LOOKUP('Données projet'!$E$13,$A$3:$A$203,$H$3:$H$203))</f>
        <v>202.23783851977691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221.14988592347311</v>
      </c>
      <c r="DU3" s="59">
        <f>IF('Données projet'!E14&gt;30,$DS$33-$H$33,LOOKUP('Données projet'!$E$14,$A$3:$A$203,DS3:DS203)-LOOKUP('Données projet'!$E$14,$A$3:$A$203,$H$3:$H$203))</f>
        <v>179.09262081171607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168.72306536277267</v>
      </c>
      <c r="EP3" s="59">
        <f>IF('Données projet'!E15&gt;30,$EN$33-$H$33,LOOKUP('Données projet'!$E$15,$A$3:$A$203,EN3:EN203)-LOOKUP('Données projet'!$E$15,$A$3:$A$203,$H$3:$H$203))</f>
        <v>203.35476578922339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9">
        <f>FH3+(EZ3+FA3)*44/12</f>
        <v>293.33333333333331</v>
      </c>
      <c r="FJ3" s="59">
        <f ca="1">AVERAGE(OFFSET($FI$3,0,0,'Données projet'!$E$16+1,1))-AVERAGE(OFFSET($H$3,0,0,'Données projet'!$E$16+1,1))</f>
        <v>127.76128532861486</v>
      </c>
      <c r="FK3" s="59">
        <f>IF('Données projet'!E16&gt;30,$FI$33-$H$33,LOOKUP('Données projet'!$E$16,$A$3:$A$203,FI3:FI203)-LOOKUP('Données projet'!$E$16,$A$3:$A$203,$H$3:$H$203))</f>
        <v>157.52303491639736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2.9235042735042733</v>
      </c>
      <c r="N4" s="13">
        <f>IF('Données projet'!$A$36&gt;35,N3+M4-V3,IF(A4&lt;'Données projet'!$A$36,$K$205^A4,IF(A4='Données projet'!$A$36,'Données projet'!$B$36,N3+M4-V3)))</f>
        <v>1.1608269964373037</v>
      </c>
      <c r="O4" s="13">
        <f>N4*VLOOKUP('Données projet'!$B$9,Paramètres!$A$1:$I$89,3,0)*VLOOKUP('Données projet'!$B$9,Paramètres!$A$1:$I$89,5,0)</f>
        <v>1.0503162663764722</v>
      </c>
      <c r="P4" s="13">
        <f>EXP(-1.0587+0.8836*LN(O4)+0.284)</f>
        <v>0.48127189162287909</v>
      </c>
      <c r="Q4" s="20">
        <f t="shared" ref="Q4:Q34" si="2">(O4+P4)*0.475*44/12</f>
        <v>2.6675160418488701</v>
      </c>
      <c r="R4" s="59">
        <f t="shared" si="0"/>
        <v>296.00084937518216</v>
      </c>
      <c r="S4" s="59">
        <f ca="1">AVERAGE(OFFSET($R$3,0,0,'Données projet'!$E$9+1,1))-AVERAGE(OFFSET($H$3,0,0,'Données projet'!$E$9+1,1))</f>
        <v>153.45079678708987</v>
      </c>
      <c r="T4" s="59">
        <f>$T$3</f>
        <v>115.4217868409637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1.8914529914529912</v>
      </c>
      <c r="AI4" s="13">
        <f>IF('Données projet'!$A$62&gt;35,AI3+AH4-AQ3,IF(A4&lt;'Données projet'!$A$62,$AF$205^A4,IF(A4='Données projet'!$A$62,'Données projet'!$B$62,AI3+AH4-AQ3)))</f>
        <v>1.1440997575339091</v>
      </c>
      <c r="AJ4" s="13">
        <f>AI4*VLOOKUP('Données projet'!$B$10,Paramètres!$A$1:$I$89,3,0)*VLOOKUP('Données projet'!$B$10,Paramètres!$A$1:$I$89,5,0)</f>
        <v>1.0351814606166809</v>
      </c>
      <c r="AK4" s="13">
        <f>EXP(-1.0587+0.8836*LN(AJ4)+0.284)</f>
        <v>0.47513894762454478</v>
      </c>
      <c r="AL4" s="20">
        <f t="shared" ref="AL4:AL67" si="4">(AJ4+AK4)*0.475*44/12</f>
        <v>2.6304747110201352</v>
      </c>
      <c r="AM4" s="59">
        <f t="shared" ref="AM4:AM67" si="5">AL4+(AD4+AE4)*44/12</f>
        <v>295.96380804435347</v>
      </c>
      <c r="AN4" s="59">
        <f ca="1">AVERAGE(OFFSET($AM$3,0,0,'Données projet'!$E$10+1,1))-AVERAGE(OFFSET($H$3,0,0,'Données projet'!$E$10+1,1))</f>
        <v>123.92486590666675</v>
      </c>
      <c r="AO4" s="59">
        <f>$AO$3</f>
        <v>54.404493017418986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7.7987854251012134</v>
      </c>
      <c r="BD4" s="12">
        <f>IF('Données projet'!$A$88&gt;35,BD3+BC4-BL3,IF(A4&lt;'Données projet'!$A$88,$BA$205^A4,IF(A4='Données projet'!$A$88,'Données projet'!$B$88,BD3+BC4-BL3)))</f>
        <v>1.3009230512021859</v>
      </c>
      <c r="BE4" s="13">
        <f>BD4*VLOOKUP('Données projet'!$B$11,Paramètres!$A$1:$I$89,3,0)*VLOOKUP('Données projet'!$B$11,Paramètres!$A$1:$I$89,5,0)</f>
        <v>0.72721598562202194</v>
      </c>
      <c r="BF4" s="13">
        <f>EXP(-1.0587+0.8836*LN(BE4)+0.284)</f>
        <v>0.3477906162348457</v>
      </c>
      <c r="BG4" s="20">
        <f t="shared" ref="BG4:BG67" si="7">(BE4+BF4)*0.475*44/12</f>
        <v>1.8723031649007107</v>
      </c>
      <c r="BH4" s="59">
        <f t="shared" ref="BH4:BH67" si="8">BG4+(AY4+AZ4)*44/12</f>
        <v>295.20563649823401</v>
      </c>
      <c r="BI4" s="59">
        <f ca="1">AVERAGE(OFFSET($BH$3,0,0,'Données projet'!$E$11+1,1))-AVERAGE(OFFSET($H$3,0,0,'Données projet'!$E$11+1,1))</f>
        <v>224.7049802939942</v>
      </c>
      <c r="BJ4" s="59">
        <f>$BJ$3</f>
        <v>203.48513862195352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5.5864615384615384</v>
      </c>
      <c r="BY4" s="12">
        <f>IF('Données projet'!$A$114&gt;35,BY3+BX4-CG3,IF(A4&lt;'Données projet'!$A$114,$BV$205^A4,IF(A4='Données projet'!$A$114,'Données projet'!$B$114,BY3+BX4-CG3)))</f>
        <v>1.2184369837847564</v>
      </c>
      <c r="BZ4" s="13">
        <f>BY4*VLOOKUP('Données projet'!$B$12,Paramètres!$A$1:$I$89,3,0)*VLOOKUP('Données projet'!$B$12,Paramètres!$A$1:$I$89,5,0)</f>
        <v>0.68110627393567891</v>
      </c>
      <c r="CA4" s="13">
        <f>EXP(-1.0587+0.8836*LN(BZ4)+0.284)</f>
        <v>0.32823185978726926</v>
      </c>
      <c r="CB4" s="20">
        <f t="shared" ref="CB4:CB67" si="10">(BZ4+CA4)*0.475*44/12</f>
        <v>1.7579305829008012</v>
      </c>
      <c r="CC4" s="59">
        <f t="shared" ref="CC4:CC67" si="11">CB4+(BT4+BU4)*44/12</f>
        <v>295.09126391623414</v>
      </c>
      <c r="CD4" s="59">
        <f ca="1">AVERAGE(OFFSET($CC$3,0,0,'Données projet'!$E$12+1,1))-AVERAGE(OFFSET($H$3,0,0,'Données projet'!$E$12+1,1))</f>
        <v>190.08613104982993</v>
      </c>
      <c r="CE4" s="59">
        <f>$CE$3</f>
        <v>180.55054525447781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4.3499999999999996</v>
      </c>
      <c r="CT4" s="12">
        <f>IF('Données projet'!$A$140&gt;35,CT3+CS4-DB3,IF(A4&lt;'Données projet'!$A$140,$CQ$205^A4,IF(A4='Données projet'!$A$140,'Données projet'!$B$140,CT3+CS4-DB3)))</f>
        <v>1.2501898326862695</v>
      </c>
      <c r="CU4" s="17">
        <f>CT4*VLOOKUP('Données projet'!$B$13,Paramètres!$A$1:$I$89,3,0)*VLOOKUP('Données projet'!$B$13,Paramètres!$A$1:$I$89,5,0)</f>
        <v>0.74761351994638925</v>
      </c>
      <c r="CV4" s="13">
        <f>EXP(-1.0587+0.8836*LN(CU4)+0.284)</f>
        <v>0.35639630406199418</v>
      </c>
      <c r="CW4" s="20">
        <f t="shared" ref="CW4:CW67" si="13">(CU4+CV4)*0.475*44/12</f>
        <v>1.9228171101479343</v>
      </c>
      <c r="CX4" s="59">
        <f t="shared" ref="CX4:CX67" si="14">CW4+(CO4+CP4)*44/12</f>
        <v>295.25615044348126</v>
      </c>
      <c r="CY4" s="59">
        <f ca="1">AVERAGE(OFFSET($CX$3,0,0,'Données projet'!$E$13+1,1))-AVERAGE(OFFSET($H$3,0,0,'Données projet'!$E$13+1,1))</f>
        <v>270.30888762640245</v>
      </c>
      <c r="CZ4" s="59">
        <f>$CZ$3</f>
        <v>202.23783851977691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3.45</v>
      </c>
      <c r="DO4" s="12">
        <f>IF('Données projet'!$A$166&gt;35,DO3+DN4-DW3,IF(A4&lt;'Données projet'!$A$166,$DL$205^A4,IF(A4='Données projet'!$A$166,'Données projet'!$B$166,DO3+DN4-DW3)))</f>
        <v>1.2357836771486921</v>
      </c>
      <c r="DP4" s="17">
        <f>DO4*VLOOKUP('Données projet'!$B$14,Paramètres!$A$1:$I$89,3,0)*VLOOKUP('Données projet'!$B$14,Paramètres!$A$1:$I$89,5,0)</f>
        <v>0.73899863893491791</v>
      </c>
      <c r="DQ4" s="13">
        <f>EXP(-1.0587+0.8836*LN(DP4)+0.284)</f>
        <v>0.35276507661183593</v>
      </c>
      <c r="DR4" s="20">
        <f t="shared" ref="DR4:DR67" si="16">(DP4+DQ4)*0.475*44/12</f>
        <v>1.9014884712439295</v>
      </c>
      <c r="DS4" s="59">
        <f t="shared" ref="DS4:DS67" si="17">DR4+(DJ4+DK4)*44/12</f>
        <v>295.23482180457722</v>
      </c>
      <c r="DT4" s="59">
        <f ca="1">AVERAGE(OFFSET($DS$3,0,0,'Données projet'!$E$14+1,1))-AVERAGE(OFFSET($H$3,0,0,'Données projet'!$E$14+1,1))</f>
        <v>221.14988592347311</v>
      </c>
      <c r="DU4" s="59">
        <f>$DU$3</f>
        <v>179.09262081171607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2.2999999999999998</v>
      </c>
      <c r="EJ4" s="12">
        <f>IF('Données projet'!$A$192&gt;35,EJ3+EI4-ER3,IF(A4&lt;'Données projet'!$A$192,$EG$205^A4,IF(A4='Données projet'!$A$192,'Données projet'!$B$192,EJ3+EI4-ER3)))</f>
        <v>1.3682730833261529</v>
      </c>
      <c r="EK4" s="17">
        <f>EJ4*VLOOKUP('Données projet'!$B$15,Paramètres!$A$1:$I$89,3,0)*VLOOKUP('Données projet'!$B$15,Paramètres!$A$1:$I$89,5,0)</f>
        <v>0.74707710349607948</v>
      </c>
      <c r="EL4" s="13">
        <f>EXP(-1.0587+0.8836*LN(EK4)+0.284)</f>
        <v>0.35617034384652524</v>
      </c>
      <c r="EM4" s="20">
        <f t="shared" ref="EM4:EM67" si="19">(EK4+EL4)*0.475*44/12</f>
        <v>1.9214893041217032</v>
      </c>
      <c r="EN4" s="59">
        <f t="shared" ref="EN4:EN67" si="20">EM4+(EE4+EF4)*44/12</f>
        <v>295.25482263745499</v>
      </c>
      <c r="EO4" s="59">
        <f ca="1">AVERAGE(OFFSET($EN$3,0,0,'Données projet'!$E$15+1,1))-AVERAGE(OFFSET($H$3,0,0,'Données projet'!$E$15+1,1))</f>
        <v>168.72306536277267</v>
      </c>
      <c r="EP4" s="59">
        <f>$EP$3</f>
        <v>203.35476578922339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1.2</v>
      </c>
      <c r="FE4" s="12">
        <f>IF('Données projet'!$A$218&gt;35,FE3+FD4-FM3,IF(A4&lt;'Données projet'!$A$218,$FB$205^A4,IF(A4='Données projet'!$A$218,'Données projet'!$B$218,FE3+FD4-FM3)))</f>
        <v>1.2820888539868154</v>
      </c>
      <c r="FF4" s="17">
        <f>FE4*VLOOKUP('Données projet'!$B$16,Paramètres!$A$1:$I$89,3,0)*VLOOKUP('Données projet'!$B$16,Paramètres!$A$1:$I$89,5,0)</f>
        <v>0.70002051427680123</v>
      </c>
      <c r="FG4" s="13">
        <f>EXP(-1.0587+0.8836*LN(FF4)+0.284)</f>
        <v>0.33627295391487261</v>
      </c>
      <c r="FH4" s="20">
        <f t="shared" ref="FH4:FH67" si="22">(FF4+FG4)*0.475*44/12</f>
        <v>1.8048777904338316</v>
      </c>
      <c r="FI4" s="59">
        <f t="shared" ref="FI4:FI67" si="23">FH4+(EZ4+FA4)*44/12</f>
        <v>295.13821112376712</v>
      </c>
      <c r="FJ4" s="59">
        <f ca="1">AVERAGE(OFFSET($FI$3,0,0,'Données projet'!$E$16+1,1))-AVERAGE(OFFSET($H$3,0,0,'Données projet'!$E$16+1,1))</f>
        <v>127.76128532861486</v>
      </c>
      <c r="FK4" s="59">
        <f>$FK$3</f>
        <v>157.52303491639736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2.9235042735042733</v>
      </c>
      <c r="N5" s="13">
        <f>IF('Données projet'!$A$36&gt;35,N4+M5-V4,IF(A5&lt;'Données projet'!$A$36,$K$205^A5,IF(A5='Données projet'!$A$36,'Données projet'!$B$36,N4+M5-V4)))</f>
        <v>1.3475193156576519</v>
      </c>
      <c r="O5" s="13">
        <f>N5*VLOOKUP('Données projet'!$B$9,Paramètres!$A$1:$I$89,3,0)*VLOOKUP('Données projet'!$B$9,Paramètres!$A$1:$I$89,5,0)</f>
        <v>1.2192354768070435</v>
      </c>
      <c r="P5" s="13">
        <f t="shared" ref="P5:P68" si="33">EXP(-1.0587+0.8836*LN(O5)+0.284)</f>
        <v>0.54905905766229002</v>
      </c>
      <c r="Q5" s="20">
        <f t="shared" si="2"/>
        <v>3.0797796475340888</v>
      </c>
      <c r="R5" s="59">
        <f t="shared" si="0"/>
        <v>296.41311298086742</v>
      </c>
      <c r="S5" s="59">
        <f ca="1">AVERAGE(OFFSET($R$3,0,0,'Données projet'!$E$9+1,1))-AVERAGE(OFFSET($H$3,0,0,'Données projet'!$E$9+1,1))</f>
        <v>153.45079678708987</v>
      </c>
      <c r="T5" s="59">
        <f t="shared" ref="T5:T68" si="34">$T$3</f>
        <v>115.4217868409637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1.8914529914529912</v>
      </c>
      <c r="AI5" s="13">
        <f>IF('Données projet'!$A$62&gt;35,AI4+AH5-AQ4,IF(A5&lt;'Données projet'!$A$62,$AF$205^A5,IF(A5='Données projet'!$A$62,'Données projet'!$B$62,AI4+AH5-AQ4)))</f>
        <v>1.3089642551891496</v>
      </c>
      <c r="AJ5" s="13">
        <f>AI5*VLOOKUP('Données projet'!$B$10,Paramètres!$A$1:$I$89,3,0)*VLOOKUP('Données projet'!$B$10,Paramètres!$A$1:$I$89,5,0)</f>
        <v>1.1843508580951425</v>
      </c>
      <c r="AK5" s="13">
        <f t="shared" ref="AK5:AK68" si="35">EXP(-1.0587+0.8836*LN(AJ5)+0.284)</f>
        <v>0.53515468006135591</v>
      </c>
      <c r="AL5" s="20">
        <f t="shared" si="4"/>
        <v>2.9948054789559007</v>
      </c>
      <c r="AM5" s="59">
        <f t="shared" si="5"/>
        <v>296.32813881228924</v>
      </c>
      <c r="AN5" s="59">
        <f ca="1">AVERAGE(OFFSET($AM$3,0,0,'Données projet'!$E$10+1,1))-AVERAGE(OFFSET($H$3,0,0,'Données projet'!$E$10+1,1))</f>
        <v>123.92486590666675</v>
      </c>
      <c r="AO5" s="59">
        <f t="shared" ref="AO5:AO68" si="36">$AO$3</f>
        <v>54.404493017418986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7.7987854251012134</v>
      </c>
      <c r="BD5" s="12">
        <f>IF('Données projet'!$A$88&gt;35,BD4+BC5-BL4,IF(A5&lt;'Données projet'!$A$88,$BA$205^A5,IF(A5='Données projet'!$A$88,'Données projet'!$B$88,BD4+BC5-BL4)))</f>
        <v>1.6924007851492051</v>
      </c>
      <c r="BE5" s="13">
        <f>BD5*VLOOKUP('Données projet'!$B$11,Paramètres!$A$1:$I$89,3,0)*VLOOKUP('Données projet'!$B$11,Paramètres!$A$1:$I$89,5,0)</f>
        <v>0.94605203889840572</v>
      </c>
      <c r="BF5" s="13">
        <f t="shared" ref="BF5:BF68" si="37">EXP(-1.0587+0.8836*LN(BE5)+0.284)</f>
        <v>0.43880400409515918</v>
      </c>
      <c r="BG5" s="20">
        <f t="shared" si="7"/>
        <v>2.4119576082137919</v>
      </c>
      <c r="BH5" s="59">
        <f t="shared" si="8"/>
        <v>295.74529094154713</v>
      </c>
      <c r="BI5" s="59">
        <f ca="1">AVERAGE(OFFSET($BH$3,0,0,'Données projet'!$E$11+1,1))-AVERAGE(OFFSET($H$3,0,0,'Données projet'!$E$11+1,1))</f>
        <v>224.7049802939942</v>
      </c>
      <c r="BJ5" s="59">
        <f t="shared" ref="BJ5:BJ68" si="38">$BJ$3</f>
        <v>203.48513862195352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5.5864615384615384</v>
      </c>
      <c r="BY5" s="12">
        <f>IF('Données projet'!$A$114&gt;35,BY4+BX5-CG4,IF(A5&lt;'Données projet'!$A$114,$BV$205^A5,IF(A5='Données projet'!$A$114,'Données projet'!$B$114,BY4+BX5-CG4)))</f>
        <v>1.4845886834544948</v>
      </c>
      <c r="BZ5" s="13">
        <f>BY5*VLOOKUP('Données projet'!$B$12,Paramètres!$A$1:$I$89,3,0)*VLOOKUP('Données projet'!$B$12,Paramètres!$A$1:$I$89,5,0)</f>
        <v>0.8298850740510626</v>
      </c>
      <c r="CA5" s="13">
        <f t="shared" ref="CA5:CA68" si="39">EXP(-1.0587+0.8836*LN(BZ5)+0.284)</f>
        <v>0.39083759183577838</v>
      </c>
      <c r="CB5" s="20">
        <f t="shared" si="10"/>
        <v>2.1260919764195814</v>
      </c>
      <c r="CC5" s="59">
        <f t="shared" si="11"/>
        <v>295.45942530975287</v>
      </c>
      <c r="CD5" s="59">
        <f ca="1">AVERAGE(OFFSET($CC$3,0,0,'Données projet'!$E$12+1,1))-AVERAGE(OFFSET($H$3,0,0,'Données projet'!$E$12+1,1))</f>
        <v>190.08613104982993</v>
      </c>
      <c r="CE5" s="59">
        <f t="shared" ref="CE5:CE68" si="40">$CE$3</f>
        <v>180.55054525447781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4.3499999999999996</v>
      </c>
      <c r="CT5" s="12">
        <f>IF('Données projet'!$A$140&gt;35,CT4+CS5-DB4,IF(A5&lt;'Données projet'!$A$140,$CQ$205^A5,IF(A5='Données projet'!$A$140,'Données projet'!$B$140,CT4+CS5-DB4)))</f>
        <v>1.5629746177521224</v>
      </c>
      <c r="CU5" s="17">
        <f>CT5*VLOOKUP('Données projet'!$B$13,Paramètres!$A$1:$I$89,3,0)*VLOOKUP('Données projet'!$B$13,Paramètres!$A$1:$I$89,5,0)</f>
        <v>0.93465882141576928</v>
      </c>
      <c r="CV5" s="13">
        <f t="shared" ref="CV5:CV68" si="41">EXP(-1.0587+0.8836*LN(CU5)+0.284)</f>
        <v>0.43413135345040255</v>
      </c>
      <c r="CW5" s="20">
        <f t="shared" si="13"/>
        <v>2.3839762212252493</v>
      </c>
      <c r="CX5" s="59">
        <f t="shared" si="14"/>
        <v>295.71730955455854</v>
      </c>
      <c r="CY5" s="59">
        <f ca="1">AVERAGE(OFFSET($CX$3,0,0,'Données projet'!$E$13+1,1))-AVERAGE(OFFSET($H$3,0,0,'Données projet'!$E$13+1,1))</f>
        <v>270.30888762640245</v>
      </c>
      <c r="CZ5" s="59">
        <f t="shared" ref="CZ5:CZ68" si="42">$CZ$3</f>
        <v>202.23783851977691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3.45</v>
      </c>
      <c r="DO5" s="12">
        <f>IF('Données projet'!$A$166&gt;35,DO4+DN5-DW4,IF(A5&lt;'Données projet'!$A$166,$DL$205^A5,IF(A5='Données projet'!$A$166,'Données projet'!$B$166,DO4+DN5-DW4)))</f>
        <v>1.5271612967071428</v>
      </c>
      <c r="DP5" s="17">
        <f>DO5*VLOOKUP('Données projet'!$B$14,Paramètres!$A$1:$I$89,3,0)*VLOOKUP('Données projet'!$B$14,Paramètres!$A$1:$I$89,5,0)</f>
        <v>0.91324245543087157</v>
      </c>
      <c r="DQ5" s="13">
        <f t="shared" ref="DQ5:DQ68" si="43">EXP(-1.0587+0.8836*LN(DP5)+0.284)</f>
        <v>0.42532992224763838</v>
      </c>
      <c r="DR5" s="20">
        <f t="shared" si="16"/>
        <v>2.3313468911234048</v>
      </c>
      <c r="DS5" s="59">
        <f t="shared" si="17"/>
        <v>295.66468022445673</v>
      </c>
      <c r="DT5" s="59">
        <f ca="1">AVERAGE(OFFSET($DS$3,0,0,'Données projet'!$E$14+1,1))-AVERAGE(OFFSET($H$3,0,0,'Données projet'!$E$14+1,1))</f>
        <v>221.14988592347311</v>
      </c>
      <c r="DU5" s="59">
        <f t="shared" ref="DU5:DU68" si="44">$DU$3</f>
        <v>179.09262081171607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2.2999999999999998</v>
      </c>
      <c r="EJ5" s="12">
        <f>IF('Données projet'!$A$192&gt;35,EJ4+EI5-ER4,IF(A5&lt;'Données projet'!$A$192,$EG$205^A5,IF(A5='Données projet'!$A$192,'Données projet'!$B$192,EJ4+EI5-ER4)))</f>
        <v>1.8721712305548575</v>
      </c>
      <c r="EK5" s="17">
        <f>EJ5*VLOOKUP('Données projet'!$B$15,Paramètres!$A$1:$I$89,3,0)*VLOOKUP('Données projet'!$B$15,Paramètres!$A$1:$I$89,5,0)</f>
        <v>1.0222054918829522</v>
      </c>
      <c r="EL5" s="13">
        <f t="shared" ref="EL5:EL68" si="45">EXP(-1.0587+0.8836*LN(EK5)+0.284)</f>
        <v>0.4698724990482781</v>
      </c>
      <c r="EM5" s="20">
        <f t="shared" si="19"/>
        <v>2.5987025008718923</v>
      </c>
      <c r="EN5" s="59">
        <f t="shared" si="20"/>
        <v>295.93203583420518</v>
      </c>
      <c r="EO5" s="59">
        <f ca="1">AVERAGE(OFFSET($EN$3,0,0,'Données projet'!$E$15+1,1))-AVERAGE(OFFSET($H$3,0,0,'Données projet'!$E$15+1,1))</f>
        <v>168.72306536277267</v>
      </c>
      <c r="EP5" s="59">
        <f t="shared" ref="EP5:EP68" si="46">$EP$3</f>
        <v>203.35476578922339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1.2</v>
      </c>
      <c r="FE5" s="12">
        <f>IF('Données projet'!$A$218&gt;35,FE4+FD5-FM4,IF(A5&lt;'Données projet'!$A$218,$FB$205^A5,IF(A5='Données projet'!$A$218,'Données projet'!$B$218,FE4+FD5-FM4)))</f>
        <v>1.6437518295172255</v>
      </c>
      <c r="FF5" s="17">
        <f>FE5*VLOOKUP('Données projet'!$B$16,Paramètres!$A$1:$I$89,3,0)*VLOOKUP('Données projet'!$B$16,Paramètres!$A$1:$I$89,5,0)</f>
        <v>0.89748849891640514</v>
      </c>
      <c r="FG5" s="13">
        <f t="shared" ref="FG5:FG68" si="47">EXP(-1.0587+0.8836*LN(FF5)+0.284)</f>
        <v>0.41884023420408184</v>
      </c>
      <c r="FH5" s="20">
        <f t="shared" si="22"/>
        <v>2.2926058768515145</v>
      </c>
      <c r="FI5" s="59">
        <f t="shared" si="23"/>
        <v>295.62593921018481</v>
      </c>
      <c r="FJ5" s="59">
        <f ca="1">AVERAGE(OFFSET($FI$3,0,0,'Données projet'!$E$16+1,1))-AVERAGE(OFFSET($H$3,0,0,'Données projet'!$E$16+1,1))</f>
        <v>127.76128532861486</v>
      </c>
      <c r="FK5" s="59">
        <f t="shared" ref="FK5:FK68" si="48">$FK$3</f>
        <v>157.52303491639736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2.9235042735042733</v>
      </c>
      <c r="N6" s="13">
        <f>IF('Données projet'!$A$36&gt;35,N5+M6-V5,IF(A6&lt;'Données projet'!$A$36,$K$205^A6,IF(A6='Données projet'!$A$36,'Données projet'!$B$36,N5+M6-V5)))</f>
        <v>1.5642367998361231</v>
      </c>
      <c r="O6" s="13">
        <f>N6*VLOOKUP('Données projet'!$B$9,Paramètres!$A$1:$I$89,3,0)*VLOOKUP('Données projet'!$B$9,Paramètres!$A$1:$I$89,5,0)</f>
        <v>1.415321456491724</v>
      </c>
      <c r="P6" s="13">
        <f t="shared" si="33"/>
        <v>0.62639404887004735</v>
      </c>
      <c r="Q6" s="20">
        <f t="shared" si="2"/>
        <v>3.5559878385050854</v>
      </c>
      <c r="R6" s="59">
        <f t="shared" si="0"/>
        <v>296.88932117183839</v>
      </c>
      <c r="S6" s="59">
        <f ca="1">AVERAGE(OFFSET($R$3,0,0,'Données projet'!$E$9+1,1))-AVERAGE(OFFSET($H$3,0,0,'Données projet'!$E$9+1,1))</f>
        <v>153.45079678708987</v>
      </c>
      <c r="T6" s="59">
        <f t="shared" si="34"/>
        <v>115.4217868409637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1.8914529914529912</v>
      </c>
      <c r="AI6" s="13">
        <f>IF('Données projet'!$A$62&gt;35,AI5+AH6-AQ5,IF(A6&lt;'Données projet'!$A$62,$AF$205^A6,IF(A6='Données projet'!$A$62,'Données projet'!$B$62,AI5+AH6-AQ5)))</f>
        <v>1.49758568698246</v>
      </c>
      <c r="AJ6" s="13">
        <f>AI6*VLOOKUP('Données projet'!$B$10,Paramètres!$A$1:$I$89,3,0)*VLOOKUP('Données projet'!$B$10,Paramètres!$A$1:$I$89,5,0)</f>
        <v>1.3550155295817299</v>
      </c>
      <c r="AK6" s="13">
        <f t="shared" si="35"/>
        <v>0.602751117380254</v>
      </c>
      <c r="AL6" s="20">
        <f t="shared" si="4"/>
        <v>3.4097769101254549</v>
      </c>
      <c r="AM6" s="59">
        <f t="shared" si="5"/>
        <v>296.74311024345877</v>
      </c>
      <c r="AN6" s="59">
        <f ca="1">AVERAGE(OFFSET($AM$3,0,0,'Données projet'!$E$10+1,1))-AVERAGE(OFFSET($H$3,0,0,'Données projet'!$E$10+1,1))</f>
        <v>123.92486590666675</v>
      </c>
      <c r="AO6" s="59">
        <f t="shared" si="36"/>
        <v>54.404493017418986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7.7987854251012134</v>
      </c>
      <c r="BD6" s="12">
        <f>IF('Données projet'!$A$88&gt;35,BD5+BC6-BL5,IF(A6&lt;'Données projet'!$A$88,$BA$205^A6,IF(A6='Données projet'!$A$88,'Données projet'!$B$88,BD5+BC6-BL5)))</f>
        <v>2.2016831932732788</v>
      </c>
      <c r="BE6" s="13">
        <f>BD6*VLOOKUP('Données projet'!$B$11,Paramètres!$A$1:$I$89,3,0)*VLOOKUP('Données projet'!$B$11,Paramètres!$A$1:$I$89,5,0)</f>
        <v>1.2307409050397629</v>
      </c>
      <c r="BF6" s="13">
        <f t="shared" si="37"/>
        <v>0.55363470151801264</v>
      </c>
      <c r="BG6" s="20">
        <f t="shared" si="7"/>
        <v>3.1077875147547922</v>
      </c>
      <c r="BH6" s="59">
        <f t="shared" si="8"/>
        <v>296.44112084808813</v>
      </c>
      <c r="BI6" s="59">
        <f ca="1">AVERAGE(OFFSET($BH$3,0,0,'Données projet'!$E$11+1,1))-AVERAGE(OFFSET($H$3,0,0,'Données projet'!$E$11+1,1))</f>
        <v>224.7049802939942</v>
      </c>
      <c r="BJ6" s="59">
        <f t="shared" si="38"/>
        <v>203.48513862195352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5.5864615384615384</v>
      </c>
      <c r="BY6" s="12">
        <f>IF('Données projet'!$A$114&gt;35,BY5+BX6-CG5,IF(A6&lt;'Données projet'!$A$114,$BV$205^A6,IF(A6='Données projet'!$A$114,'Données projet'!$B$114,BY5+BX6-CG5)))</f>
        <v>1.8088777576292772</v>
      </c>
      <c r="BZ6" s="13">
        <f>BY6*VLOOKUP('Données projet'!$B$12,Paramètres!$A$1:$I$89,3,0)*VLOOKUP('Données projet'!$B$12,Paramètres!$A$1:$I$89,5,0)</f>
        <v>1.0111626665147659</v>
      </c>
      <c r="CA6" s="13">
        <f t="shared" si="39"/>
        <v>0.46538450987357571</v>
      </c>
      <c r="CB6" s="20">
        <f t="shared" si="10"/>
        <v>2.5716529988763619</v>
      </c>
      <c r="CC6" s="59">
        <f t="shared" si="11"/>
        <v>295.90498633220966</v>
      </c>
      <c r="CD6" s="59">
        <f ca="1">AVERAGE(OFFSET($CC$3,0,0,'Données projet'!$E$12+1,1))-AVERAGE(OFFSET($H$3,0,0,'Données projet'!$E$12+1,1))</f>
        <v>190.08613104982993</v>
      </c>
      <c r="CE6" s="59">
        <f t="shared" si="40"/>
        <v>180.55054525447781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4.3499999999999996</v>
      </c>
      <c r="CT6" s="12">
        <f>IF('Données projet'!$A$140&gt;35,CT5+CS6-DB5,IF(A6&lt;'Données projet'!$A$140,$CQ$205^A6,IF(A6='Données projet'!$A$140,'Données projet'!$B$140,CT5+CS6-DB5)))</f>
        <v>1.954014975860412</v>
      </c>
      <c r="CU6" s="17">
        <f>CT6*VLOOKUP('Données projet'!$B$13,Paramètres!$A$1:$I$89,3,0)*VLOOKUP('Données projet'!$B$13,Paramètres!$A$1:$I$89,5,0)</f>
        <v>1.1685009555645265</v>
      </c>
      <c r="CV6" s="13">
        <f t="shared" si="41"/>
        <v>0.52882151105555386</v>
      </c>
      <c r="CW6" s="20">
        <f t="shared" si="13"/>
        <v>2.9561699626966398</v>
      </c>
      <c r="CX6" s="59">
        <f t="shared" si="14"/>
        <v>296.28950329602998</v>
      </c>
      <c r="CY6" s="59">
        <f ca="1">AVERAGE(OFFSET($CX$3,0,0,'Données projet'!$E$13+1,1))-AVERAGE(OFFSET($H$3,0,0,'Données projet'!$E$13+1,1))</f>
        <v>270.30888762640245</v>
      </c>
      <c r="CZ6" s="59">
        <f t="shared" si="42"/>
        <v>202.23783851977691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3.45</v>
      </c>
      <c r="DO6" s="12">
        <f>IF('Données projet'!$A$166&gt;35,DO5+DN6-DW5,IF(A6&lt;'Données projet'!$A$166,$DL$205^A6,IF(A6='Données projet'!$A$166,'Données projet'!$B$166,DO5+DN6-DW5)))</f>
        <v>1.8872410028439177</v>
      </c>
      <c r="DP6" s="17">
        <f>DO6*VLOOKUP('Données projet'!$B$14,Paramètres!$A$1:$I$89,3,0)*VLOOKUP('Données projet'!$B$14,Paramètres!$A$1:$I$89,5,0)</f>
        <v>1.1285701197006628</v>
      </c>
      <c r="DQ6" s="13">
        <f t="shared" si="43"/>
        <v>0.51282157660476391</v>
      </c>
      <c r="DR6" s="20">
        <f t="shared" si="16"/>
        <v>2.8587572043986178</v>
      </c>
      <c r="DS6" s="59">
        <f t="shared" si="17"/>
        <v>296.19209053773193</v>
      </c>
      <c r="DT6" s="59">
        <f ca="1">AVERAGE(OFFSET($DS$3,0,0,'Données projet'!$E$14+1,1))-AVERAGE(OFFSET($H$3,0,0,'Données projet'!$E$14+1,1))</f>
        <v>221.14988592347311</v>
      </c>
      <c r="DU6" s="59">
        <f t="shared" si="44"/>
        <v>179.09262081171607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2.2999999999999998</v>
      </c>
      <c r="EJ6" s="12">
        <f>IF('Données projet'!$A$192&gt;35,EJ5+EI6-ER5,IF(A6&lt;'Données projet'!$A$192,$EG$205^A6,IF(A6='Données projet'!$A$192,'Données projet'!$B$192,EJ5+EI6-ER5)))</f>
        <v>2.5616415021458128</v>
      </c>
      <c r="EK6" s="17">
        <f>EJ6*VLOOKUP('Données projet'!$B$15,Paramètres!$A$1:$I$89,3,0)*VLOOKUP('Données projet'!$B$15,Paramètres!$A$1:$I$89,5,0)</f>
        <v>1.3986562601716137</v>
      </c>
      <c r="EL6" s="13">
        <f t="shared" si="45"/>
        <v>0.61987239863240495</v>
      </c>
      <c r="EM6" s="20">
        <f t="shared" si="19"/>
        <v>3.5156040807503324</v>
      </c>
      <c r="EN6" s="59">
        <f t="shared" si="20"/>
        <v>296.84893741408365</v>
      </c>
      <c r="EO6" s="59">
        <f ca="1">AVERAGE(OFFSET($EN$3,0,0,'Données projet'!$E$15+1,1))-AVERAGE(OFFSET($H$3,0,0,'Données projet'!$E$15+1,1))</f>
        <v>168.72306536277267</v>
      </c>
      <c r="EP6" s="59">
        <f t="shared" si="46"/>
        <v>203.35476578922339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1.2</v>
      </c>
      <c r="FE6" s="12">
        <f>IF('Données projet'!$A$218&gt;35,FE5+FD6-FM5,IF(A6&lt;'Données projet'!$A$218,$FB$205^A6,IF(A6='Données projet'!$A$218,'Données projet'!$B$218,FE5+FD6-FM5)))</f>
        <v>2.1074358993444706</v>
      </c>
      <c r="FF6" s="17">
        <f>FE6*VLOOKUP('Données projet'!$B$16,Paramètres!$A$1:$I$89,3,0)*VLOOKUP('Données projet'!$B$16,Paramètres!$A$1:$I$89,5,0)</f>
        <v>1.1506600010420809</v>
      </c>
      <c r="FG6" s="13">
        <f t="shared" si="47"/>
        <v>0.52168079456232264</v>
      </c>
      <c r="FH6" s="20">
        <f t="shared" si="22"/>
        <v>2.9126602190110025</v>
      </c>
      <c r="FI6" s="59">
        <f t="shared" si="23"/>
        <v>296.24599355234432</v>
      </c>
      <c r="FJ6" s="59">
        <f ca="1">AVERAGE(OFFSET($FI$3,0,0,'Données projet'!$E$16+1,1))-AVERAGE(OFFSET($H$3,0,0,'Données projet'!$E$16+1,1))</f>
        <v>127.76128532861486</v>
      </c>
      <c r="FK6" s="59">
        <f t="shared" si="48"/>
        <v>157.52303491639736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2.9235042735042733</v>
      </c>
      <c r="N7" s="13">
        <f>IF('Données projet'!$A$36&gt;35,N6+M7-V6,IF(A7&lt;'Données projet'!$A$36,$K$205^A7,IF(A7='Données projet'!$A$36,'Données projet'!$B$36,N6+M7-V6)))</f>
        <v>1.8158083060704666</v>
      </c>
      <c r="O7" s="13">
        <f>N7*VLOOKUP('Données projet'!$B$9,Paramètres!$A$1:$I$89,3,0)*VLOOKUP('Données projet'!$B$9,Paramètres!$A$1:$I$89,5,0)</f>
        <v>1.6429433553325583</v>
      </c>
      <c r="P7" s="13">
        <f t="shared" si="33"/>
        <v>0.71462167681995736</v>
      </c>
      <c r="Q7" s="20">
        <f t="shared" si="2"/>
        <v>4.1060924309989639</v>
      </c>
      <c r="R7" s="59">
        <f t="shared" si="0"/>
        <v>297.43942576433227</v>
      </c>
      <c r="S7" s="59">
        <f ca="1">AVERAGE(OFFSET($R$3,0,0,'Données projet'!$E$9+1,1))-AVERAGE(OFFSET($H$3,0,0,'Données projet'!$E$9+1,1))</f>
        <v>153.45079678708987</v>
      </c>
      <c r="T7" s="59">
        <f t="shared" si="34"/>
        <v>115.4217868409637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1.8914529914529912</v>
      </c>
      <c r="AI7" s="13">
        <f>IF('Données projet'!$A$62&gt;35,AI6+AH7-AQ6,IF(A7&lt;'Données projet'!$A$62,$AF$205^A7,IF(A7='Données projet'!$A$62,'Données projet'!$B$62,AI6+AH7-AQ6)))</f>
        <v>1.7133874213628852</v>
      </c>
      <c r="AJ7" s="13">
        <f>AI7*VLOOKUP('Données projet'!$B$10,Paramètres!$A$1:$I$89,3,0)*VLOOKUP('Données projet'!$B$10,Paramètres!$A$1:$I$89,5,0)</f>
        <v>1.5502729388491385</v>
      </c>
      <c r="AK7" s="13">
        <f t="shared" si="35"/>
        <v>0.67888579328408538</v>
      </c>
      <c r="AL7" s="20">
        <f t="shared" si="4"/>
        <v>3.8824514584653649</v>
      </c>
      <c r="AM7" s="59">
        <f t="shared" si="5"/>
        <v>297.21578479179868</v>
      </c>
      <c r="AN7" s="59">
        <f ca="1">AVERAGE(OFFSET($AM$3,0,0,'Données projet'!$E$10+1,1))-AVERAGE(OFFSET($H$3,0,0,'Données projet'!$E$10+1,1))</f>
        <v>123.92486590666675</v>
      </c>
      <c r="AO7" s="59">
        <f t="shared" si="36"/>
        <v>54.404493017418986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7.7987854251012134</v>
      </c>
      <c r="BD7" s="12">
        <f>IF('Données projet'!$A$88&gt;35,BD6+BC7-BL6,IF(A7&lt;'Données projet'!$A$88,$BA$205^A7,IF(A7='Données projet'!$A$88,'Données projet'!$B$88,BD6+BC7-BL6)))</f>
        <v>2.8642204175736459</v>
      </c>
      <c r="BE7" s="13">
        <f>BD7*VLOOKUP('Données projet'!$B$11,Paramètres!$A$1:$I$89,3,0)*VLOOKUP('Données projet'!$B$11,Paramètres!$A$1:$I$89,5,0)</f>
        <v>1.6010992134236679</v>
      </c>
      <c r="BF7" s="13">
        <f t="shared" si="37"/>
        <v>0.69851546445430523</v>
      </c>
      <c r="BG7" s="20">
        <f t="shared" si="7"/>
        <v>4.0051622306374703</v>
      </c>
      <c r="BH7" s="59">
        <f t="shared" si="8"/>
        <v>297.33849556397081</v>
      </c>
      <c r="BI7" s="59">
        <f ca="1">AVERAGE(OFFSET($BH$3,0,0,'Données projet'!$E$11+1,1))-AVERAGE(OFFSET($H$3,0,0,'Données projet'!$E$11+1,1))</f>
        <v>224.7049802939942</v>
      </c>
      <c r="BJ7" s="59">
        <f t="shared" si="38"/>
        <v>203.48513862195352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5.5864615384615384</v>
      </c>
      <c r="BY7" s="12">
        <f>IF('Données projet'!$A$114&gt;35,BY6+BX7-CG6,IF(A7&lt;'Données projet'!$A$114,$BV$205^A7,IF(A7='Données projet'!$A$114,'Données projet'!$B$114,BY6+BX7-CG6)))</f>
        <v>2.20400355904115</v>
      </c>
      <c r="BZ7" s="13">
        <f>BY7*VLOOKUP('Données projet'!$B$12,Paramètres!$A$1:$I$89,3,0)*VLOOKUP('Données projet'!$B$12,Paramètres!$A$1:$I$89,5,0)</f>
        <v>1.2320379895040028</v>
      </c>
      <c r="CA7" s="13">
        <f t="shared" si="39"/>
        <v>0.5541502315910074</v>
      </c>
      <c r="CB7" s="20">
        <f t="shared" si="10"/>
        <v>3.1109444850738091</v>
      </c>
      <c r="CC7" s="59">
        <f t="shared" si="11"/>
        <v>296.4442778184071</v>
      </c>
      <c r="CD7" s="59">
        <f ca="1">AVERAGE(OFFSET($CC$3,0,0,'Données projet'!$E$12+1,1))-AVERAGE(OFFSET($H$3,0,0,'Données projet'!$E$12+1,1))</f>
        <v>190.08613104982993</v>
      </c>
      <c r="CE7" s="59">
        <f t="shared" si="40"/>
        <v>180.55054525447781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4.3499999999999996</v>
      </c>
      <c r="CT7" s="12">
        <f>IF('Données projet'!$A$140&gt;35,CT6+CS7-DB6,IF(A7&lt;'Données projet'!$A$140,$CQ$205^A7,IF(A7='Données projet'!$A$140,'Données projet'!$B$140,CT6+CS7-DB6)))</f>
        <v>2.4428896557373934</v>
      </c>
      <c r="CU7" s="17">
        <f>CT7*VLOOKUP('Données projet'!$B$13,Paramètres!$A$1:$I$89,3,0)*VLOOKUP('Données projet'!$B$13,Paramètres!$A$1:$I$89,5,0)</f>
        <v>1.4608480141309614</v>
      </c>
      <c r="CV7" s="13">
        <f t="shared" si="41"/>
        <v>0.64416492458434726</v>
      </c>
      <c r="CW7" s="20">
        <f t="shared" si="13"/>
        <v>3.6662308682624953</v>
      </c>
      <c r="CX7" s="59">
        <f t="shared" si="14"/>
        <v>296.99956420159583</v>
      </c>
      <c r="CY7" s="59">
        <f ca="1">AVERAGE(OFFSET($CX$3,0,0,'Données projet'!$E$13+1,1))-AVERAGE(OFFSET($H$3,0,0,'Données projet'!$E$13+1,1))</f>
        <v>270.30888762640245</v>
      </c>
      <c r="CZ7" s="59">
        <f t="shared" si="42"/>
        <v>202.23783851977691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3.45</v>
      </c>
      <c r="DO7" s="12">
        <f>IF('Données projet'!$A$166&gt;35,DO6+DN7-DW6,IF(A7&lt;'Données projet'!$A$166,$DL$205^A7,IF(A7='Données projet'!$A$166,'Données projet'!$B$166,DO6+DN7-DW6)))</f>
        <v>2.332221626160242</v>
      </c>
      <c r="DP7" s="17">
        <f>DO7*VLOOKUP('Données projet'!$B$14,Paramètres!$A$1:$I$89,3,0)*VLOOKUP('Données projet'!$B$14,Paramètres!$A$1:$I$89,5,0)</f>
        <v>1.3946685324438248</v>
      </c>
      <c r="DQ7" s="13">
        <f t="shared" si="43"/>
        <v>0.61831052948651577</v>
      </c>
      <c r="DR7" s="20">
        <f t="shared" si="16"/>
        <v>3.5059385328620096</v>
      </c>
      <c r="DS7" s="59">
        <f t="shared" si="17"/>
        <v>296.8392718661953</v>
      </c>
      <c r="DT7" s="59">
        <f ca="1">AVERAGE(OFFSET($DS$3,0,0,'Données projet'!$E$14+1,1))-AVERAGE(OFFSET($H$3,0,0,'Données projet'!$E$14+1,1))</f>
        <v>221.14988592347311</v>
      </c>
      <c r="DU7" s="59">
        <f t="shared" si="44"/>
        <v>179.09262081171607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2.2999999999999998</v>
      </c>
      <c r="EJ7" s="12">
        <f>IF('Données projet'!$A$192&gt;35,EJ6+EI7-ER6,IF(A7&lt;'Données projet'!$A$192,$EG$205^A7,IF(A7='Données projet'!$A$192,'Données projet'!$B$192,EJ6+EI7-ER6)))</f>
        <v>3.5050251165172894</v>
      </c>
      <c r="EK7" s="17">
        <f>EJ7*VLOOKUP('Données projet'!$B$15,Paramètres!$A$1:$I$89,3,0)*VLOOKUP('Données projet'!$B$15,Paramètres!$A$1:$I$89,5,0)</f>
        <v>1.9137437136184399</v>
      </c>
      <c r="EL7" s="13">
        <f t="shared" si="45"/>
        <v>0.81775756479591588</v>
      </c>
      <c r="EM7" s="20">
        <f t="shared" si="19"/>
        <v>4.7573647265716694</v>
      </c>
      <c r="EN7" s="59">
        <f t="shared" si="20"/>
        <v>298.09069805990498</v>
      </c>
      <c r="EO7" s="59">
        <f ca="1">AVERAGE(OFFSET($EN$3,0,0,'Données projet'!$E$15+1,1))-AVERAGE(OFFSET($H$3,0,0,'Données projet'!$E$15+1,1))</f>
        <v>168.72306536277267</v>
      </c>
      <c r="EP7" s="59">
        <f t="shared" si="46"/>
        <v>203.35476578922339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1.2</v>
      </c>
      <c r="FE7" s="12">
        <f>IF('Données projet'!$A$218&gt;35,FE6+FD7-FM6,IF(A7&lt;'Données projet'!$A$218,$FB$205^A7,IF(A7='Données projet'!$A$218,'Données projet'!$B$218,FE6+FD7-FM6)))</f>
        <v>2.7019200770412262</v>
      </c>
      <c r="FF7" s="17">
        <f>FE7*VLOOKUP('Données projet'!$B$16,Paramètres!$A$1:$I$89,3,0)*VLOOKUP('Données projet'!$B$16,Paramètres!$A$1:$I$89,5,0)</f>
        <v>1.4752483620645096</v>
      </c>
      <c r="FG7" s="13">
        <f t="shared" si="47"/>
        <v>0.64977246498857066</v>
      </c>
      <c r="FH7" s="20">
        <f t="shared" si="22"/>
        <v>3.7010779404507814</v>
      </c>
      <c r="FI7" s="59">
        <f t="shared" si="23"/>
        <v>297.03441127378409</v>
      </c>
      <c r="FJ7" s="59">
        <f ca="1">AVERAGE(OFFSET($FI$3,0,0,'Données projet'!$E$16+1,1))-AVERAGE(OFFSET($H$3,0,0,'Données projet'!$E$16+1,1))</f>
        <v>127.76128532861486</v>
      </c>
      <c r="FK7" s="59">
        <f t="shared" si="48"/>
        <v>157.52303491639736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2.9235042735042733</v>
      </c>
      <c r="N8" s="13">
        <f>IF('Données projet'!$A$36&gt;35,N7+M8-V7,IF(A8&lt;'Données projet'!$A$36,$K$205^A8,IF(A8='Données projet'!$A$36,'Données projet'!$B$36,N7+M8-V7)))</f>
        <v>2.1078393020416879</v>
      </c>
      <c r="O8" s="13">
        <f>N8*VLOOKUP('Données projet'!$B$9,Paramètres!$A$1:$I$89,3,0)*VLOOKUP('Données projet'!$B$9,Paramètres!$A$1:$I$89,5,0)</f>
        <v>1.9071730004873191</v>
      </c>
      <c r="P8" s="13">
        <f t="shared" si="33"/>
        <v>0.81527616985217366</v>
      </c>
      <c r="Q8" s="20">
        <f t="shared" si="2"/>
        <v>4.7415989716746161</v>
      </c>
      <c r="R8" s="59">
        <f t="shared" si="0"/>
        <v>298.07493230500791</v>
      </c>
      <c r="S8" s="59">
        <f ca="1">AVERAGE(OFFSET($R$3,0,0,'Données projet'!$E$9+1,1))-AVERAGE(OFFSET($H$3,0,0,'Données projet'!$E$9+1,1))</f>
        <v>153.45079678708987</v>
      </c>
      <c r="T8" s="59">
        <f t="shared" si="34"/>
        <v>115.4217868409637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1.8914529914529912</v>
      </c>
      <c r="AI8" s="13">
        <f>IF('Données projet'!$A$62&gt;35,AI7+AH8-AQ7,IF(A8&lt;'Données projet'!$A$62,$AF$205^A8,IF(A8='Données projet'!$A$62,'Données projet'!$B$62,AI7+AH8-AQ7)))</f>
        <v>1.9602861333429269</v>
      </c>
      <c r="AJ8" s="13">
        <f>AI8*VLOOKUP('Données projet'!$B$10,Paramètres!$A$1:$I$89,3,0)*VLOOKUP('Données projet'!$B$10,Paramètres!$A$1:$I$89,5,0)</f>
        <v>1.7736668934486801</v>
      </c>
      <c r="AK8" s="13">
        <f t="shared" si="35"/>
        <v>0.7646371894358609</v>
      </c>
      <c r="AL8" s="20">
        <f t="shared" si="4"/>
        <v>4.420879611023909</v>
      </c>
      <c r="AM8" s="59">
        <f t="shared" si="5"/>
        <v>297.75421294435722</v>
      </c>
      <c r="AN8" s="59">
        <f ca="1">AVERAGE(OFFSET($AM$3,0,0,'Données projet'!$E$10+1,1))-AVERAGE(OFFSET($H$3,0,0,'Données projet'!$E$10+1,1))</f>
        <v>123.92486590666675</v>
      </c>
      <c r="AO8" s="59">
        <f t="shared" si="36"/>
        <v>54.404493017418986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7.7987854251012134</v>
      </c>
      <c r="BD8" s="12">
        <f>IF('Données projet'!$A$88&gt;35,BD7+BC8-BL7,IF(A8&lt;'Données projet'!$A$88,$BA$205^A8,IF(A8='Données projet'!$A$88,'Données projet'!$B$88,BD7+BC8-BL7)))</f>
        <v>3.7261303649455062</v>
      </c>
      <c r="BE8" s="13">
        <f>BD8*VLOOKUP('Données projet'!$B$11,Paramètres!$A$1:$I$89,3,0)*VLOOKUP('Données projet'!$B$11,Paramètres!$A$1:$I$89,5,0)</f>
        <v>2.082906874004538</v>
      </c>
      <c r="BF8" s="13">
        <f t="shared" si="37"/>
        <v>0.88131009986182929</v>
      </c>
      <c r="BG8" s="20">
        <f t="shared" si="7"/>
        <v>5.1626778961505897</v>
      </c>
      <c r="BH8" s="59">
        <f t="shared" si="8"/>
        <v>298.49601122948388</v>
      </c>
      <c r="BI8" s="59">
        <f ca="1">AVERAGE(OFFSET($BH$3,0,0,'Données projet'!$E$11+1,1))-AVERAGE(OFFSET($H$3,0,0,'Données projet'!$E$11+1,1))</f>
        <v>224.7049802939942</v>
      </c>
      <c r="BJ8" s="59">
        <f t="shared" si="38"/>
        <v>203.48513862195352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5.5864615384615384</v>
      </c>
      <c r="BY8" s="12">
        <f>IF('Données projet'!$A$114&gt;35,BY7+BX8-CG7,IF(A8&lt;'Données projet'!$A$114,$BV$205^A8,IF(A8='Données projet'!$A$114,'Données projet'!$B$114,BY7+BX8-CG7)))</f>
        <v>2.685439448728967</v>
      </c>
      <c r="BZ8" s="13">
        <f>BY8*VLOOKUP('Données projet'!$B$12,Paramètres!$A$1:$I$89,3,0)*VLOOKUP('Données projet'!$B$12,Paramètres!$A$1:$I$89,5,0)</f>
        <v>1.5011606518394924</v>
      </c>
      <c r="CA8" s="13">
        <f t="shared" si="39"/>
        <v>0.65984679906038946</v>
      </c>
      <c r="CB8" s="20">
        <f t="shared" si="10"/>
        <v>3.7637546436506271</v>
      </c>
      <c r="CC8" s="59">
        <f t="shared" si="11"/>
        <v>297.09708797698391</v>
      </c>
      <c r="CD8" s="59">
        <f ca="1">AVERAGE(OFFSET($CC$3,0,0,'Données projet'!$E$12+1,1))-AVERAGE(OFFSET($H$3,0,0,'Données projet'!$E$12+1,1))</f>
        <v>190.08613104982993</v>
      </c>
      <c r="CE8" s="59">
        <f t="shared" si="40"/>
        <v>180.55054525447781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4.3499999999999996</v>
      </c>
      <c r="CT8" s="12">
        <f>IF('Données projet'!$A$140&gt;35,CT7+CS8-DB7,IF(A8&lt;'Données projet'!$A$140,$CQ$205^A8,IF(A8='Données projet'!$A$140,'Données projet'!$B$140,CT7+CS8-DB7)))</f>
        <v>3.0540758099773502</v>
      </c>
      <c r="CU8" s="17">
        <f>CT8*VLOOKUP('Données projet'!$B$13,Paramètres!$A$1:$I$89,3,0)*VLOOKUP('Données projet'!$B$13,Paramètres!$A$1:$I$89,5,0)</f>
        <v>1.8263373343664557</v>
      </c>
      <c r="CV8" s="13">
        <f t="shared" si="41"/>
        <v>0.78466635980162813</v>
      </c>
      <c r="CW8" s="20">
        <f t="shared" si="13"/>
        <v>4.5474981006760791</v>
      </c>
      <c r="CX8" s="59">
        <f t="shared" si="14"/>
        <v>297.88083143400939</v>
      </c>
      <c r="CY8" s="59">
        <f ca="1">AVERAGE(OFFSET($CX$3,0,0,'Données projet'!$E$13+1,1))-AVERAGE(OFFSET($H$3,0,0,'Données projet'!$E$13+1,1))</f>
        <v>270.30888762640245</v>
      </c>
      <c r="CZ8" s="59">
        <f t="shared" si="42"/>
        <v>202.23783851977691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3.45</v>
      </c>
      <c r="DO8" s="12">
        <f>IF('Données projet'!$A$166&gt;35,DO7+DN8-DW7,IF(A8&lt;'Données projet'!$A$166,$DL$205^A8,IF(A8='Données projet'!$A$166,'Données projet'!$B$166,DO7+DN8-DW7)))</f>
        <v>2.882121417102006</v>
      </c>
      <c r="DP8" s="17">
        <f>DO8*VLOOKUP('Données projet'!$B$14,Paramètres!$A$1:$I$89,3,0)*VLOOKUP('Données projet'!$B$14,Paramètres!$A$1:$I$89,5,0)</f>
        <v>1.7235086074269996</v>
      </c>
      <c r="DQ8" s="13">
        <f t="shared" si="43"/>
        <v>0.7454988797566594</v>
      </c>
      <c r="DR8" s="20">
        <f t="shared" si="16"/>
        <v>4.300188040178206</v>
      </c>
      <c r="DS8" s="59">
        <f t="shared" si="17"/>
        <v>297.63352137351154</v>
      </c>
      <c r="DT8" s="59">
        <f ca="1">AVERAGE(OFFSET($DS$3,0,0,'Données projet'!$E$14+1,1))-AVERAGE(OFFSET($H$3,0,0,'Données projet'!$E$14+1,1))</f>
        <v>221.14988592347311</v>
      </c>
      <c r="DU8" s="59">
        <f t="shared" si="44"/>
        <v>179.09262081171607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2.2999999999999998</v>
      </c>
      <c r="EJ8" s="12">
        <f>IF('Données projet'!$A$192&gt;35,EJ7+EI8-ER7,IF(A8&lt;'Données projet'!$A$192,$EG$205^A8,IF(A8='Données projet'!$A$192,'Données projet'!$B$192,EJ7+EI8-ER7)))</f>
        <v>4.79583152331272</v>
      </c>
      <c r="EK8" s="17">
        <f>EJ8*VLOOKUP('Données projet'!$B$15,Paramètres!$A$1:$I$89,3,0)*VLOOKUP('Données projet'!$B$15,Paramètres!$A$1:$I$89,5,0)</f>
        <v>2.6185240117287449</v>
      </c>
      <c r="EL8" s="13">
        <f t="shared" si="45"/>
        <v>1.0788146661414966</v>
      </c>
      <c r="EM8" s="20">
        <f t="shared" si="19"/>
        <v>6.4395315306240031</v>
      </c>
      <c r="EN8" s="59">
        <f t="shared" si="20"/>
        <v>299.7728648639573</v>
      </c>
      <c r="EO8" s="59">
        <f ca="1">AVERAGE(OFFSET($EN$3,0,0,'Données projet'!$E$15+1,1))-AVERAGE(OFFSET($H$3,0,0,'Données projet'!$E$15+1,1))</f>
        <v>168.72306536277267</v>
      </c>
      <c r="EP8" s="59">
        <f t="shared" si="46"/>
        <v>203.35476578922339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1.2</v>
      </c>
      <c r="FE8" s="12">
        <f>IF('Données projet'!$A$218&gt;35,FE7+FD8-FM7,IF(A8&lt;'Données projet'!$A$218,$FB$205^A8,IF(A8='Données projet'!$A$218,'Données projet'!$B$218,FE7+FD8-FM7)))</f>
        <v>3.4641016151377535</v>
      </c>
      <c r="FF8" s="17">
        <f>FE8*VLOOKUP('Données projet'!$B$16,Paramètres!$A$1:$I$89,3,0)*VLOOKUP('Données projet'!$B$16,Paramètres!$A$1:$I$89,5,0)</f>
        <v>1.8913994818652133</v>
      </c>
      <c r="FG8" s="13">
        <f t="shared" si="47"/>
        <v>0.80931531438020843</v>
      </c>
      <c r="FH8" s="20">
        <f t="shared" si="22"/>
        <v>4.7037449367941093</v>
      </c>
      <c r="FI8" s="59">
        <f t="shared" si="23"/>
        <v>298.03707827012744</v>
      </c>
      <c r="FJ8" s="59">
        <f ca="1">AVERAGE(OFFSET($FI$3,0,0,'Données projet'!$E$16+1,1))-AVERAGE(OFFSET($H$3,0,0,'Données projet'!$E$16+1,1))</f>
        <v>127.76128532861486</v>
      </c>
      <c r="FK8" s="59">
        <f t="shared" si="48"/>
        <v>157.52303491639736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2.9235042735042733</v>
      </c>
      <c r="N9" s="13">
        <f>IF('Données projet'!$A$36&gt;35,N8+M9-V8,IF(A9&lt;'Données projet'!$A$36,$K$205^A9,IF(A9='Données projet'!$A$36,'Données projet'!$B$36,N8+M9-V8)))</f>
        <v>2.4468367659615553</v>
      </c>
      <c r="O9" s="13">
        <f>N9*VLOOKUP('Données projet'!$B$9,Paramètres!$A$1:$I$89,3,0)*VLOOKUP('Données projet'!$B$9,Paramètres!$A$1:$I$89,5,0)</f>
        <v>2.2138979058420154</v>
      </c>
      <c r="P9" s="13">
        <f t="shared" si="33"/>
        <v>0.93010785243265093</v>
      </c>
      <c r="Q9" s="20">
        <f t="shared" si="2"/>
        <v>5.4758100289950429</v>
      </c>
      <c r="R9" s="59">
        <f t="shared" si="0"/>
        <v>298.80914336232837</v>
      </c>
      <c r="S9" s="59">
        <f ca="1">AVERAGE(OFFSET($R$3,0,0,'Données projet'!$E$9+1,1))-AVERAGE(OFFSET($H$3,0,0,'Données projet'!$E$9+1,1))</f>
        <v>153.45079678708987</v>
      </c>
      <c r="T9" s="59">
        <f t="shared" si="34"/>
        <v>115.4217868409637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1.8914529914529912</v>
      </c>
      <c r="AI9" s="13">
        <f>IF('Données projet'!$A$62&gt;35,AI8+AH9-AQ8,IF(A9&lt;'Données projet'!$A$62,$AF$205^A9,IF(A9='Données projet'!$A$62,'Données projet'!$B$62,AI8+AH9-AQ8)))</f>
        <v>2.2427628898547267</v>
      </c>
      <c r="AJ9" s="13">
        <f>AI9*VLOOKUP('Données projet'!$B$10,Paramètres!$A$1:$I$89,3,0)*VLOOKUP('Données projet'!$B$10,Paramètres!$A$1:$I$89,5,0)</f>
        <v>2.0292518627405567</v>
      </c>
      <c r="AK9" s="13">
        <f t="shared" si="35"/>
        <v>0.86122001263283543</v>
      </c>
      <c r="AL9" s="20">
        <f t="shared" si="4"/>
        <v>5.034238516275324</v>
      </c>
      <c r="AM9" s="59">
        <f t="shared" si="5"/>
        <v>298.36757184960862</v>
      </c>
      <c r="AN9" s="59">
        <f ca="1">AVERAGE(OFFSET($AM$3,0,0,'Données projet'!$E$10+1,1))-AVERAGE(OFFSET($H$3,0,0,'Données projet'!$E$10+1,1))</f>
        <v>123.92486590666675</v>
      </c>
      <c r="AO9" s="59">
        <f t="shared" si="36"/>
        <v>54.404493017418986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7.7987854251012134</v>
      </c>
      <c r="BD9" s="12">
        <f>IF('Données projet'!$A$88&gt;35,BD8+BC9-BL8,IF(A9&lt;'Données projet'!$A$88,$BA$205^A9,IF(A9='Données projet'!$A$88,'Données projet'!$B$88,BD8+BC9-BL8)))</f>
        <v>4.8474088835420224</v>
      </c>
      <c r="BE9" s="13">
        <f>BD9*VLOOKUP('Données projet'!$B$11,Paramètres!$A$1:$I$89,3,0)*VLOOKUP('Données projet'!$B$11,Paramètres!$A$1:$I$89,5,0)</f>
        <v>2.7097015658999908</v>
      </c>
      <c r="BF9" s="13">
        <f t="shared" si="37"/>
        <v>1.1119402957316735</v>
      </c>
      <c r="BG9" s="20">
        <f t="shared" si="7"/>
        <v>6.6560262423418139</v>
      </c>
      <c r="BH9" s="59">
        <f t="shared" si="8"/>
        <v>299.98935957567511</v>
      </c>
      <c r="BI9" s="59">
        <f ca="1">AVERAGE(OFFSET($BH$3,0,0,'Données projet'!$E$11+1,1))-AVERAGE(OFFSET($H$3,0,0,'Données projet'!$E$11+1,1))</f>
        <v>224.7049802939942</v>
      </c>
      <c r="BJ9" s="59">
        <f t="shared" si="38"/>
        <v>203.48513862195352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5.5864615384615384</v>
      </c>
      <c r="BY9" s="12">
        <f>IF('Données projet'!$A$114&gt;35,BY8+BX9-CG8,IF(A9&lt;'Données projet'!$A$114,$BV$205^A9,IF(A9='Données projet'!$A$114,'Données projet'!$B$114,BY8+BX9-CG8)))</f>
        <v>3.2720387420459218</v>
      </c>
      <c r="BZ9" s="13">
        <f>BY9*VLOOKUP('Données projet'!$B$12,Paramètres!$A$1:$I$89,3,0)*VLOOKUP('Données projet'!$B$12,Paramètres!$A$1:$I$89,5,0)</f>
        <v>1.8290696568036704</v>
      </c>
      <c r="CA9" s="13">
        <f t="shared" si="39"/>
        <v>0.78570353923733283</v>
      </c>
      <c r="CB9" s="20">
        <f t="shared" si="10"/>
        <v>4.5540633164380813</v>
      </c>
      <c r="CC9" s="59">
        <f t="shared" si="11"/>
        <v>297.8873966497714</v>
      </c>
      <c r="CD9" s="59">
        <f ca="1">AVERAGE(OFFSET($CC$3,0,0,'Données projet'!$E$12+1,1))-AVERAGE(OFFSET($H$3,0,0,'Données projet'!$E$12+1,1))</f>
        <v>190.08613104982993</v>
      </c>
      <c r="CE9" s="59">
        <f t="shared" si="40"/>
        <v>180.55054525447781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4.3499999999999996</v>
      </c>
      <c r="CT9" s="12">
        <f>IF('Données projet'!$A$140&gt;35,CT8+CS9-DB8,IF(A9&lt;'Données projet'!$A$140,$CQ$205^A9,IF(A9='Données projet'!$A$140,'Données projet'!$B$140,CT8+CS9-DB8)))</f>
        <v>3.8181745258867665</v>
      </c>
      <c r="CU9" s="17">
        <f>CT9*VLOOKUP('Données projet'!$B$13,Paramètres!$A$1:$I$89,3,0)*VLOOKUP('Données projet'!$B$13,Paramètres!$A$1:$I$89,5,0)</f>
        <v>2.2832683664802866</v>
      </c>
      <c r="CV9" s="13">
        <f t="shared" si="41"/>
        <v>0.95581313527995093</v>
      </c>
      <c r="CW9" s="20">
        <f t="shared" si="13"/>
        <v>5.6414002822324134</v>
      </c>
      <c r="CX9" s="59">
        <f t="shared" si="14"/>
        <v>298.97473361556575</v>
      </c>
      <c r="CY9" s="59">
        <f ca="1">AVERAGE(OFFSET($CX$3,0,0,'Données projet'!$E$13+1,1))-AVERAGE(OFFSET($H$3,0,0,'Données projet'!$E$13+1,1))</f>
        <v>270.30888762640245</v>
      </c>
      <c r="CZ9" s="59">
        <f t="shared" si="42"/>
        <v>202.23783851977691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3.45</v>
      </c>
      <c r="DO9" s="12">
        <f>IF('Données projet'!$A$166&gt;35,DO8+DN9-DW8,IF(A9&lt;'Données projet'!$A$166,$DL$205^A9,IF(A9='Données projet'!$A$166,'Données projet'!$B$166,DO8+DN9-DW8)))</f>
        <v>3.5616786028153165</v>
      </c>
      <c r="DP9" s="17">
        <f>DO9*VLOOKUP('Données projet'!$B$14,Paramètres!$A$1:$I$89,3,0)*VLOOKUP('Données projet'!$B$14,Paramètres!$A$1:$I$89,5,0)</f>
        <v>2.1298838044835593</v>
      </c>
      <c r="DQ9" s="13">
        <f t="shared" si="43"/>
        <v>0.89885025923782924</v>
      </c>
      <c r="DR9" s="20">
        <f t="shared" si="16"/>
        <v>5.275045160981418</v>
      </c>
      <c r="DS9" s="59">
        <f t="shared" si="17"/>
        <v>298.60837849431471</v>
      </c>
      <c r="DT9" s="59">
        <f ca="1">AVERAGE(OFFSET($DS$3,0,0,'Données projet'!$E$14+1,1))-AVERAGE(OFFSET($H$3,0,0,'Données projet'!$E$14+1,1))</f>
        <v>221.14988592347311</v>
      </c>
      <c r="DU9" s="59">
        <f t="shared" si="44"/>
        <v>179.09262081171607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2.2999999999999998</v>
      </c>
      <c r="EJ9" s="12">
        <f>IF('Données projet'!$A$192&gt;35,EJ8+EI9-ER8,IF(A9&lt;'Données projet'!$A$192,$EG$205^A9,IF(A9='Données projet'!$A$192,'Données projet'!$B$192,EJ8+EI9-ER8)))</f>
        <v>6.5620071855158564</v>
      </c>
      <c r="EK9" s="17">
        <f>EJ9*VLOOKUP('Données projet'!$B$15,Paramètres!$A$1:$I$89,3,0)*VLOOKUP('Données projet'!$B$15,Paramètres!$A$1:$I$89,5,0)</f>
        <v>3.5828559232916577</v>
      </c>
      <c r="EL9" s="13">
        <f t="shared" si="45"/>
        <v>1.4232104158797276</v>
      </c>
      <c r="EM9" s="20">
        <f t="shared" si="19"/>
        <v>8.7188988740568281</v>
      </c>
      <c r="EN9" s="59">
        <f t="shared" si="20"/>
        <v>302.05223220739015</v>
      </c>
      <c r="EO9" s="59">
        <f ca="1">AVERAGE(OFFSET($EN$3,0,0,'Données projet'!$E$15+1,1))-AVERAGE(OFFSET($H$3,0,0,'Données projet'!$E$15+1,1))</f>
        <v>168.72306536277267</v>
      </c>
      <c r="EP9" s="59">
        <f t="shared" si="46"/>
        <v>203.35476578922339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1.2</v>
      </c>
      <c r="FE9" s="12">
        <f>IF('Données projet'!$A$218&gt;35,FE8+FD9-FM8,IF(A9&lt;'Données projet'!$A$218,$FB$205^A9,IF(A9='Données projet'!$A$218,'Données projet'!$B$218,FE8+FD9-FM8)))</f>
        <v>4.4412860698458383</v>
      </c>
      <c r="FF9" s="17">
        <f>FE9*VLOOKUP('Données projet'!$B$16,Paramètres!$A$1:$I$89,3,0)*VLOOKUP('Données projet'!$B$16,Paramètres!$A$1:$I$89,5,0)</f>
        <v>2.4249421941358276</v>
      </c>
      <c r="FG9" s="13">
        <f t="shared" si="47"/>
        <v>1.008031754780278</v>
      </c>
      <c r="FH9" s="20">
        <f t="shared" si="22"/>
        <v>5.9790962943622175</v>
      </c>
      <c r="FI9" s="59">
        <f t="shared" si="23"/>
        <v>299.31242962769551</v>
      </c>
      <c r="FJ9" s="59">
        <f ca="1">AVERAGE(OFFSET($FI$3,0,0,'Données projet'!$E$16+1,1))-AVERAGE(OFFSET($H$3,0,0,'Données projet'!$E$16+1,1))</f>
        <v>127.76128532861486</v>
      </c>
      <c r="FK9" s="59">
        <f t="shared" si="48"/>
        <v>157.52303491639736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2.9235042735042733</v>
      </c>
      <c r="N10" s="13">
        <f>IF('Données projet'!$A$36&gt;35,N9+M10-V9,IF(A10&lt;'Données projet'!$A$36,$K$205^A10,IF(A10='Données projet'!$A$36,'Données projet'!$B$36,N9+M10-V9)))</f>
        <v>2.8403541738035183</v>
      </c>
      <c r="O10" s="13">
        <f>N10*VLOOKUP('Données projet'!$B$9,Paramètres!$A$1:$I$89,3,0)*VLOOKUP('Données projet'!$B$9,Paramètres!$A$1:$I$89,5,0)</f>
        <v>2.5699524564574232</v>
      </c>
      <c r="P10" s="13">
        <f t="shared" si="33"/>
        <v>1.0611135823014897</v>
      </c>
      <c r="Q10" s="20">
        <f t="shared" si="2"/>
        <v>6.3241066841717739</v>
      </c>
      <c r="R10" s="59">
        <f t="shared" si="0"/>
        <v>299.65744001750511</v>
      </c>
      <c r="S10" s="59">
        <f ca="1">AVERAGE(OFFSET($R$3,0,0,'Données projet'!$E$9+1,1))-AVERAGE(OFFSET($H$3,0,0,'Données projet'!$E$9+1,1))</f>
        <v>153.45079678708987</v>
      </c>
      <c r="T10" s="59">
        <f t="shared" si="34"/>
        <v>115.4217868409637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1.8914529914529912</v>
      </c>
      <c r="AI10" s="13">
        <f>IF('Données projet'!$A$62&gt;35,AI9+AH10-AQ9,IF(A10&lt;'Données projet'!$A$62,$AF$205^A10,IF(A10='Données projet'!$A$62,'Données projet'!$B$62,AI9+AH10-AQ9)))</f>
        <v>2.5659444784888423</v>
      </c>
      <c r="AJ10" s="13">
        <f>AI10*VLOOKUP('Données projet'!$B$10,Paramètres!$A$1:$I$89,3,0)*VLOOKUP('Données projet'!$B$10,Paramètres!$A$1:$I$89,5,0)</f>
        <v>2.3216665641367045</v>
      </c>
      <c r="AK10" s="13">
        <f t="shared" si="35"/>
        <v>0.97000240167041518</v>
      </c>
      <c r="AL10" s="20">
        <f t="shared" si="4"/>
        <v>5.7329901154473992</v>
      </c>
      <c r="AM10" s="59">
        <f t="shared" si="5"/>
        <v>299.06632344878074</v>
      </c>
      <c r="AN10" s="59">
        <f ca="1">AVERAGE(OFFSET($AM$3,0,0,'Données projet'!$E$10+1,1))-AVERAGE(OFFSET($H$3,0,0,'Données projet'!$E$10+1,1))</f>
        <v>123.92486590666675</v>
      </c>
      <c r="AO10" s="59">
        <f t="shared" si="36"/>
        <v>54.404493017418986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7.7987854251012134</v>
      </c>
      <c r="BD10" s="12">
        <f>IF('Données projet'!$A$88&gt;35,BD9+BC10-BL9,IF(A10&lt;'Données projet'!$A$88,$BA$205^A10,IF(A10='Données projet'!$A$88,'Données projet'!$B$88,BD9+BC10-BL9)))</f>
        <v>6.3061059552020682</v>
      </c>
      <c r="BE10" s="13">
        <f>BD10*VLOOKUP('Données projet'!$B$11,Paramètres!$A$1:$I$89,3,0)*VLOOKUP('Données projet'!$B$11,Paramètres!$A$1:$I$89,5,0)</f>
        <v>3.5251132289579559</v>
      </c>
      <c r="BF10" s="13">
        <f t="shared" si="37"/>
        <v>1.4029241483397099</v>
      </c>
      <c r="BG10" s="20">
        <f t="shared" si="7"/>
        <v>8.5829984321267663</v>
      </c>
      <c r="BH10" s="59">
        <f t="shared" si="8"/>
        <v>301.91633176546009</v>
      </c>
      <c r="BI10" s="59">
        <f ca="1">AVERAGE(OFFSET($BH$3,0,0,'Données projet'!$E$11+1,1))-AVERAGE(OFFSET($H$3,0,0,'Données projet'!$E$11+1,1))</f>
        <v>224.7049802939942</v>
      </c>
      <c r="BJ10" s="59">
        <f t="shared" si="38"/>
        <v>203.48513862195352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5.5864615384615384</v>
      </c>
      <c r="BY10" s="12">
        <f>IF('Données projet'!$A$114&gt;35,BY9+BX10-CG9,IF(A10&lt;'Données projet'!$A$114,$BV$205^A10,IF(A10='Données projet'!$A$114,'Données projet'!$B$114,BY9+BX10-CG9)))</f>
        <v>3.9867730156853014</v>
      </c>
      <c r="BZ10" s="13">
        <f>BY10*VLOOKUP('Données projet'!$B$12,Paramètres!$A$1:$I$89,3,0)*VLOOKUP('Données projet'!$B$12,Paramètres!$A$1:$I$89,5,0)</f>
        <v>2.2286061157680837</v>
      </c>
      <c r="CA10" s="13">
        <f t="shared" si="39"/>
        <v>0.93556572896790324</v>
      </c>
      <c r="CB10" s="20">
        <f t="shared" si="10"/>
        <v>5.5109326295818439</v>
      </c>
      <c r="CC10" s="59">
        <f t="shared" si="11"/>
        <v>298.84426596291513</v>
      </c>
      <c r="CD10" s="59">
        <f ca="1">AVERAGE(OFFSET($CC$3,0,0,'Données projet'!$E$12+1,1))-AVERAGE(OFFSET($H$3,0,0,'Données projet'!$E$12+1,1))</f>
        <v>190.08613104982993</v>
      </c>
      <c r="CE10" s="59">
        <f t="shared" si="40"/>
        <v>180.55054525447781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4.3499999999999996</v>
      </c>
      <c r="CT10" s="12">
        <f>IF('Données projet'!$A$140&gt;35,CT9+CS10-DB9,IF(A10&lt;'Données projet'!$A$140,$CQ$205^A10,IF(A10='Données projet'!$A$140,'Données projet'!$B$140,CT9+CS10-DB9)))</f>
        <v>4.7734429716853528</v>
      </c>
      <c r="CU10" s="17">
        <f>CT10*VLOOKUP('Données projet'!$B$13,Paramètres!$A$1:$I$89,3,0)*VLOOKUP('Données projet'!$B$13,Paramètres!$A$1:$I$89,5,0)</f>
        <v>2.8545188970678415</v>
      </c>
      <c r="CV10" s="13">
        <f t="shared" si="41"/>
        <v>1.1642894309941516</v>
      </c>
      <c r="CW10" s="20">
        <f t="shared" si="13"/>
        <v>6.9994245047079717</v>
      </c>
      <c r="CX10" s="59">
        <f t="shared" si="14"/>
        <v>300.33275783804129</v>
      </c>
      <c r="CY10" s="59">
        <f ca="1">AVERAGE(OFFSET($CX$3,0,0,'Données projet'!$E$13+1,1))-AVERAGE(OFFSET($H$3,0,0,'Données projet'!$E$13+1,1))</f>
        <v>270.30888762640245</v>
      </c>
      <c r="CZ10" s="59">
        <f t="shared" si="42"/>
        <v>202.23783851977691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3.45</v>
      </c>
      <c r="DO10" s="12">
        <f>IF('Données projet'!$A$166&gt;35,DO9+DN10-DW9,IF(A10&lt;'Données projet'!$A$166,$DL$205^A10,IF(A10='Données projet'!$A$166,'Données projet'!$B$166,DO9+DN10-DW9)))</f>
        <v>4.4014642806089279</v>
      </c>
      <c r="DP10" s="17">
        <f>DO10*VLOOKUP('Données projet'!$B$14,Paramètres!$A$1:$I$89,3,0)*VLOOKUP('Données projet'!$B$14,Paramètres!$A$1:$I$89,5,0)</f>
        <v>2.6320756398041394</v>
      </c>
      <c r="DQ10" s="13">
        <f t="shared" si="43"/>
        <v>1.0837464823496885</v>
      </c>
      <c r="DR10" s="20">
        <f t="shared" si="16"/>
        <v>6.4717235294179156</v>
      </c>
      <c r="DS10" s="59">
        <f t="shared" si="17"/>
        <v>299.80505686275126</v>
      </c>
      <c r="DT10" s="59">
        <f ca="1">AVERAGE(OFFSET($DS$3,0,0,'Données projet'!$E$14+1,1))-AVERAGE(OFFSET($H$3,0,0,'Données projet'!$E$14+1,1))</f>
        <v>221.14988592347311</v>
      </c>
      <c r="DU10" s="59">
        <f t="shared" si="44"/>
        <v>179.09262081171607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2.2999999999999998</v>
      </c>
      <c r="EJ10" s="12">
        <f>IF('Données projet'!$A$192&gt;35,EJ9+EI10-ER9,IF(A10&lt;'Données projet'!$A$192,$EG$205^A10,IF(A10='Données projet'!$A$192,'Données projet'!$B$192,EJ9+EI10-ER9)))</f>
        <v>8.9786178045341511</v>
      </c>
      <c r="EK10" s="17">
        <f>EJ10*VLOOKUP('Données projet'!$B$15,Paramètres!$A$1:$I$89,3,0)*VLOOKUP('Données projet'!$B$15,Paramètres!$A$1:$I$89,5,0)</f>
        <v>4.9023253212756464</v>
      </c>
      <c r="EL10" s="13">
        <f t="shared" si="45"/>
        <v>1.8775494544517806</v>
      </c>
      <c r="EM10" s="20">
        <f t="shared" si="19"/>
        <v>11.808281901058599</v>
      </c>
      <c r="EN10" s="59">
        <f t="shared" si="20"/>
        <v>305.14161523439191</v>
      </c>
      <c r="EO10" s="59">
        <f ca="1">AVERAGE(OFFSET($EN$3,0,0,'Données projet'!$E$15+1,1))-AVERAGE(OFFSET($H$3,0,0,'Données projet'!$E$15+1,1))</f>
        <v>168.72306536277267</v>
      </c>
      <c r="EP10" s="59">
        <f t="shared" si="46"/>
        <v>203.35476578922339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1.2</v>
      </c>
      <c r="FE10" s="12">
        <f>IF('Données projet'!$A$218&gt;35,FE9+FD10-FM9,IF(A10&lt;'Données projet'!$A$218,$FB$205^A10,IF(A10='Données projet'!$A$218,'Données projet'!$B$218,FE9+FD10-FM9)))</f>
        <v>5.6941233675162577</v>
      </c>
      <c r="FF10" s="17">
        <f>FE10*VLOOKUP('Données projet'!$B$16,Paramètres!$A$1:$I$89,3,0)*VLOOKUP('Données projet'!$B$16,Paramètres!$A$1:$I$89,5,0)</f>
        <v>3.1089913586638769</v>
      </c>
      <c r="FG10" s="13">
        <f t="shared" si="47"/>
        <v>1.2555403321677903</v>
      </c>
      <c r="FH10" s="20">
        <f t="shared" si="22"/>
        <v>7.6015593615318195</v>
      </c>
      <c r="FI10" s="59">
        <f t="shared" si="23"/>
        <v>300.93489269486514</v>
      </c>
      <c r="FJ10" s="59">
        <f ca="1">AVERAGE(OFFSET($FI$3,0,0,'Données projet'!$E$16+1,1))-AVERAGE(OFFSET($H$3,0,0,'Données projet'!$E$16+1,1))</f>
        <v>127.76128532861486</v>
      </c>
      <c r="FK10" s="59">
        <f t="shared" si="48"/>
        <v>157.52303491639736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2.9235042735042733</v>
      </c>
      <c r="N11" s="13">
        <f>IF('Données projet'!$A$36&gt;35,N10+M11-V10,IF(A11&lt;'Données projet'!$A$36,$K$205^A11,IF(A11='Données projet'!$A$36,'Données projet'!$B$36,N10+M11-V10)))</f>
        <v>3.2971598043944974</v>
      </c>
      <c r="O11" s="13">
        <f>N11*VLOOKUP('Données projet'!$B$9,Paramètres!$A$1:$I$89,3,0)*VLOOKUP('Données projet'!$B$9,Paramètres!$A$1:$I$89,5,0)</f>
        <v>2.9832701910161412</v>
      </c>
      <c r="P11" s="13">
        <f t="shared" si="33"/>
        <v>1.2105714746948997</v>
      </c>
      <c r="Q11" s="20">
        <f t="shared" si="2"/>
        <v>7.3042742344467291</v>
      </c>
      <c r="R11" s="59">
        <f t="shared" si="0"/>
        <v>300.63760756778004</v>
      </c>
      <c r="S11" s="59">
        <f ca="1">AVERAGE(OFFSET($R$3,0,0,'Données projet'!$E$9+1,1))-AVERAGE(OFFSET($H$3,0,0,'Données projet'!$E$9+1,1))</f>
        <v>153.45079678708987</v>
      </c>
      <c r="T11" s="59">
        <f t="shared" si="34"/>
        <v>115.4217868409637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1.8914529914529912</v>
      </c>
      <c r="AI11" s="13">
        <f>IF('Données projet'!$A$62&gt;35,AI10+AH11-AQ10,IF(A11&lt;'Données projet'!$A$62,$AF$205^A11,IF(A11='Données projet'!$A$62,'Données projet'!$B$62,AI10+AH11-AQ10)))</f>
        <v>2.9356964556845573</v>
      </c>
      <c r="AJ11" s="13">
        <f>AI11*VLOOKUP('Données projet'!$B$10,Paramètres!$A$1:$I$89,3,0)*VLOOKUP('Données projet'!$B$10,Paramètres!$A$1:$I$89,5,0)</f>
        <v>2.6562181531033873</v>
      </c>
      <c r="AK11" s="13">
        <f t="shared" si="35"/>
        <v>1.0925253076387924</v>
      </c>
      <c r="AL11" s="20">
        <f t="shared" si="4"/>
        <v>6.5290615274592954</v>
      </c>
      <c r="AM11" s="59">
        <f t="shared" si="5"/>
        <v>299.86239486079262</v>
      </c>
      <c r="AN11" s="59">
        <f ca="1">AVERAGE(OFFSET($AM$3,0,0,'Données projet'!$E$10+1,1))-AVERAGE(OFFSET($H$3,0,0,'Données projet'!$E$10+1,1))</f>
        <v>123.92486590666675</v>
      </c>
      <c r="AO11" s="59">
        <f t="shared" si="36"/>
        <v>54.404493017418986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7.7987854251012134</v>
      </c>
      <c r="BD11" s="12">
        <f>IF('Données projet'!$A$88&gt;35,BD10+BC11-BL10,IF(A11&lt;'Données projet'!$A$88,$BA$205^A11,IF(A11='Données projet'!$A$88,'Données projet'!$B$88,BD10+BC11-BL10)))</f>
        <v>8.2037586004457506</v>
      </c>
      <c r="BE11" s="13">
        <f>BD11*VLOOKUP('Données projet'!$B$11,Paramètres!$A$1:$I$89,3,0)*VLOOKUP('Données projet'!$B$11,Paramètres!$A$1:$I$89,5,0)</f>
        <v>4.5859010576491741</v>
      </c>
      <c r="BF11" s="13">
        <f t="shared" si="37"/>
        <v>1.770055616789747</v>
      </c>
      <c r="BG11" s="20">
        <f t="shared" si="7"/>
        <v>11.069957874647789</v>
      </c>
      <c r="BH11" s="59">
        <f t="shared" si="8"/>
        <v>304.40329120798111</v>
      </c>
      <c r="BI11" s="59">
        <f ca="1">AVERAGE(OFFSET($BH$3,0,0,'Données projet'!$E$11+1,1))-AVERAGE(OFFSET($H$3,0,0,'Données projet'!$E$11+1,1))</f>
        <v>224.7049802939942</v>
      </c>
      <c r="BJ11" s="59">
        <f t="shared" si="38"/>
        <v>203.48513862195352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5.5864615384615384</v>
      </c>
      <c r="BY11" s="12">
        <f>IF('Données projet'!$A$114&gt;35,BY10+BX11-CG10,IF(A11&lt;'Données projet'!$A$114,$BV$205^A11,IF(A11='Données projet'!$A$114,'Données projet'!$B$114,BY10+BX11-CG10)))</f>
        <v>4.8576316882660562</v>
      </c>
      <c r="BZ11" s="13">
        <f>BY11*VLOOKUP('Données projet'!$B$12,Paramètres!$A$1:$I$89,3,0)*VLOOKUP('Données projet'!$B$12,Paramètres!$A$1:$I$89,5,0)</f>
        <v>2.7154161137407256</v>
      </c>
      <c r="CA11" s="13">
        <f t="shared" si="39"/>
        <v>1.1140120789946608</v>
      </c>
      <c r="CB11" s="20">
        <f t="shared" si="10"/>
        <v>6.6695874356807971</v>
      </c>
      <c r="CC11" s="59">
        <f t="shared" si="11"/>
        <v>300.00292076901411</v>
      </c>
      <c r="CD11" s="59">
        <f ca="1">AVERAGE(OFFSET($CC$3,0,0,'Données projet'!$E$12+1,1))-AVERAGE(OFFSET($H$3,0,0,'Données projet'!$E$12+1,1))</f>
        <v>190.08613104982993</v>
      </c>
      <c r="CE11" s="59">
        <f t="shared" si="40"/>
        <v>180.55054525447781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4.3499999999999996</v>
      </c>
      <c r="CT11" s="12">
        <f>IF('Données projet'!$A$140&gt;35,CT10+CS11-DB10,IF(A11&lt;'Données projet'!$A$140,$CQ$205^A11,IF(A11='Données projet'!$A$140,'Données projet'!$B$140,CT10+CS11-DB10)))</f>
        <v>5.9677098701087603</v>
      </c>
      <c r="CU11" s="17">
        <f>CT11*VLOOKUP('Données projet'!$B$13,Paramètres!$A$1:$I$89,3,0)*VLOOKUP('Données projet'!$B$13,Paramètres!$A$1:$I$89,5,0)</f>
        <v>3.5686905023250386</v>
      </c>
      <c r="CV11" s="13">
        <f t="shared" si="41"/>
        <v>1.4182373406363031</v>
      </c>
      <c r="CW11" s="20">
        <f t="shared" si="13"/>
        <v>8.6855659931576685</v>
      </c>
      <c r="CX11" s="59">
        <f t="shared" si="14"/>
        <v>302.01889932649101</v>
      </c>
      <c r="CY11" s="59">
        <f ca="1">AVERAGE(OFFSET($CX$3,0,0,'Données projet'!$E$13+1,1))-AVERAGE(OFFSET($H$3,0,0,'Données projet'!$E$13+1,1))</f>
        <v>270.30888762640245</v>
      </c>
      <c r="CZ11" s="59">
        <f t="shared" si="42"/>
        <v>202.23783851977691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3.45</v>
      </c>
      <c r="DO11" s="12">
        <f>IF('Données projet'!$A$166&gt;35,DO10+DN11-DW10,IF(A11&lt;'Données projet'!$A$166,$DL$205^A11,IF(A11='Données projet'!$A$166,'Données projet'!$B$166,DO10+DN11-DW10)))</f>
        <v>5.4392577135295239</v>
      </c>
      <c r="DP11" s="17">
        <f>DO11*VLOOKUP('Données projet'!$B$14,Paramètres!$A$1:$I$89,3,0)*VLOOKUP('Données projet'!$B$14,Paramètres!$A$1:$I$89,5,0)</f>
        <v>3.2526761126906556</v>
      </c>
      <c r="DQ11" s="13">
        <f t="shared" si="43"/>
        <v>1.3066764190525282</v>
      </c>
      <c r="DR11" s="20">
        <f t="shared" si="16"/>
        <v>7.9408723261193765</v>
      </c>
      <c r="DS11" s="59">
        <f t="shared" si="17"/>
        <v>301.27420565945272</v>
      </c>
      <c r="DT11" s="59">
        <f ca="1">AVERAGE(OFFSET($DS$3,0,0,'Données projet'!$E$14+1,1))-AVERAGE(OFFSET($H$3,0,0,'Données projet'!$E$14+1,1))</f>
        <v>221.14988592347311</v>
      </c>
      <c r="DU11" s="59">
        <f t="shared" si="44"/>
        <v>179.09262081171607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2.2999999999999998</v>
      </c>
      <c r="EJ11" s="12">
        <f>IF('Données projet'!$A$192&gt;35,EJ10+EI11-ER10,IF(A11&lt;'Données projet'!$A$192,$EG$205^A11,IF(A11='Données projet'!$A$192,'Données projet'!$B$192,EJ10+EI11-ER10)))</f>
        <v>12.285201067417038</v>
      </c>
      <c r="EK11" s="17">
        <f>EJ11*VLOOKUP('Données projet'!$B$15,Paramètres!$A$1:$I$89,3,0)*VLOOKUP('Données projet'!$B$15,Paramètres!$A$1:$I$89,5,0)</f>
        <v>6.7077197828097024</v>
      </c>
      <c r="EL11" s="13">
        <f t="shared" si="45"/>
        <v>2.4769295633162978</v>
      </c>
      <c r="EM11" s="20">
        <f t="shared" si="19"/>
        <v>15.996597611169451</v>
      </c>
      <c r="EN11" s="59">
        <f t="shared" si="20"/>
        <v>309.32993094450279</v>
      </c>
      <c r="EO11" s="59">
        <f ca="1">AVERAGE(OFFSET($EN$3,0,0,'Données projet'!$E$15+1,1))-AVERAGE(OFFSET($H$3,0,0,'Données projet'!$E$15+1,1))</f>
        <v>168.72306536277267</v>
      </c>
      <c r="EP11" s="59">
        <f t="shared" si="46"/>
        <v>203.35476578922339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1.2</v>
      </c>
      <c r="FE11" s="12">
        <f>IF('Données projet'!$A$218&gt;35,FE10+FD11-FM10,IF(A11&lt;'Données projet'!$A$218,$FB$205^A11,IF(A11='Données projet'!$A$218,'Données projet'!$B$218,FE10+FD11-FM10)))</f>
        <v>7.3003721027184652</v>
      </c>
      <c r="FF11" s="17">
        <f>FE11*VLOOKUP('Données projet'!$B$16,Paramètres!$A$1:$I$89,3,0)*VLOOKUP('Données projet'!$B$16,Paramètres!$A$1:$I$89,5,0)</f>
        <v>3.9860031680842818</v>
      </c>
      <c r="FG11" s="13">
        <f t="shared" si="47"/>
        <v>1.5638212965261307</v>
      </c>
      <c r="FH11" s="20">
        <f t="shared" si="22"/>
        <v>9.6659442758631346</v>
      </c>
      <c r="FI11" s="59">
        <f t="shared" si="23"/>
        <v>302.99927760919644</v>
      </c>
      <c r="FJ11" s="59">
        <f ca="1">AVERAGE(OFFSET($FI$3,0,0,'Données projet'!$E$16+1,1))-AVERAGE(OFFSET($H$3,0,0,'Données projet'!$E$16+1,1))</f>
        <v>127.76128532861486</v>
      </c>
      <c r="FK11" s="59">
        <f t="shared" si="48"/>
        <v>157.52303491639736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2.9235042735042733</v>
      </c>
      <c r="N12" s="13">
        <f>IF('Données projet'!$A$36&gt;35,N11+M12-V11,IF(A12&lt;'Données projet'!$A$36,$K$205^A12,IF(A12='Données projet'!$A$36,'Données projet'!$B$36,N11+M12-V11)))</f>
        <v>3.8274321125090722</v>
      </c>
      <c r="O12" s="13">
        <f>N12*VLOOKUP('Données projet'!$B$9,Paramètres!$A$1:$I$89,3,0)*VLOOKUP('Données projet'!$B$9,Paramètres!$A$1:$I$89,5,0)</f>
        <v>3.4630605753982087</v>
      </c>
      <c r="P12" s="13">
        <f t="shared" si="33"/>
        <v>1.3810805174752749</v>
      </c>
      <c r="Q12" s="20">
        <f t="shared" si="2"/>
        <v>8.4368790700879845</v>
      </c>
      <c r="R12" s="59">
        <f t="shared" si="0"/>
        <v>301.77021240342128</v>
      </c>
      <c r="S12" s="59">
        <f ca="1">AVERAGE(OFFSET($R$3,0,0,'Données projet'!$E$9+1,1))-AVERAGE(OFFSET($H$3,0,0,'Données projet'!$E$9+1,1))</f>
        <v>153.45079678708987</v>
      </c>
      <c r="T12" s="59">
        <f t="shared" si="34"/>
        <v>115.4217868409637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1.8914529914529912</v>
      </c>
      <c r="AI12" s="13">
        <f>IF('Données projet'!$A$62&gt;35,AI11+AH12-AQ11,IF(A12&lt;'Données projet'!$A$62,$AF$205^A12,IF(A12='Données projet'!$A$62,'Données projet'!$B$62,AI11+AH12-AQ11)))</f>
        <v>3.3587296031418585</v>
      </c>
      <c r="AJ12" s="13">
        <f>AI12*VLOOKUP('Données projet'!$B$10,Paramètres!$A$1:$I$89,3,0)*VLOOKUP('Données projet'!$B$10,Paramètres!$A$1:$I$89,5,0)</f>
        <v>3.0389785449227538</v>
      </c>
      <c r="AK12" s="13">
        <f t="shared" si="35"/>
        <v>1.2305243221828648</v>
      </c>
      <c r="AL12" s="20">
        <f t="shared" si="4"/>
        <v>7.4360508268756185</v>
      </c>
      <c r="AM12" s="59">
        <f t="shared" si="5"/>
        <v>300.76938416020892</v>
      </c>
      <c r="AN12" s="59">
        <f ca="1">AVERAGE(OFFSET($AM$3,0,0,'Données projet'!$E$10+1,1))-AVERAGE(OFFSET($H$3,0,0,'Données projet'!$E$10+1,1))</f>
        <v>123.92486590666675</v>
      </c>
      <c r="AO12" s="59">
        <f t="shared" si="36"/>
        <v>54.404493017418986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7.7987854251012134</v>
      </c>
      <c r="BD12" s="12">
        <f>IF('Données projet'!$A$88&gt;35,BD11+BC12-BL11,IF(A12&lt;'Données projet'!$A$88,$BA$205^A12,IF(A12='Données projet'!$A$88,'Données projet'!$B$88,BD11+BC12-BL11)))</f>
        <v>10.672458669818059</v>
      </c>
      <c r="BE12" s="13">
        <f>BD12*VLOOKUP('Données projet'!$B$11,Paramètres!$A$1:$I$89,3,0)*VLOOKUP('Données projet'!$B$11,Paramètres!$A$1:$I$89,5,0)</f>
        <v>5.9659043964282947</v>
      </c>
      <c r="BF12" s="13">
        <f t="shared" si="37"/>
        <v>2.2332617841362223</v>
      </c>
      <c r="BG12" s="20">
        <f t="shared" si="7"/>
        <v>14.280214431149867</v>
      </c>
      <c r="BH12" s="59">
        <f t="shared" si="8"/>
        <v>307.6135477644832</v>
      </c>
      <c r="BI12" s="59">
        <f ca="1">AVERAGE(OFFSET($BH$3,0,0,'Données projet'!$E$11+1,1))-AVERAGE(OFFSET($H$3,0,0,'Données projet'!$E$11+1,1))</f>
        <v>224.7049802939942</v>
      </c>
      <c r="BJ12" s="59">
        <f t="shared" si="38"/>
        <v>203.48513862195352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5.5864615384615384</v>
      </c>
      <c r="BY12" s="12">
        <f>IF('Données projet'!$A$114&gt;35,BY11+BX12-CG11,IF(A12&lt;'Données projet'!$A$114,$BV$205^A12,IF(A12='Données projet'!$A$114,'Données projet'!$B$114,BY11+BX12-CG11)))</f>
        <v>5.9187181025881479</v>
      </c>
      <c r="BZ12" s="13">
        <f>BY12*VLOOKUP('Données projet'!$B$12,Paramètres!$A$1:$I$89,3,0)*VLOOKUP('Données projet'!$B$12,Paramètres!$A$1:$I$89,5,0)</f>
        <v>3.3085634193467746</v>
      </c>
      <c r="CA12" s="13">
        <f t="shared" si="39"/>
        <v>1.3264946264278805</v>
      </c>
      <c r="CB12" s="20">
        <f t="shared" si="10"/>
        <v>8.0727260963908574</v>
      </c>
      <c r="CC12" s="59">
        <f t="shared" si="11"/>
        <v>301.40605942972417</v>
      </c>
      <c r="CD12" s="59">
        <f ca="1">AVERAGE(OFFSET($CC$3,0,0,'Données projet'!$E$12+1,1))-AVERAGE(OFFSET($H$3,0,0,'Données projet'!$E$12+1,1))</f>
        <v>190.08613104982993</v>
      </c>
      <c r="CE12" s="59">
        <f t="shared" si="40"/>
        <v>180.55054525447781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4.3499999999999996</v>
      </c>
      <c r="CT12" s="12">
        <f>IF('Données projet'!$A$140&gt;35,CT11+CS12-DB11,IF(A12&lt;'Données projet'!$A$140,$CQ$205^A12,IF(A12='Données projet'!$A$140,'Données projet'!$B$140,CT11+CS12-DB11)))</f>
        <v>7.4607702040314701</v>
      </c>
      <c r="CU12" s="17">
        <f>CT12*VLOOKUP('Données projet'!$B$13,Paramètres!$A$1:$I$89,3,0)*VLOOKUP('Données projet'!$B$13,Paramètres!$A$1:$I$89,5,0)</f>
        <v>4.4615405820108194</v>
      </c>
      <c r="CV12" s="13">
        <f t="shared" si="41"/>
        <v>1.7275748631142889</v>
      </c>
      <c r="CW12" s="20">
        <f t="shared" si="13"/>
        <v>10.779376066926231</v>
      </c>
      <c r="CX12" s="59">
        <f t="shared" si="14"/>
        <v>304.11270940025952</v>
      </c>
      <c r="CY12" s="59">
        <f ca="1">AVERAGE(OFFSET($CX$3,0,0,'Données projet'!$E$13+1,1))-AVERAGE(OFFSET($H$3,0,0,'Données projet'!$E$13+1,1))</f>
        <v>270.30888762640245</v>
      </c>
      <c r="CZ12" s="59">
        <f t="shared" si="42"/>
        <v>202.23783851977691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3.45</v>
      </c>
      <c r="DO12" s="12">
        <f>IF('Données projet'!$A$166&gt;35,DO11+DN12-DW11,IF(A12&lt;'Données projet'!$A$166,$DL$205^A12,IF(A12='Données projet'!$A$166,'Données projet'!$B$166,DO11+DN12-DW11)))</f>
        <v>6.7217458981849019</v>
      </c>
      <c r="DP12" s="17">
        <f>DO12*VLOOKUP('Données projet'!$B$14,Paramètres!$A$1:$I$89,3,0)*VLOOKUP('Données projet'!$B$14,Paramètres!$A$1:$I$89,5,0)</f>
        <v>4.019604047114572</v>
      </c>
      <c r="DQ12" s="13">
        <f t="shared" si="43"/>
        <v>1.5754637195279189</v>
      </c>
      <c r="DR12" s="20">
        <f t="shared" si="16"/>
        <v>9.7447430269023378</v>
      </c>
      <c r="DS12" s="59">
        <f t="shared" si="17"/>
        <v>303.07807636023563</v>
      </c>
      <c r="DT12" s="59">
        <f ca="1">AVERAGE(OFFSET($DS$3,0,0,'Données projet'!$E$14+1,1))-AVERAGE(OFFSET($H$3,0,0,'Données projet'!$E$14+1,1))</f>
        <v>221.14988592347311</v>
      </c>
      <c r="DU12" s="59">
        <f t="shared" si="44"/>
        <v>179.09262081171607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2.2999999999999998</v>
      </c>
      <c r="EJ12" s="12">
        <f>IF('Données projet'!$A$192&gt;35,EJ11+EI12-ER11,IF(A12&lt;'Données projet'!$A$192,$EG$205^A12,IF(A12='Données projet'!$A$192,'Données projet'!$B$192,EJ11+EI12-ER11)))</f>
        <v>16.809509943796456</v>
      </c>
      <c r="EK12" s="17">
        <f>EJ12*VLOOKUP('Données projet'!$B$15,Paramètres!$A$1:$I$89,3,0)*VLOOKUP('Données projet'!$B$15,Paramètres!$A$1:$I$89,5,0)</f>
        <v>9.1779924293128641</v>
      </c>
      <c r="EL12" s="13">
        <f t="shared" si="45"/>
        <v>3.2676529755758974</v>
      </c>
      <c r="EM12" s="20">
        <f t="shared" si="19"/>
        <v>21.676165746847925</v>
      </c>
      <c r="EN12" s="59">
        <f t="shared" si="20"/>
        <v>315.00949908018123</v>
      </c>
      <c r="EO12" s="59">
        <f ca="1">AVERAGE(OFFSET($EN$3,0,0,'Données projet'!$E$15+1,1))-AVERAGE(OFFSET($H$3,0,0,'Données projet'!$E$15+1,1))</f>
        <v>168.72306536277267</v>
      </c>
      <c r="EP12" s="59">
        <f t="shared" si="46"/>
        <v>203.35476578922339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1.2</v>
      </c>
      <c r="FE12" s="12">
        <f>IF('Données projet'!$A$218&gt;35,FE11+FD12-FM11,IF(A12&lt;'Données projet'!$A$218,$FB$205^A12,IF(A12='Données projet'!$A$218,'Données projet'!$B$218,FE11+FD12-FM11)))</f>
        <v>9.3597257028516339</v>
      </c>
      <c r="FF12" s="17">
        <f>FE12*VLOOKUP('Données projet'!$B$16,Paramètres!$A$1:$I$89,3,0)*VLOOKUP('Données projet'!$B$16,Paramètres!$A$1:$I$89,5,0)</f>
        <v>5.1104102337569923</v>
      </c>
      <c r="FG12" s="13">
        <f t="shared" si="47"/>
        <v>1.9477964863512232</v>
      </c>
      <c r="FH12" s="20">
        <f t="shared" si="22"/>
        <v>12.293043370855143</v>
      </c>
      <c r="FI12" s="59">
        <f t="shared" si="23"/>
        <v>305.62637670418843</v>
      </c>
      <c r="FJ12" s="59">
        <f ca="1">AVERAGE(OFFSET($FI$3,0,0,'Données projet'!$E$16+1,1))-AVERAGE(OFFSET($H$3,0,0,'Données projet'!$E$16+1,1))</f>
        <v>127.76128532861486</v>
      </c>
      <c r="FK12" s="59">
        <f t="shared" si="48"/>
        <v>157.52303491639736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2.9235042735042733</v>
      </c>
      <c r="N13" s="13">
        <f>IF('Données projet'!$A$36&gt;35,N12+M13-V12,IF(A13&lt;'Données projet'!$A$36,$K$205^A13,IF(A13='Données projet'!$A$36,'Données projet'!$B$36,N12+M13-V12)))</f>
        <v>4.4429865232315908</v>
      </c>
      <c r="O13" s="13">
        <f>N13*VLOOKUP('Données projet'!$B$9,Paramètres!$A$1:$I$89,3,0)*VLOOKUP('Données projet'!$B$9,Paramètres!$A$1:$I$89,5,0)</f>
        <v>4.0200142062199431</v>
      </c>
      <c r="P13" s="13">
        <f t="shared" si="33"/>
        <v>1.5756057660539962</v>
      </c>
      <c r="Q13" s="20">
        <f t="shared" si="2"/>
        <v>9.7457047850437757</v>
      </c>
      <c r="R13" s="59">
        <f t="shared" si="0"/>
        <v>303.07903811837707</v>
      </c>
      <c r="S13" s="59">
        <f ca="1">AVERAGE(OFFSET($R$3,0,0,'Données projet'!$E$9+1,1))-AVERAGE(OFFSET($H$3,0,0,'Données projet'!$E$9+1,1))</f>
        <v>153.45079678708987</v>
      </c>
      <c r="T13" s="59">
        <f t="shared" si="34"/>
        <v>115.4217868409637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1.8914529914529912</v>
      </c>
      <c r="AI13" s="13">
        <f>IF('Données projet'!$A$62&gt;35,AI12+AH13-AQ12,IF(A13&lt;'Données projet'!$A$62,$AF$205^A13,IF(A13='Données projet'!$A$62,'Données projet'!$B$62,AI12+AH13-AQ12)))</f>
        <v>3.8427217245765628</v>
      </c>
      <c r="AJ13" s="13">
        <f>AI13*VLOOKUP('Données projet'!$B$10,Paramètres!$A$1:$I$89,3,0)*VLOOKUP('Données projet'!$B$10,Paramètres!$A$1:$I$89,5,0)</f>
        <v>3.4768946163968741</v>
      </c>
      <c r="AK13" s="13">
        <f t="shared" si="35"/>
        <v>1.385954262932475</v>
      </c>
      <c r="AL13" s="20">
        <f t="shared" si="4"/>
        <v>8.4694617981652822</v>
      </c>
      <c r="AM13" s="59">
        <f t="shared" si="5"/>
        <v>301.80279513149861</v>
      </c>
      <c r="AN13" s="59">
        <f ca="1">AVERAGE(OFFSET($AM$3,0,0,'Données projet'!$E$10+1,1))-AVERAGE(OFFSET($H$3,0,0,'Données projet'!$E$10+1,1))</f>
        <v>123.92486590666675</v>
      </c>
      <c r="AO13" s="59">
        <f t="shared" si="36"/>
        <v>54.404493017418986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7.7987854251012134</v>
      </c>
      <c r="BD13" s="12">
        <f>IF('Données projet'!$A$88&gt;35,BD12+BC13-BL12,IF(A13&lt;'Données projet'!$A$88,$BA$205^A13,IF(A13='Données projet'!$A$88,'Données projet'!$B$88,BD12+BC13-BL12)))</f>
        <v>13.884047496568932</v>
      </c>
      <c r="BE13" s="13">
        <f>BD13*VLOOKUP('Données projet'!$B$11,Paramètres!$A$1:$I$89,3,0)*VLOOKUP('Données projet'!$B$11,Paramètres!$A$1:$I$89,5,0)</f>
        <v>7.7611825505820331</v>
      </c>
      <c r="BF13" s="13">
        <f t="shared" si="37"/>
        <v>2.8176844553216833</v>
      </c>
      <c r="BG13" s="20">
        <f t="shared" si="7"/>
        <v>18.424860035282308</v>
      </c>
      <c r="BH13" s="59">
        <f t="shared" si="8"/>
        <v>311.75819336861559</v>
      </c>
      <c r="BI13" s="59">
        <f ca="1">AVERAGE(OFFSET($BH$3,0,0,'Données projet'!$E$11+1,1))-AVERAGE(OFFSET($H$3,0,0,'Données projet'!$E$11+1,1))</f>
        <v>224.7049802939942</v>
      </c>
      <c r="BJ13" s="59">
        <f t="shared" si="38"/>
        <v>203.48513862195352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5.5864615384615384</v>
      </c>
      <c r="BY13" s="12">
        <f>IF('Données projet'!$A$114&gt;35,BY12+BX13-CG12,IF(A13&lt;'Données projet'!$A$114,$BV$205^A13,IF(A13='Données projet'!$A$114,'Données projet'!$B$114,BY12+BX13-CG12)))</f>
        <v>7.2115850327897393</v>
      </c>
      <c r="BZ13" s="13">
        <f>BY13*VLOOKUP('Données projet'!$B$12,Paramètres!$A$1:$I$89,3,0)*VLOOKUP('Données projet'!$B$12,Paramètres!$A$1:$I$89,5,0)</f>
        <v>4.0312760333294646</v>
      </c>
      <c r="CA13" s="13">
        <f t="shared" si="39"/>
        <v>1.5795053097898017</v>
      </c>
      <c r="CB13" s="20">
        <f t="shared" si="10"/>
        <v>9.7721108392660554</v>
      </c>
      <c r="CC13" s="59">
        <f t="shared" si="11"/>
        <v>303.10544417259939</v>
      </c>
      <c r="CD13" s="59">
        <f ca="1">AVERAGE(OFFSET($CC$3,0,0,'Données projet'!$E$12+1,1))-AVERAGE(OFFSET($H$3,0,0,'Données projet'!$E$12+1,1))</f>
        <v>190.08613104982993</v>
      </c>
      <c r="CE13" s="59">
        <f t="shared" si="40"/>
        <v>180.55054525447781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4.3499999999999996</v>
      </c>
      <c r="CT13" s="12">
        <f>IF('Données projet'!$A$140&gt;35,CT12+CS13-DB12,IF(A13&lt;'Données projet'!$A$140,$CQ$205^A13,IF(A13='Données projet'!$A$140,'Données projet'!$B$140,CT12+CS13-DB12)))</f>
        <v>9.3273790530888085</v>
      </c>
      <c r="CU13" s="17">
        <f>CT13*VLOOKUP('Données projet'!$B$13,Paramètres!$A$1:$I$89,3,0)*VLOOKUP('Données projet'!$B$13,Paramètres!$A$1:$I$89,5,0)</f>
        <v>5.5777726737471083</v>
      </c>
      <c r="CV13" s="13">
        <f t="shared" si="41"/>
        <v>2.1043832524712172</v>
      </c>
      <c r="CW13" s="20">
        <f t="shared" si="13"/>
        <v>13.379754904830248</v>
      </c>
      <c r="CX13" s="59">
        <f t="shared" si="14"/>
        <v>306.71308823816355</v>
      </c>
      <c r="CY13" s="59">
        <f ca="1">AVERAGE(OFFSET($CX$3,0,0,'Données projet'!$E$13+1,1))-AVERAGE(OFFSET($H$3,0,0,'Données projet'!$E$13+1,1))</f>
        <v>270.30888762640245</v>
      </c>
      <c r="CZ13" s="59">
        <f t="shared" si="42"/>
        <v>202.23783851977691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3.45</v>
      </c>
      <c r="DO13" s="12">
        <f>IF('Données projet'!$A$166&gt;35,DO12+DN13-DW12,IF(A13&lt;'Données projet'!$A$166,$DL$205^A13,IF(A13='Données projet'!$A$166,'Données projet'!$B$166,DO12+DN13-DW12)))</f>
        <v>8.3066238629180766</v>
      </c>
      <c r="DP13" s="17">
        <f>DO13*VLOOKUP('Données projet'!$B$14,Paramètres!$A$1:$I$89,3,0)*VLOOKUP('Données projet'!$B$14,Paramètres!$A$1:$I$89,5,0)</f>
        <v>4.9673610700250102</v>
      </c>
      <c r="DQ13" s="13">
        <f t="shared" si="43"/>
        <v>1.8995413825164971</v>
      </c>
      <c r="DR13" s="20">
        <f t="shared" si="16"/>
        <v>11.959855104843124</v>
      </c>
      <c r="DS13" s="59">
        <f t="shared" si="17"/>
        <v>305.29318843817646</v>
      </c>
      <c r="DT13" s="59">
        <f ca="1">AVERAGE(OFFSET($DS$3,0,0,'Données projet'!$E$14+1,1))-AVERAGE(OFFSET($H$3,0,0,'Données projet'!$E$14+1,1))</f>
        <v>221.14988592347311</v>
      </c>
      <c r="DU13" s="59">
        <f t="shared" si="44"/>
        <v>179.09262081171607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>
        <f>VLOOKUP(A13,'Données projet'!$A$191:$I$211,2,0)</f>
        <v>23</v>
      </c>
      <c r="EH13" s="12">
        <f>VLOOKUP(A13,'Données projet'!$A$191:$I$211,9,0)</f>
        <v>2.2999999999999998</v>
      </c>
      <c r="EI13" s="12">
        <f t="array" ref="EI13">INDEX(EH:EH,MIN(IF(ISNUMBER(EH13:EH209),ROW(EH13:EH209),"")))</f>
        <v>2.2999999999999998</v>
      </c>
      <c r="EJ13" s="12">
        <f>IF('Données projet'!$A$192&gt;35,EJ12+EI13-ER12,IF(A13&lt;'Données projet'!$A$192,$EG$205^A13,IF(A13='Données projet'!$A$192,'Données projet'!$B$192,EJ12+EI13-ER12)))</f>
        <v>23</v>
      </c>
      <c r="EK13" s="17">
        <f>EJ13*VLOOKUP('Données projet'!$B$15,Paramètres!$A$1:$I$89,3,0)*VLOOKUP('Données projet'!$B$15,Paramètres!$A$1:$I$89,5,0)</f>
        <v>12.558</v>
      </c>
      <c r="EL13" s="13">
        <f t="shared" si="45"/>
        <v>4.3108032327306516</v>
      </c>
      <c r="EM13" s="20">
        <f t="shared" si="19"/>
        <v>29.379832297005887</v>
      </c>
      <c r="EN13" s="59">
        <f t="shared" si="20"/>
        <v>322.71316563033918</v>
      </c>
      <c r="EO13" s="59">
        <f ca="1">AVERAGE(OFFSET($EN$3,0,0,'Données projet'!$E$15+1,1))-AVERAGE(OFFSET($H$3,0,0,'Données projet'!$E$15+1,1))</f>
        <v>168.72306536277267</v>
      </c>
      <c r="EP13" s="59">
        <f t="shared" si="46"/>
        <v>203.35476578922339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>
        <f>VLOOKUP(A13,'Données projet'!$A$217:$I$237,2,0)</f>
        <v>12</v>
      </c>
      <c r="FC13" s="12">
        <f>VLOOKUP(A13,'Données projet'!$A$217:$I$237,9,0)</f>
        <v>1.2</v>
      </c>
      <c r="FD13" s="12">
        <f t="array" ref="FD13">INDEX(FC:FC,MIN(IF(ISNUMBER(FC13:FC209),ROW(FC13:FC209),"")))</f>
        <v>1.2</v>
      </c>
      <c r="FE13" s="12">
        <f>IF('Données projet'!$A$218&gt;35,FE12+FD13-FM12,IF(A13&lt;'Données projet'!$A$218,$FB$205^A13,IF(A13='Données projet'!$A$218,'Données projet'!$B$218,FE12+FD13-FM12)))</f>
        <v>12</v>
      </c>
      <c r="FF13" s="17">
        <f>FE13*VLOOKUP('Données projet'!$B$16,Paramètres!$A$1:$I$89,3,0)*VLOOKUP('Données projet'!$B$16,Paramètres!$A$1:$I$89,5,0)</f>
        <v>6.5520000000000005</v>
      </c>
      <c r="FG13" s="13">
        <f t="shared" si="47"/>
        <v>2.426051595965574</v>
      </c>
      <c r="FH13" s="20">
        <f t="shared" si="22"/>
        <v>15.636773196306708</v>
      </c>
      <c r="FI13" s="59">
        <f t="shared" si="23"/>
        <v>308.97010652964002</v>
      </c>
      <c r="FJ13" s="59">
        <f ca="1">AVERAGE(OFFSET($FI$3,0,0,'Données projet'!$E$16+1,1))-AVERAGE(OFFSET($H$3,0,0,'Données projet'!$E$16+1,1))</f>
        <v>127.76128532861486</v>
      </c>
      <c r="FK13" s="59">
        <f t="shared" si="48"/>
        <v>157.52303491639736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2.9235042735042733</v>
      </c>
      <c r="N14" s="13">
        <f>IF('Données projet'!$A$36&gt;35,N13+M14-V13,IF(A14&lt;'Données projet'!$A$36,$K$205^A14,IF(A14='Données projet'!$A$36,'Données projet'!$B$36,N13+M14-V13)))</f>
        <v>5.1575387009743459</v>
      </c>
      <c r="O14" s="13">
        <f>N14*VLOOKUP('Données projet'!$B$9,Paramètres!$A$1:$I$89,3,0)*VLOOKUP('Données projet'!$B$9,Paramètres!$A$1:$I$89,5,0)</f>
        <v>4.6665410166415882</v>
      </c>
      <c r="P14" s="13">
        <f t="shared" si="33"/>
        <v>1.7975299040209971</v>
      </c>
      <c r="Q14" s="20">
        <f t="shared" si="2"/>
        <v>11.258256853487337</v>
      </c>
      <c r="R14" s="59">
        <f t="shared" si="0"/>
        <v>304.59159018682067</v>
      </c>
      <c r="S14" s="59">
        <f ca="1">AVERAGE(OFFSET($R$3,0,0,'Données projet'!$E$9+1,1))-AVERAGE(OFFSET($H$3,0,0,'Données projet'!$E$9+1,1))</f>
        <v>153.45079678708987</v>
      </c>
      <c r="T14" s="59">
        <f t="shared" si="34"/>
        <v>115.4217868409637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1.8914529914529912</v>
      </c>
      <c r="AI14" s="13">
        <f>IF('Données projet'!$A$62&gt;35,AI13+AH14-AQ13,IF(A14&lt;'Données projet'!$A$62,$AF$205^A14,IF(A14='Données projet'!$A$62,'Données projet'!$B$62,AI13+AH14-AQ13)))</f>
        <v>4.3964569933583304</v>
      </c>
      <c r="AJ14" s="13">
        <f>AI14*VLOOKUP('Données projet'!$B$10,Paramètres!$A$1:$I$89,3,0)*VLOOKUP('Données projet'!$B$10,Paramètres!$A$1:$I$89,5,0)</f>
        <v>3.9779142875906173</v>
      </c>
      <c r="AK14" s="13">
        <f t="shared" si="35"/>
        <v>1.5610168643665752</v>
      </c>
      <c r="AL14" s="20">
        <f t="shared" si="4"/>
        <v>9.6469717563254438</v>
      </c>
      <c r="AM14" s="59">
        <f t="shared" si="5"/>
        <v>302.98030508965877</v>
      </c>
      <c r="AN14" s="59">
        <f ca="1">AVERAGE(OFFSET($AM$3,0,0,'Données projet'!$E$10+1,1))-AVERAGE(OFFSET($H$3,0,0,'Données projet'!$E$10+1,1))</f>
        <v>123.92486590666675</v>
      </c>
      <c r="AO14" s="59">
        <f t="shared" si="36"/>
        <v>54.404493017418986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7.7987854251012134</v>
      </c>
      <c r="BD14" s="12">
        <f>IF('Données projet'!$A$88&gt;35,BD13+BC14-BL13,IF(A14&lt;'Données projet'!$A$88,$BA$205^A14,IF(A14='Données projet'!$A$88,'Données projet'!$B$88,BD13+BC14-BL13)))</f>
        <v>18.062077432272524</v>
      </c>
      <c r="BE14" s="13">
        <f>BD14*VLOOKUP('Données projet'!$B$11,Paramètres!$A$1:$I$89,3,0)*VLOOKUP('Données projet'!$B$11,Paramètres!$A$1:$I$89,5,0)</f>
        <v>10.096701284640341</v>
      </c>
      <c r="BF14" s="13">
        <f t="shared" si="37"/>
        <v>3.5550447986697691</v>
      </c>
      <c r="BG14" s="20">
        <f t="shared" si="7"/>
        <v>23.776791095098442</v>
      </c>
      <c r="BH14" s="59">
        <f t="shared" si="8"/>
        <v>317.11012442843173</v>
      </c>
      <c r="BI14" s="59">
        <f ca="1">AVERAGE(OFFSET($BH$3,0,0,'Données projet'!$E$11+1,1))-AVERAGE(OFFSET($H$3,0,0,'Données projet'!$E$11+1,1))</f>
        <v>224.7049802939942</v>
      </c>
      <c r="BJ14" s="59">
        <f t="shared" si="38"/>
        <v>203.48513862195352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5.5864615384615384</v>
      </c>
      <c r="BY14" s="12">
        <f>IF('Données projet'!$A$114&gt;35,BY13+BX14-CG13,IF(A14&lt;'Données projet'!$A$114,$BV$205^A14,IF(A14='Données projet'!$A$114,'Données projet'!$B$114,BY13+BX14-CG13)))</f>
        <v>8.7868619156596228</v>
      </c>
      <c r="BZ14" s="13">
        <f>BY14*VLOOKUP('Données projet'!$B$12,Paramètres!$A$1:$I$89,3,0)*VLOOKUP('Données projet'!$B$12,Paramètres!$A$1:$I$89,5,0)</f>
        <v>4.9118558108537291</v>
      </c>
      <c r="CA14" s="13">
        <f t="shared" si="39"/>
        <v>1.8807743159672847</v>
      </c>
      <c r="CB14" s="20">
        <f t="shared" si="10"/>
        <v>11.830497470879934</v>
      </c>
      <c r="CC14" s="59">
        <f t="shared" si="11"/>
        <v>305.16383080421326</v>
      </c>
      <c r="CD14" s="59">
        <f ca="1">AVERAGE(OFFSET($CC$3,0,0,'Données projet'!$E$12+1,1))-AVERAGE(OFFSET($H$3,0,0,'Données projet'!$E$12+1,1))</f>
        <v>190.08613104982993</v>
      </c>
      <c r="CE14" s="59">
        <f t="shared" si="40"/>
        <v>180.55054525447781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4.3499999999999996</v>
      </c>
      <c r="CT14" s="12">
        <f>IF('Données projet'!$A$140&gt;35,CT13+CS14-DB13,IF(A14&lt;'Données projet'!$A$140,$CQ$205^A14,IF(A14='Données projet'!$A$140,'Données projet'!$B$140,CT13+CS14-DB13)))</f>
        <v>11.660994457782511</v>
      </c>
      <c r="CU14" s="17">
        <f>CT14*VLOOKUP('Données projet'!$B$13,Paramètres!$A$1:$I$89,3,0)*VLOOKUP('Données projet'!$B$13,Paramètres!$A$1:$I$89,5,0)</f>
        <v>6.9732746857539425</v>
      </c>
      <c r="CV14" s="13">
        <f t="shared" si="41"/>
        <v>2.563378854273346</v>
      </c>
      <c r="CW14" s="20">
        <f t="shared" si="13"/>
        <v>16.609671582214194</v>
      </c>
      <c r="CX14" s="59">
        <f t="shared" si="14"/>
        <v>309.94300491554753</v>
      </c>
      <c r="CY14" s="59">
        <f ca="1">AVERAGE(OFFSET($CX$3,0,0,'Données projet'!$E$13+1,1))-AVERAGE(OFFSET($H$3,0,0,'Données projet'!$E$13+1,1))</f>
        <v>270.30888762640245</v>
      </c>
      <c r="CZ14" s="59">
        <f t="shared" si="42"/>
        <v>202.23783851977691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3.45</v>
      </c>
      <c r="DO14" s="12">
        <f>IF('Données projet'!$A$166&gt;35,DO13+DN14-DW13,IF(A14&lt;'Données projet'!$A$166,$DL$205^A14,IF(A14='Données projet'!$A$166,'Données projet'!$B$166,DO13+DN14-DW13)))</f>
        <v>10.265190182007974</v>
      </c>
      <c r="DP14" s="17">
        <f>DO14*VLOOKUP('Données projet'!$B$14,Paramètres!$A$1:$I$89,3,0)*VLOOKUP('Données projet'!$B$14,Paramètres!$A$1:$I$89,5,0)</f>
        <v>6.1385837288407679</v>
      </c>
      <c r="DQ14" s="13">
        <f t="shared" si="43"/>
        <v>2.2902828031951659</v>
      </c>
      <c r="DR14" s="20">
        <f t="shared" si="16"/>
        <v>14.680275876629251</v>
      </c>
      <c r="DS14" s="59">
        <f t="shared" si="17"/>
        <v>308.01360920996257</v>
      </c>
      <c r="DT14" s="59">
        <f ca="1">AVERAGE(OFFSET($DS$3,0,0,'Données projet'!$E$14+1,1))-AVERAGE(OFFSET($H$3,0,0,'Données projet'!$E$14+1,1))</f>
        <v>221.14988592347311</v>
      </c>
      <c r="DU14" s="59">
        <f t="shared" si="44"/>
        <v>179.09262081171607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11.4</v>
      </c>
      <c r="EJ14" s="12">
        <f>IF('Données projet'!$A$192&gt;35,EJ13+EI14-ER13,IF(A14&lt;'Données projet'!$A$192,$EG$205^A14,IF(A14='Données projet'!$A$192,'Données projet'!$B$192,EJ13+EI14-ER13)))</f>
        <v>34.4</v>
      </c>
      <c r="EK14" s="17">
        <f>EJ14*VLOOKUP('Données projet'!$B$15,Paramètres!$A$1:$I$89,3,0)*VLOOKUP('Données projet'!$B$15,Paramètres!$A$1:$I$89,5,0)</f>
        <v>18.782399999999999</v>
      </c>
      <c r="EL14" s="13">
        <f t="shared" si="45"/>
        <v>6.1523144400889027</v>
      </c>
      <c r="EM14" s="20">
        <f t="shared" si="19"/>
        <v>43.42796098315484</v>
      </c>
      <c r="EN14" s="59">
        <f t="shared" si="20"/>
        <v>336.76129431648815</v>
      </c>
      <c r="EO14" s="59">
        <f ca="1">AVERAGE(OFFSET($EN$3,0,0,'Données projet'!$E$15+1,1))-AVERAGE(OFFSET($H$3,0,0,'Données projet'!$E$15+1,1))</f>
        <v>168.72306536277267</v>
      </c>
      <c r="EP14" s="59">
        <f t="shared" si="46"/>
        <v>203.35476578922339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8.5</v>
      </c>
      <c r="FE14" s="12">
        <f>IF('Données projet'!$A$218&gt;35,FE13+FD14-FM13,IF(A14&lt;'Données projet'!$A$218,$FB$205^A14,IF(A14='Données projet'!$A$218,'Données projet'!$B$218,FE13+FD14-FM13)))</f>
        <v>20.5</v>
      </c>
      <c r="FF14" s="17">
        <f>FE14*VLOOKUP('Données projet'!$B$16,Paramètres!$A$1:$I$89,3,0)*VLOOKUP('Données projet'!$B$16,Paramètres!$A$1:$I$89,5,0)</f>
        <v>11.193</v>
      </c>
      <c r="FG14" s="13">
        <f t="shared" si="47"/>
        <v>3.8940470589111671</v>
      </c>
      <c r="FH14" s="20">
        <f t="shared" si="22"/>
        <v>26.276606960936949</v>
      </c>
      <c r="FI14" s="59">
        <f t="shared" si="23"/>
        <v>319.60994029427025</v>
      </c>
      <c r="FJ14" s="59">
        <f ca="1">AVERAGE(OFFSET($FI$3,0,0,'Données projet'!$E$16+1,1))-AVERAGE(OFFSET($H$3,0,0,'Données projet'!$E$16+1,1))</f>
        <v>127.76128532861486</v>
      </c>
      <c r="FK14" s="59">
        <f t="shared" si="48"/>
        <v>157.52303491639736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2.9235042735042733</v>
      </c>
      <c r="N15" s="13">
        <f>IF('Données projet'!$A$36&gt;35,N14+M15-V14,IF(A15&lt;'Données projet'!$A$36,$K$205^A15,IF(A15='Données projet'!$A$36,'Données projet'!$B$36,N14+M15-V14)))</f>
        <v>5.9870101592612031</v>
      </c>
      <c r="O15" s="13">
        <f>N15*VLOOKUP('Données projet'!$B$9,Paramètres!$A$1:$I$89,3,0)*VLOOKUP('Données projet'!$B$9,Paramètres!$A$1:$I$89,5,0)</f>
        <v>5.4170467920995362</v>
      </c>
      <c r="P15" s="13">
        <f t="shared" si="33"/>
        <v>2.05071206609116</v>
      </c>
      <c r="Q15" s="20">
        <f t="shared" si="2"/>
        <v>13.006346678015461</v>
      </c>
      <c r="R15" s="59">
        <f t="shared" si="0"/>
        <v>306.33968001134878</v>
      </c>
      <c r="S15" s="59">
        <f ca="1">AVERAGE(OFFSET($R$3,0,0,'Données projet'!$E$9+1,1))-AVERAGE(OFFSET($H$3,0,0,'Données projet'!$E$9+1,1))</f>
        <v>153.45079678708987</v>
      </c>
      <c r="T15" s="59">
        <f t="shared" si="34"/>
        <v>115.4217868409637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1.8914529914529912</v>
      </c>
      <c r="AI15" s="13">
        <f>IF('Données projet'!$A$62&gt;35,AI14+AH15-AQ14,IF(A15&lt;'Données projet'!$A$62,$AF$205^A15,IF(A15='Données projet'!$A$62,'Données projet'!$B$62,AI14+AH15-AQ14)))</f>
        <v>5.0299853801095251</v>
      </c>
      <c r="AJ15" s="13">
        <f>AI15*VLOOKUP('Données projet'!$B$10,Paramètres!$A$1:$I$89,3,0)*VLOOKUP('Données projet'!$B$10,Paramètres!$A$1:$I$89,5,0)</f>
        <v>4.5511307719230985</v>
      </c>
      <c r="AK15" s="13">
        <f t="shared" si="35"/>
        <v>1.7581919663647489</v>
      </c>
      <c r="AL15" s="20">
        <f t="shared" si="4"/>
        <v>10.988737102518002</v>
      </c>
      <c r="AM15" s="59">
        <f t="shared" si="5"/>
        <v>304.32207043585129</v>
      </c>
      <c r="AN15" s="59">
        <f ca="1">AVERAGE(OFFSET($AM$3,0,0,'Données projet'!$E$10+1,1))-AVERAGE(OFFSET($H$3,0,0,'Données projet'!$E$10+1,1))</f>
        <v>123.92486590666675</v>
      </c>
      <c r="AO15" s="59">
        <f t="shared" si="36"/>
        <v>54.404493017418986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7.7987854251012134</v>
      </c>
      <c r="BD15" s="12">
        <f>IF('Données projet'!$A$88&gt;35,BD14+BC15-BL14,IF(A15&lt;'Données projet'!$A$88,$BA$205^A15,IF(A15='Données projet'!$A$88,'Données projet'!$B$88,BD14+BC15-BL14)))</f>
        <v>23.497372884242115</v>
      </c>
      <c r="BE15" s="13">
        <f>BD15*VLOOKUP('Données projet'!$B$11,Paramètres!$A$1:$I$89,3,0)*VLOOKUP('Données projet'!$B$11,Paramètres!$A$1:$I$89,5,0)</f>
        <v>13.135031442291343</v>
      </c>
      <c r="BF15" s="13">
        <f t="shared" si="37"/>
        <v>4.4853651006518103</v>
      </c>
      <c r="BG15" s="20">
        <f t="shared" si="7"/>
        <v>30.688857312292658</v>
      </c>
      <c r="BH15" s="59">
        <f t="shared" si="8"/>
        <v>324.02219064562598</v>
      </c>
      <c r="BI15" s="59">
        <f ca="1">AVERAGE(OFFSET($BH$3,0,0,'Données projet'!$E$11+1,1))-AVERAGE(OFFSET($H$3,0,0,'Données projet'!$E$11+1,1))</f>
        <v>224.7049802939942</v>
      </c>
      <c r="BJ15" s="59">
        <f t="shared" si="38"/>
        <v>203.48513862195352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5.5864615384615384</v>
      </c>
      <c r="BY15" s="12">
        <f>IF('Données projet'!$A$114&gt;35,BY14+BX15-CG14,IF(A15&lt;'Données projet'!$A$114,$BV$205^A15,IF(A15='Données projet'!$A$114,'Données projet'!$B$114,BY14+BX15-CG14)))</f>
        <v>10.706237529449458</v>
      </c>
      <c r="BZ15" s="13">
        <f>BY15*VLOOKUP('Données projet'!$B$12,Paramètres!$A$1:$I$89,3,0)*VLOOKUP('Données projet'!$B$12,Paramètres!$A$1:$I$89,5,0)</f>
        <v>5.9847867789622464</v>
      </c>
      <c r="CA15" s="13">
        <f t="shared" si="39"/>
        <v>2.2395062591292896</v>
      </c>
      <c r="CB15" s="20">
        <f t="shared" si="10"/>
        <v>14.323977041342758</v>
      </c>
      <c r="CC15" s="59">
        <f t="shared" si="11"/>
        <v>307.65731037467606</v>
      </c>
      <c r="CD15" s="59">
        <f ca="1">AVERAGE(OFFSET($CC$3,0,0,'Données projet'!$E$12+1,1))-AVERAGE(OFFSET($H$3,0,0,'Données projet'!$E$12+1,1))</f>
        <v>190.08613104982993</v>
      </c>
      <c r="CE15" s="59">
        <f t="shared" si="40"/>
        <v>180.55054525447781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4.3499999999999996</v>
      </c>
      <c r="CT15" s="12">
        <f>IF('Données projet'!$A$140&gt;35,CT14+CS15-DB14,IF(A15&lt;'Données projet'!$A$140,$CQ$205^A15,IF(A15='Données projet'!$A$140,'Données projet'!$B$140,CT14+CS15-DB14)))</f>
        <v>14.578456710130634</v>
      </c>
      <c r="CU15" s="17">
        <f>CT15*VLOOKUP('Données projet'!$B$13,Paramètres!$A$1:$I$89,3,0)*VLOOKUP('Données projet'!$B$13,Paramètres!$A$1:$I$89,5,0)</f>
        <v>8.7179171126581192</v>
      </c>
      <c r="CV15" s="13">
        <f t="shared" si="41"/>
        <v>3.1224878561542369</v>
      </c>
      <c r="CW15" s="20">
        <f t="shared" si="13"/>
        <v>20.622038654014851</v>
      </c>
      <c r="CX15" s="59">
        <f t="shared" si="14"/>
        <v>313.95537198734814</v>
      </c>
      <c r="CY15" s="59">
        <f ca="1">AVERAGE(OFFSET($CX$3,0,0,'Données projet'!$E$13+1,1))-AVERAGE(OFFSET($H$3,0,0,'Données projet'!$E$13+1,1))</f>
        <v>270.30888762640245</v>
      </c>
      <c r="CZ15" s="59">
        <f t="shared" si="42"/>
        <v>202.23783851977691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3.45</v>
      </c>
      <c r="DO15" s="12">
        <f>IF('Données projet'!$A$166&gt;35,DO14+DN15-DW14,IF(A15&lt;'Données projet'!$A$166,$DL$205^A15,IF(A15='Données projet'!$A$166,'Données projet'!$B$166,DO14+DN15-DW14)))</f>
        <v>12.685554469752466</v>
      </c>
      <c r="DP15" s="17">
        <f>DO15*VLOOKUP('Données projet'!$B$14,Paramètres!$A$1:$I$89,3,0)*VLOOKUP('Données projet'!$B$14,Paramètres!$A$1:$I$89,5,0)</f>
        <v>7.5859615729119749</v>
      </c>
      <c r="DQ15" s="13">
        <f t="shared" si="43"/>
        <v>2.7614009186061796</v>
      </c>
      <c r="DR15" s="20">
        <f t="shared" si="16"/>
        <v>18.021656339394116</v>
      </c>
      <c r="DS15" s="59">
        <f t="shared" si="17"/>
        <v>311.35498967272741</v>
      </c>
      <c r="DT15" s="59">
        <f ca="1">AVERAGE(OFFSET($DS$3,0,0,'Données projet'!$E$14+1,1))-AVERAGE(OFFSET($H$3,0,0,'Données projet'!$E$14+1,1))</f>
        <v>221.14988592347311</v>
      </c>
      <c r="DU15" s="59">
        <f t="shared" si="44"/>
        <v>179.09262081171607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11.4</v>
      </c>
      <c r="EJ15" s="12">
        <f>IF('Données projet'!$A$192&gt;35,EJ14+EI15-ER14,IF(A15&lt;'Données projet'!$A$192,$EG$205^A15,IF(A15='Données projet'!$A$192,'Données projet'!$B$192,EJ14+EI15-ER14)))</f>
        <v>45.8</v>
      </c>
      <c r="EK15" s="17">
        <f>EJ15*VLOOKUP('Données projet'!$B$15,Paramètres!$A$1:$I$89,3,0)*VLOOKUP('Données projet'!$B$15,Paramètres!$A$1:$I$89,5,0)</f>
        <v>25.006799999999998</v>
      </c>
      <c r="EL15" s="13">
        <f t="shared" si="45"/>
        <v>7.9227548930322165</v>
      </c>
      <c r="EM15" s="20">
        <f t="shared" si="19"/>
        <v>57.352308105364443</v>
      </c>
      <c r="EN15" s="59">
        <f t="shared" si="20"/>
        <v>350.68564143869776</v>
      </c>
      <c r="EO15" s="59">
        <f ca="1">AVERAGE(OFFSET($EN$3,0,0,'Données projet'!$E$15+1,1))-AVERAGE(OFFSET($H$3,0,0,'Données projet'!$E$15+1,1))</f>
        <v>168.72306536277267</v>
      </c>
      <c r="EP15" s="59">
        <f t="shared" si="46"/>
        <v>203.35476578922339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8.5</v>
      </c>
      <c r="FE15" s="12">
        <f>IF('Données projet'!$A$218&gt;35,FE14+FD15-FM14,IF(A15&lt;'Données projet'!$A$218,$FB$205^A15,IF(A15='Données projet'!$A$218,'Données projet'!$B$218,FE14+FD15-FM14)))</f>
        <v>29</v>
      </c>
      <c r="FF15" s="17">
        <f>FE15*VLOOKUP('Données projet'!$B$16,Paramètres!$A$1:$I$89,3,0)*VLOOKUP('Données projet'!$B$16,Paramètres!$A$1:$I$89,5,0)</f>
        <v>15.834</v>
      </c>
      <c r="FG15" s="13">
        <f t="shared" si="47"/>
        <v>5.2906661162322077</v>
      </c>
      <c r="FH15" s="20">
        <f t="shared" si="22"/>
        <v>36.792126819104425</v>
      </c>
      <c r="FI15" s="59">
        <f t="shared" si="23"/>
        <v>330.12546015243777</v>
      </c>
      <c r="FJ15" s="59">
        <f ca="1">AVERAGE(OFFSET($FI$3,0,0,'Données projet'!$E$16+1,1))-AVERAGE(OFFSET($H$3,0,0,'Données projet'!$E$16+1,1))</f>
        <v>127.76128532861486</v>
      </c>
      <c r="FK15" s="59">
        <f t="shared" si="48"/>
        <v>157.52303491639736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2.9235042735042733</v>
      </c>
      <c r="N16" s="13">
        <f>IF('Données projet'!$A$36&gt;35,N15+M16-V15,IF(A16&lt;'Données projet'!$A$36,$K$205^A16,IF(A16='Données projet'!$A$36,'Données projet'!$B$36,N15+M16-V15)))</f>
        <v>6.9498830208148057</v>
      </c>
      <c r="O16" s="13">
        <f>N16*VLOOKUP('Données projet'!$B$9,Paramètres!$A$1:$I$89,3,0)*VLOOKUP('Données projet'!$B$9,Paramètres!$A$1:$I$89,5,0)</f>
        <v>6.2882541572332364</v>
      </c>
      <c r="P16" s="13">
        <f t="shared" si="33"/>
        <v>2.3395549462651668</v>
      </c>
      <c r="Q16" s="20">
        <f t="shared" si="2"/>
        <v>15.026767521926386</v>
      </c>
      <c r="R16" s="59">
        <f t="shared" si="0"/>
        <v>308.3601008552597</v>
      </c>
      <c r="S16" s="59">
        <f ca="1">AVERAGE(OFFSET($R$3,0,0,'Données projet'!$E$9+1,1))-AVERAGE(OFFSET($H$3,0,0,'Données projet'!$E$9+1,1))</f>
        <v>153.45079678708987</v>
      </c>
      <c r="T16" s="59">
        <f t="shared" si="34"/>
        <v>115.4217868409637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1.8914529914529912</v>
      </c>
      <c r="AI16" s="13">
        <f>IF('Données projet'!$A$62&gt;35,AI15+AH16-AQ15,IF(A16&lt;'Données projet'!$A$62,$AF$205^A16,IF(A16='Données projet'!$A$62,'Données projet'!$B$62,AI15+AH16-AQ15)))</f>
        <v>5.754805053782416</v>
      </c>
      <c r="AJ16" s="13">
        <f>AI16*VLOOKUP('Données projet'!$B$10,Paramètres!$A$1:$I$89,3,0)*VLOOKUP('Données projet'!$B$10,Paramètres!$A$1:$I$89,5,0)</f>
        <v>5.2069476126623302</v>
      </c>
      <c r="AK16" s="13">
        <f t="shared" si="35"/>
        <v>1.9802726422458576</v>
      </c>
      <c r="AL16" s="20">
        <f t="shared" si="4"/>
        <v>12.517741943965092</v>
      </c>
      <c r="AM16" s="59">
        <f t="shared" si="5"/>
        <v>305.85107527729838</v>
      </c>
      <c r="AN16" s="59">
        <f ca="1">AVERAGE(OFFSET($AM$3,0,0,'Données projet'!$E$10+1,1))-AVERAGE(OFFSET($H$3,0,0,'Données projet'!$E$10+1,1))</f>
        <v>123.92486590666675</v>
      </c>
      <c r="AO16" s="59">
        <f t="shared" si="36"/>
        <v>54.404493017418986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7.7987854251012134</v>
      </c>
      <c r="BD16" s="12">
        <f>IF('Données projet'!$A$88&gt;35,BD15+BC16-BL15,IF(A16&lt;'Données projet'!$A$88,$BA$205^A16,IF(A16='Données projet'!$A$88,'Données projet'!$B$88,BD15+BC16-BL15)))</f>
        <v>30.56827402780376</v>
      </c>
      <c r="BE16" s="13">
        <f>BD16*VLOOKUP('Données projet'!$B$11,Paramètres!$A$1:$I$89,3,0)*VLOOKUP('Données projet'!$B$11,Paramètres!$A$1:$I$89,5,0)</f>
        <v>17.087665181542302</v>
      </c>
      <c r="BF16" s="13">
        <f t="shared" si="37"/>
        <v>5.6591410869627277</v>
      </c>
      <c r="BG16" s="20">
        <f t="shared" si="7"/>
        <v>39.617354250979595</v>
      </c>
      <c r="BH16" s="59">
        <f t="shared" si="8"/>
        <v>332.9506875843129</v>
      </c>
      <c r="BI16" s="59">
        <f ca="1">AVERAGE(OFFSET($BH$3,0,0,'Données projet'!$E$11+1,1))-AVERAGE(OFFSET($H$3,0,0,'Données projet'!$E$11+1,1))</f>
        <v>224.7049802939942</v>
      </c>
      <c r="BJ16" s="59">
        <f t="shared" si="38"/>
        <v>203.48513862195352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5.5864615384615384</v>
      </c>
      <c r="BY16" s="12">
        <f>IF('Données projet'!$A$114&gt;35,BY15+BX16-CG15,IF(A16&lt;'Données projet'!$A$114,$BV$205^A16,IF(A16='Données projet'!$A$114,'Données projet'!$B$114,BY15+BX16-CG15)))</f>
        <v>13.044875763065559</v>
      </c>
      <c r="BZ16" s="13">
        <f>BY16*VLOOKUP('Données projet'!$B$12,Paramètres!$A$1:$I$89,3,0)*VLOOKUP('Données projet'!$B$12,Paramètres!$A$1:$I$89,5,0)</f>
        <v>7.2920855515536473</v>
      </c>
      <c r="CA16" s="13">
        <f t="shared" si="39"/>
        <v>2.6666614075383333</v>
      </c>
      <c r="CB16" s="20">
        <f t="shared" si="10"/>
        <v>17.344817620418535</v>
      </c>
      <c r="CC16" s="59">
        <f t="shared" si="11"/>
        <v>310.67815095375187</v>
      </c>
      <c r="CD16" s="59">
        <f ca="1">AVERAGE(OFFSET($CC$3,0,0,'Données projet'!$E$12+1,1))-AVERAGE(OFFSET($H$3,0,0,'Données projet'!$E$12+1,1))</f>
        <v>190.08613104982993</v>
      </c>
      <c r="CE16" s="59">
        <f t="shared" si="40"/>
        <v>180.55054525447781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4.3499999999999996</v>
      </c>
      <c r="CT16" s="12">
        <f>IF('Données projet'!$A$140&gt;35,CT15+CS16-DB15,IF(A16&lt;'Données projet'!$A$140,$CQ$205^A16,IF(A16='Données projet'!$A$140,'Données projet'!$B$140,CT15+CS16-DB15)))</f>
        <v>18.22583835526224</v>
      </c>
      <c r="CU16" s="17">
        <f>CT16*VLOOKUP('Données projet'!$B$13,Paramètres!$A$1:$I$89,3,0)*VLOOKUP('Données projet'!$B$13,Paramètres!$A$1:$I$89,5,0)</f>
        <v>10.899051336446822</v>
      </c>
      <c r="CV16" s="13">
        <f t="shared" si="41"/>
        <v>3.8035463995409109</v>
      </c>
      <c r="CW16" s="20">
        <f t="shared" si="13"/>
        <v>25.607024390178637</v>
      </c>
      <c r="CX16" s="59">
        <f t="shared" si="14"/>
        <v>318.94035772351197</v>
      </c>
      <c r="CY16" s="59">
        <f ca="1">AVERAGE(OFFSET($CX$3,0,0,'Données projet'!$E$13+1,1))-AVERAGE(OFFSET($H$3,0,0,'Données projet'!$E$13+1,1))</f>
        <v>270.30888762640245</v>
      </c>
      <c r="CZ16" s="59">
        <f t="shared" si="42"/>
        <v>202.23783851977691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3.45</v>
      </c>
      <c r="DO16" s="12">
        <f>IF('Données projet'!$A$166&gt;35,DO15+DN16-DW15,IF(A16&lt;'Données projet'!$A$166,$DL$205^A16,IF(A16='Données projet'!$A$166,'Données projet'!$B$166,DO15+DN16-DW15)))</f>
        <v>15.676601149300728</v>
      </c>
      <c r="DP16" s="17">
        <f>DO16*VLOOKUP('Données projet'!$B$14,Paramètres!$A$1:$I$89,3,0)*VLOOKUP('Données projet'!$B$14,Paramètres!$A$1:$I$89,5,0)</f>
        <v>9.3746074872818355</v>
      </c>
      <c r="DQ16" s="13">
        <f t="shared" si="43"/>
        <v>3.3294294585109632</v>
      </c>
      <c r="DR16" s="20">
        <f t="shared" si="16"/>
        <v>22.126197680589126</v>
      </c>
      <c r="DS16" s="59">
        <f t="shared" si="17"/>
        <v>315.45953101392246</v>
      </c>
      <c r="DT16" s="59">
        <f ca="1">AVERAGE(OFFSET($DS$3,0,0,'Données projet'!$E$14+1,1))-AVERAGE(OFFSET($H$3,0,0,'Données projet'!$E$14+1,1))</f>
        <v>221.14988592347311</v>
      </c>
      <c r="DU16" s="59">
        <f t="shared" si="44"/>
        <v>179.09262081171607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11.4</v>
      </c>
      <c r="EJ16" s="12">
        <f>IF('Données projet'!$A$192&gt;35,EJ15+EI16-ER15,IF(A16&lt;'Données projet'!$A$192,$EG$205^A16,IF(A16='Données projet'!$A$192,'Données projet'!$B$192,EJ15+EI16-ER15)))</f>
        <v>57.199999999999996</v>
      </c>
      <c r="EK16" s="17">
        <f>EJ16*VLOOKUP('Données projet'!$B$15,Paramètres!$A$1:$I$89,3,0)*VLOOKUP('Données projet'!$B$15,Paramètres!$A$1:$I$89,5,0)</f>
        <v>31.231199999999998</v>
      </c>
      <c r="EL16" s="13">
        <f t="shared" si="45"/>
        <v>9.6420774360788197</v>
      </c>
      <c r="EM16" s="20">
        <f t="shared" si="19"/>
        <v>71.187624867837272</v>
      </c>
      <c r="EN16" s="59">
        <f t="shared" si="20"/>
        <v>364.52095820117057</v>
      </c>
      <c r="EO16" s="59">
        <f ca="1">AVERAGE(OFFSET($EN$3,0,0,'Données projet'!$E$15+1,1))-AVERAGE(OFFSET($H$3,0,0,'Données projet'!$E$15+1,1))</f>
        <v>168.72306536277267</v>
      </c>
      <c r="EP16" s="59">
        <f t="shared" si="46"/>
        <v>203.35476578922339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8.5</v>
      </c>
      <c r="FE16" s="12">
        <f>IF('Données projet'!$A$218&gt;35,FE15+FD16-FM15,IF(A16&lt;'Données projet'!$A$218,$FB$205^A16,IF(A16='Données projet'!$A$218,'Données projet'!$B$218,FE15+FD16-FM15)))</f>
        <v>37.5</v>
      </c>
      <c r="FF16" s="17">
        <f>FE16*VLOOKUP('Données projet'!$B$16,Paramètres!$A$1:$I$89,3,0)*VLOOKUP('Données projet'!$B$16,Paramètres!$A$1:$I$89,5,0)</f>
        <v>20.475000000000001</v>
      </c>
      <c r="FG16" s="13">
        <f t="shared" si="47"/>
        <v>6.6397161284665662</v>
      </c>
      <c r="FH16" s="20">
        <f t="shared" si="22"/>
        <v>47.224797257079274</v>
      </c>
      <c r="FI16" s="59">
        <f t="shared" si="23"/>
        <v>340.55813059041259</v>
      </c>
      <c r="FJ16" s="59">
        <f ca="1">AVERAGE(OFFSET($FI$3,0,0,'Données projet'!$E$16+1,1))-AVERAGE(OFFSET($H$3,0,0,'Données projet'!$E$16+1,1))</f>
        <v>127.76128532861486</v>
      </c>
      <c r="FK16" s="59">
        <f t="shared" si="48"/>
        <v>157.52303491639736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2.9235042735042733</v>
      </c>
      <c r="N17" s="13">
        <f>IF('Données projet'!$A$36&gt;35,N16+M17-V16,IF(A17&lt;'Données projet'!$A$36,$K$205^A17,IF(A17='Données projet'!$A$36,'Données projet'!$B$36,N16+M17-V16)))</f>
        <v>8.0676118326430668</v>
      </c>
      <c r="O17" s="13">
        <f>N17*VLOOKUP('Données projet'!$B$9,Paramètres!$A$1:$I$89,3,0)*VLOOKUP('Données projet'!$B$9,Paramètres!$A$1:$I$89,5,0)</f>
        <v>7.2995751861754465</v>
      </c>
      <c r="P17" s="13">
        <f t="shared" si="33"/>
        <v>2.6690813581776105</v>
      </c>
      <c r="Q17" s="20">
        <f t="shared" si="2"/>
        <v>17.362076814748239</v>
      </c>
      <c r="R17" s="59">
        <f t="shared" si="0"/>
        <v>310.69541014808158</v>
      </c>
      <c r="S17" s="59">
        <f ca="1">AVERAGE(OFFSET($R$3,0,0,'Données projet'!$E$9+1,1))-AVERAGE(OFFSET($H$3,0,0,'Données projet'!$E$9+1,1))</f>
        <v>153.45079678708987</v>
      </c>
      <c r="T17" s="59">
        <f t="shared" si="34"/>
        <v>115.4217868409637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1.8914529914529912</v>
      </c>
      <c r="AI17" s="13">
        <f>IF('Données projet'!$A$62&gt;35,AI16+AH17-AQ16,IF(A17&lt;'Données projet'!$A$62,$AF$205^A17,IF(A17='Données projet'!$A$62,'Données projet'!$B$62,AI16+AH17-AQ16)))</f>
        <v>6.5840710666873763</v>
      </c>
      <c r="AJ17" s="13">
        <f>AI17*VLOOKUP('Données projet'!$B$10,Paramètres!$A$1:$I$89,3,0)*VLOOKUP('Données projet'!$B$10,Paramètres!$A$1:$I$89,5,0)</f>
        <v>5.9572675011387384</v>
      </c>
      <c r="AK17" s="13">
        <f t="shared" si="35"/>
        <v>2.2304047638981497</v>
      </c>
      <c r="AL17" s="20">
        <f t="shared" si="4"/>
        <v>14.260195861605913</v>
      </c>
      <c r="AM17" s="59">
        <f t="shared" si="5"/>
        <v>307.59352919493921</v>
      </c>
      <c r="AN17" s="59">
        <f ca="1">AVERAGE(OFFSET($AM$3,0,0,'Données projet'!$E$10+1,1))-AVERAGE(OFFSET($H$3,0,0,'Données projet'!$E$10+1,1))</f>
        <v>123.92486590666675</v>
      </c>
      <c r="AO17" s="59">
        <f t="shared" si="36"/>
        <v>54.404493017418986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7.7987854251012134</v>
      </c>
      <c r="BD17" s="12">
        <f>IF('Données projet'!$A$88&gt;35,BD16+BC17-BL16,IF(A17&lt;'Données projet'!$A$88,$BA$205^A17,IF(A17='Données projet'!$A$88,'Données projet'!$B$88,BD16+BC17-BL16)))</f>
        <v>39.766972318234998</v>
      </c>
      <c r="BE17" s="13">
        <f>BD17*VLOOKUP('Données projet'!$B$11,Paramètres!$A$1:$I$89,3,0)*VLOOKUP('Données projet'!$B$11,Paramètres!$A$1:$I$89,5,0)</f>
        <v>22.229737525893363</v>
      </c>
      <c r="BF17" s="13">
        <f t="shared" si="37"/>
        <v>7.1400827186834128</v>
      </c>
      <c r="BG17" s="20">
        <f t="shared" si="7"/>
        <v>51.152436925971216</v>
      </c>
      <c r="BH17" s="59">
        <f t="shared" si="8"/>
        <v>344.48577025930456</v>
      </c>
      <c r="BI17" s="59">
        <f ca="1">AVERAGE(OFFSET($BH$3,0,0,'Données projet'!$E$11+1,1))-AVERAGE(OFFSET($H$3,0,0,'Données projet'!$E$11+1,1))</f>
        <v>224.7049802939942</v>
      </c>
      <c r="BJ17" s="59">
        <f t="shared" si="38"/>
        <v>203.48513862195352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5.5864615384615384</v>
      </c>
      <c r="BY17" s="12">
        <f>IF('Données projet'!$A$114&gt;35,BY16+BX17-CG16,IF(A17&lt;'Données projet'!$A$114,$BV$205^A17,IF(A17='Données projet'!$A$114,'Données projet'!$B$114,BY16+BX17-CG16)))</f>
        <v>15.894359078596475</v>
      </c>
      <c r="BZ17" s="13">
        <f>BY17*VLOOKUP('Données projet'!$B$12,Paramètres!$A$1:$I$89,3,0)*VLOOKUP('Données projet'!$B$12,Paramètres!$A$1:$I$89,5,0)</f>
        <v>8.8849467249354301</v>
      </c>
      <c r="CA17" s="13">
        <f t="shared" si="39"/>
        <v>3.1752905505247768</v>
      </c>
      <c r="CB17" s="20">
        <f t="shared" si="10"/>
        <v>21.00491325475986</v>
      </c>
      <c r="CC17" s="59">
        <f t="shared" si="11"/>
        <v>314.33824658809317</v>
      </c>
      <c r="CD17" s="59">
        <f ca="1">AVERAGE(OFFSET($CC$3,0,0,'Données projet'!$E$12+1,1))-AVERAGE(OFFSET($H$3,0,0,'Données projet'!$E$12+1,1))</f>
        <v>190.08613104982993</v>
      </c>
      <c r="CE17" s="59">
        <f t="shared" si="40"/>
        <v>180.55054525447781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4.3499999999999996</v>
      </c>
      <c r="CT17" s="12">
        <f>IF('Données projet'!$A$140&gt;35,CT16+CS17-DB16,IF(A17&lt;'Données projet'!$A$140,$CQ$205^A17,IF(A17='Données projet'!$A$140,'Données projet'!$B$140,CT16+CS17-DB16)))</f>
        <v>22.785757803932292</v>
      </c>
      <c r="CU17" s="17">
        <f>CT17*VLOOKUP('Données projet'!$B$13,Paramètres!$A$1:$I$89,3,0)*VLOOKUP('Données projet'!$B$13,Paramètres!$A$1:$I$89,5,0)</f>
        <v>13.625883166751512</v>
      </c>
      <c r="CV17" s="13">
        <f t="shared" si="41"/>
        <v>4.6331533955999511</v>
      </c>
      <c r="CW17" s="20">
        <f t="shared" si="13"/>
        <v>31.801155346095459</v>
      </c>
      <c r="CX17" s="59">
        <f t="shared" si="14"/>
        <v>325.13448867942878</v>
      </c>
      <c r="CY17" s="59">
        <f ca="1">AVERAGE(OFFSET($CX$3,0,0,'Données projet'!$E$13+1,1))-AVERAGE(OFFSET($H$3,0,0,'Données projet'!$E$13+1,1))</f>
        <v>270.30888762640245</v>
      </c>
      <c r="CZ17" s="59">
        <f t="shared" si="42"/>
        <v>202.23783851977691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3.45</v>
      </c>
      <c r="DO17" s="12">
        <f>IF('Données projet'!$A$166&gt;35,DO16+DN17-DW16,IF(A17&lt;'Données projet'!$A$166,$DL$205^A17,IF(A17='Données projet'!$A$166,'Données projet'!$B$166,DO16+DN17-DW16)))</f>
        <v>19.372887813476268</v>
      </c>
      <c r="DP17" s="17">
        <f>DO17*VLOOKUP('Données projet'!$B$14,Paramètres!$A$1:$I$89,3,0)*VLOOKUP('Données projet'!$B$14,Paramètres!$A$1:$I$89,5,0)</f>
        <v>11.584986912458808</v>
      </c>
      <c r="DQ17" s="13">
        <f t="shared" si="43"/>
        <v>4.0143031910034388</v>
      </c>
      <c r="DR17" s="20">
        <f t="shared" si="16"/>
        <v>27.16876359686341</v>
      </c>
      <c r="DS17" s="59">
        <f t="shared" si="17"/>
        <v>320.50209693019673</v>
      </c>
      <c r="DT17" s="59">
        <f ca="1">AVERAGE(OFFSET($DS$3,0,0,'Données projet'!$E$14+1,1))-AVERAGE(OFFSET($H$3,0,0,'Données projet'!$E$14+1,1))</f>
        <v>221.14988592347311</v>
      </c>
      <c r="DU17" s="59">
        <f t="shared" si="44"/>
        <v>179.09262081171607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11.4</v>
      </c>
      <c r="EJ17" s="12">
        <f>IF('Données projet'!$A$192&gt;35,EJ16+EI17-ER16,IF(A17&lt;'Données projet'!$A$192,$EG$205^A17,IF(A17='Données projet'!$A$192,'Données projet'!$B$192,EJ16+EI17-ER16)))</f>
        <v>68.599999999999994</v>
      </c>
      <c r="EK17" s="17">
        <f>EJ17*VLOOKUP('Données projet'!$B$15,Paramètres!$A$1:$I$89,3,0)*VLOOKUP('Données projet'!$B$15,Paramètres!$A$1:$I$89,5,0)</f>
        <v>37.455599999999997</v>
      </c>
      <c r="EL17" s="13">
        <f t="shared" si="45"/>
        <v>11.321695561560951</v>
      </c>
      <c r="EM17" s="20">
        <f t="shared" si="19"/>
        <v>84.953789769718654</v>
      </c>
      <c r="EN17" s="59">
        <f t="shared" si="20"/>
        <v>378.28712310305195</v>
      </c>
      <c r="EO17" s="59">
        <f ca="1">AVERAGE(OFFSET($EN$3,0,0,'Données projet'!$E$15+1,1))-AVERAGE(OFFSET($H$3,0,0,'Données projet'!$E$15+1,1))</f>
        <v>168.72306536277267</v>
      </c>
      <c r="EP17" s="59">
        <f t="shared" si="46"/>
        <v>203.35476578922339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8.5</v>
      </c>
      <c r="FE17" s="12">
        <f>IF('Données projet'!$A$218&gt;35,FE16+FD17-FM16,IF(A17&lt;'Données projet'!$A$218,$FB$205^A17,IF(A17='Données projet'!$A$218,'Données projet'!$B$218,FE16+FD17-FM16)))</f>
        <v>46</v>
      </c>
      <c r="FF17" s="17">
        <f>FE17*VLOOKUP('Données projet'!$B$16,Paramètres!$A$1:$I$89,3,0)*VLOOKUP('Données projet'!$B$16,Paramètres!$A$1:$I$89,5,0)</f>
        <v>25.116</v>
      </c>
      <c r="FG17" s="13">
        <f t="shared" si="47"/>
        <v>7.9533172071367026</v>
      </c>
      <c r="FH17" s="20">
        <f t="shared" si="22"/>
        <v>57.595727469096431</v>
      </c>
      <c r="FI17" s="59">
        <f t="shared" si="23"/>
        <v>350.92906080242972</v>
      </c>
      <c r="FJ17" s="59">
        <f ca="1">AVERAGE(OFFSET($FI$3,0,0,'Données projet'!$E$16+1,1))-AVERAGE(OFFSET($H$3,0,0,'Données projet'!$E$16+1,1))</f>
        <v>127.76128532861486</v>
      </c>
      <c r="FK17" s="59">
        <f t="shared" si="48"/>
        <v>157.52303491639736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2.9235042735042733</v>
      </c>
      <c r="N18" s="13">
        <f>IF('Données projet'!$A$36&gt;35,N17+M18-V17,IF(A18&lt;'Données projet'!$A$36,$K$205^A18,IF(A18='Données projet'!$A$36,'Données projet'!$B$36,N17+M18-V17)))</f>
        <v>9.3651016121091022</v>
      </c>
      <c r="O18" s="13">
        <f>N18*VLOOKUP('Données projet'!$B$9,Paramètres!$A$1:$I$89,3,0)*VLOOKUP('Données projet'!$B$9,Paramètres!$A$1:$I$89,5,0)</f>
        <v>8.4735439386363147</v>
      </c>
      <c r="P18" s="13">
        <f t="shared" si="33"/>
        <v>3.045021578973337</v>
      </c>
      <c r="Q18" s="20">
        <f t="shared" si="2"/>
        <v>20.06150160983681</v>
      </c>
      <c r="R18" s="59">
        <f t="shared" si="0"/>
        <v>313.39483494317011</v>
      </c>
      <c r="S18" s="59">
        <f ca="1">AVERAGE(OFFSET($R$3,0,0,'Données projet'!$E$9+1,1))-AVERAGE(OFFSET($H$3,0,0,'Données projet'!$E$9+1,1))</f>
        <v>153.45079678708987</v>
      </c>
      <c r="T18" s="59">
        <f t="shared" si="34"/>
        <v>115.4217868409637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1.8914529914529912</v>
      </c>
      <c r="AI18" s="13">
        <f>IF('Données projet'!$A$62&gt;35,AI17+AH18-AQ17,IF(A18&lt;'Données projet'!$A$62,$AF$205^A18,IF(A18='Données projet'!$A$62,'Données projet'!$B$62,AI17+AH18-AQ17)))</f>
        <v>7.5328341109830541</v>
      </c>
      <c r="AJ18" s="13">
        <f>AI18*VLOOKUP('Données projet'!$B$10,Paramètres!$A$1:$I$89,3,0)*VLOOKUP('Données projet'!$B$10,Paramètres!$A$1:$I$89,5,0)</f>
        <v>6.815708303617467</v>
      </c>
      <c r="AK18" s="13">
        <f t="shared" si="35"/>
        <v>2.5121315644585538</v>
      </c>
      <c r="AL18" s="20">
        <f t="shared" si="4"/>
        <v>16.2459877702324</v>
      </c>
      <c r="AM18" s="59">
        <f t="shared" si="5"/>
        <v>309.57932110356569</v>
      </c>
      <c r="AN18" s="59">
        <f ca="1">AVERAGE(OFFSET($AM$3,0,0,'Données projet'!$E$10+1,1))-AVERAGE(OFFSET($H$3,0,0,'Données projet'!$E$10+1,1))</f>
        <v>123.92486590666675</v>
      </c>
      <c r="AO18" s="59">
        <f t="shared" si="36"/>
        <v>54.404493017418986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7.7987854251012134</v>
      </c>
      <c r="BD18" s="12">
        <f>IF('Données projet'!$A$88&gt;35,BD17+BC18-BL17,IF(A18&lt;'Données projet'!$A$88,$BA$205^A18,IF(A18='Données projet'!$A$88,'Données projet'!$B$88,BD17+BC18-BL17)))</f>
        <v>51.73377096531113</v>
      </c>
      <c r="BE18" s="13">
        <f>BD18*VLOOKUP('Données projet'!$B$11,Paramètres!$A$1:$I$89,3,0)*VLOOKUP('Données projet'!$B$11,Paramètres!$A$1:$I$89,5,0)</f>
        <v>28.919177969608924</v>
      </c>
      <c r="BF18" s="13">
        <f t="shared" si="37"/>
        <v>9.0085722278754812</v>
      </c>
      <c r="BG18" s="20">
        <f t="shared" si="7"/>
        <v>66.057498260618672</v>
      </c>
      <c r="BH18" s="59">
        <f t="shared" si="8"/>
        <v>359.39083159395199</v>
      </c>
      <c r="BI18" s="59">
        <f ca="1">AVERAGE(OFFSET($BH$3,0,0,'Données projet'!$E$11+1,1))-AVERAGE(OFFSET($H$3,0,0,'Données projet'!$E$11+1,1))</f>
        <v>224.7049802939942</v>
      </c>
      <c r="BJ18" s="59">
        <f t="shared" si="38"/>
        <v>203.48513862195352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5.5864615384615384</v>
      </c>
      <c r="BY18" s="12">
        <f>IF('Données projet'!$A$114&gt;35,BY17+BX18-CG17,IF(A18&lt;'Données projet'!$A$114,$BV$205^A18,IF(A18='Données projet'!$A$114,'Données projet'!$B$114,BY17+BX18-CG17)))</f>
        <v>19.366274934916948</v>
      </c>
      <c r="BZ18" s="13">
        <f>BY18*VLOOKUP('Données projet'!$B$12,Paramètres!$A$1:$I$89,3,0)*VLOOKUP('Données projet'!$B$12,Paramètres!$A$1:$I$89,5,0)</f>
        <v>10.825747688618575</v>
      </c>
      <c r="CA18" s="13">
        <f t="shared" si="39"/>
        <v>3.7809337367503804</v>
      </c>
      <c r="CB18" s="20">
        <f t="shared" si="10"/>
        <v>25.439970149184266</v>
      </c>
      <c r="CC18" s="59">
        <f t="shared" si="11"/>
        <v>318.77330348251758</v>
      </c>
      <c r="CD18" s="59">
        <f ca="1">AVERAGE(OFFSET($CC$3,0,0,'Données projet'!$E$12+1,1))-AVERAGE(OFFSET($H$3,0,0,'Données projet'!$E$12+1,1))</f>
        <v>190.08613104982993</v>
      </c>
      <c r="CE18" s="59">
        <f t="shared" si="40"/>
        <v>180.55054525447781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4.3499999999999996</v>
      </c>
      <c r="CT18" s="12">
        <f>IF('Données projet'!$A$140&gt;35,CT17+CS18-DB17,IF(A18&lt;'Données projet'!$A$140,$CQ$205^A18,IF(A18='Données projet'!$A$140,'Données projet'!$B$140,CT17+CS18-DB17)))</f>
        <v>28.48652273652797</v>
      </c>
      <c r="CU18" s="17">
        <f>CT18*VLOOKUP('Données projet'!$B$13,Paramètres!$A$1:$I$89,3,0)*VLOOKUP('Données projet'!$B$13,Paramètres!$A$1:$I$89,5,0)</f>
        <v>17.034940596443729</v>
      </c>
      <c r="CV18" s="13">
        <f t="shared" si="41"/>
        <v>5.6437093523429409</v>
      </c>
      <c r="CW18" s="20">
        <f t="shared" si="13"/>
        <v>39.498648660803447</v>
      </c>
      <c r="CX18" s="59">
        <f t="shared" si="14"/>
        <v>332.83198199413675</v>
      </c>
      <c r="CY18" s="59">
        <f ca="1">AVERAGE(OFFSET($CX$3,0,0,'Données projet'!$E$13+1,1))-AVERAGE(OFFSET($H$3,0,0,'Données projet'!$E$13+1,1))</f>
        <v>270.30888762640245</v>
      </c>
      <c r="CZ18" s="59">
        <f t="shared" si="42"/>
        <v>202.23783851977691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3.45</v>
      </c>
      <c r="DO18" s="12">
        <f>IF('Données projet'!$A$166&gt;35,DO17+DN18-DW17,IF(A18&lt;'Données projet'!$A$166,$DL$205^A18,IF(A18='Données projet'!$A$166,'Données projet'!$B$166,DO17+DN18-DW17)))</f>
        <v>23.940698539126789</v>
      </c>
      <c r="DP18" s="17">
        <f>DO18*VLOOKUP('Données projet'!$B$14,Paramètres!$A$1:$I$89,3,0)*VLOOKUP('Données projet'!$B$14,Paramètres!$A$1:$I$89,5,0)</f>
        <v>14.31653772639782</v>
      </c>
      <c r="DQ18" s="13">
        <f t="shared" si="43"/>
        <v>4.8400575264049595</v>
      </c>
      <c r="DR18" s="20">
        <f t="shared" si="16"/>
        <v>33.364403398631502</v>
      </c>
      <c r="DS18" s="59">
        <f t="shared" si="17"/>
        <v>326.69773673196482</v>
      </c>
      <c r="DT18" s="59">
        <f ca="1">AVERAGE(OFFSET($DS$3,0,0,'Données projet'!$E$14+1,1))-AVERAGE(OFFSET($H$3,0,0,'Données projet'!$E$14+1,1))</f>
        <v>221.14988592347311</v>
      </c>
      <c r="DU18" s="59">
        <f t="shared" si="44"/>
        <v>179.09262081171607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11.4</v>
      </c>
      <c r="EJ18" s="12">
        <f>IF('Données projet'!$A$192&gt;35,EJ17+EI18-ER17,IF(A18&lt;'Données projet'!$A$192,$EG$205^A18,IF(A18='Données projet'!$A$192,'Données projet'!$B$192,EJ17+EI18-ER17)))</f>
        <v>80</v>
      </c>
      <c r="EK18" s="17">
        <f>EJ18*VLOOKUP('Données projet'!$B$15,Paramètres!$A$1:$I$89,3,0)*VLOOKUP('Données projet'!$B$15,Paramètres!$A$1:$I$89,5,0)</f>
        <v>43.680000000000007</v>
      </c>
      <c r="EL18" s="13">
        <f t="shared" si="45"/>
        <v>12.968979282088577</v>
      </c>
      <c r="EM18" s="20">
        <f t="shared" si="19"/>
        <v>98.663638916304294</v>
      </c>
      <c r="EN18" s="59">
        <f t="shared" si="20"/>
        <v>391.99697224963762</v>
      </c>
      <c r="EO18" s="59">
        <f ca="1">AVERAGE(OFFSET($EN$3,0,0,'Données projet'!$E$15+1,1))-AVERAGE(OFFSET($H$3,0,0,'Données projet'!$E$15+1,1))</f>
        <v>168.72306536277267</v>
      </c>
      <c r="EP18" s="59">
        <f t="shared" si="46"/>
        <v>203.35476578922339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8.5</v>
      </c>
      <c r="FE18" s="12">
        <f>IF('Données projet'!$A$218&gt;35,FE17+FD18-FM17,IF(A18&lt;'Données projet'!$A$218,$FB$205^A18,IF(A18='Données projet'!$A$218,'Données projet'!$B$218,FE17+FD18-FM17)))</f>
        <v>54.5</v>
      </c>
      <c r="FF18" s="17">
        <f>FE18*VLOOKUP('Données projet'!$B$16,Paramètres!$A$1:$I$89,3,0)*VLOOKUP('Données projet'!$B$16,Paramètres!$A$1:$I$89,5,0)</f>
        <v>29.757000000000001</v>
      </c>
      <c r="FG18" s="13">
        <f t="shared" si="47"/>
        <v>9.2387971855350663</v>
      </c>
      <c r="FH18" s="20">
        <f t="shared" si="22"/>
        <v>67.917680098140238</v>
      </c>
      <c r="FI18" s="59">
        <f t="shared" si="23"/>
        <v>361.25101343147355</v>
      </c>
      <c r="FJ18" s="59">
        <f ca="1">AVERAGE(OFFSET($FI$3,0,0,'Données projet'!$E$16+1,1))-AVERAGE(OFFSET($H$3,0,0,'Données projet'!$E$16+1,1))</f>
        <v>127.76128532861486</v>
      </c>
      <c r="FK18" s="59">
        <f t="shared" si="48"/>
        <v>157.52303491639736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2.9235042735042733</v>
      </c>
      <c r="N19" s="13">
        <f>IF('Données projet'!$A$36&gt;35,N18+M19-V18,IF(A19&lt;'Données projet'!$A$36,$K$205^A19,IF(A19='Données projet'!$A$36,'Données projet'!$B$36,N18+M19-V18)))</f>
        <v>10.87126277571476</v>
      </c>
      <c r="O19" s="13">
        <f>N19*VLOOKUP('Données projet'!$B$9,Paramètres!$A$1:$I$89,3,0)*VLOOKUP('Données projet'!$B$9,Paramètres!$A$1:$I$89,5,0)</f>
        <v>9.8363185594667133</v>
      </c>
      <c r="P19" s="13">
        <f t="shared" si="33"/>
        <v>3.4739129955724146</v>
      </c>
      <c r="Q19" s="20">
        <f t="shared" si="2"/>
        <v>23.181986625026479</v>
      </c>
      <c r="R19" s="59">
        <f t="shared" si="0"/>
        <v>316.51531995835978</v>
      </c>
      <c r="S19" s="59">
        <f ca="1">AVERAGE(OFFSET($R$3,0,0,'Données projet'!$E$9+1,1))-AVERAGE(OFFSET($H$3,0,0,'Données projet'!$E$9+1,1))</f>
        <v>153.45079678708987</v>
      </c>
      <c r="T19" s="59">
        <f t="shared" si="34"/>
        <v>115.4217868409637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1.8914529914529912</v>
      </c>
      <c r="AI19" s="13">
        <f>IF('Données projet'!$A$62&gt;35,AI18+AH19-AQ18,IF(A19&lt;'Données projet'!$A$62,$AF$205^A19,IF(A19='Données projet'!$A$62,'Données projet'!$B$62,AI18+AH19-AQ18)))</f>
        <v>8.618313679918872</v>
      </c>
      <c r="AJ19" s="13">
        <f>AI19*VLOOKUP('Données projet'!$B$10,Paramètres!$A$1:$I$89,3,0)*VLOOKUP('Données projet'!$B$10,Paramètres!$A$1:$I$89,5,0)</f>
        <v>7.7978502175905948</v>
      </c>
      <c r="AK19" s="13">
        <f t="shared" si="35"/>
        <v>2.829443829791408</v>
      </c>
      <c r="AL19" s="20">
        <f t="shared" si="4"/>
        <v>18.50920379919032</v>
      </c>
      <c r="AM19" s="59">
        <f t="shared" si="5"/>
        <v>311.84253713252366</v>
      </c>
      <c r="AN19" s="59">
        <f ca="1">AVERAGE(OFFSET($AM$3,0,0,'Données projet'!$E$10+1,1))-AVERAGE(OFFSET($H$3,0,0,'Données projet'!$E$10+1,1))</f>
        <v>123.92486590666675</v>
      </c>
      <c r="AO19" s="59">
        <f t="shared" si="36"/>
        <v>54.404493017418986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7.7987854251012134</v>
      </c>
      <c r="BD19" s="12">
        <f>IF('Données projet'!$A$88&gt;35,BD18+BC19-BL18,IF(A19&lt;'Données projet'!$A$88,$BA$205^A19,IF(A19='Données projet'!$A$88,'Données projet'!$B$88,BD18+BC19-BL18)))</f>
        <v>67.301655174387619</v>
      </c>
      <c r="BE19" s="13">
        <f>BD19*VLOOKUP('Données projet'!$B$11,Paramètres!$A$1:$I$89,3,0)*VLOOKUP('Données projet'!$B$11,Paramètres!$A$1:$I$89,5,0)</f>
        <v>37.621625242482679</v>
      </c>
      <c r="BF19" s="13">
        <f t="shared" si="37"/>
        <v>11.366027087122298</v>
      </c>
      <c r="BG19" s="20">
        <f t="shared" si="7"/>
        <v>85.320161140728672</v>
      </c>
      <c r="BH19" s="59">
        <f t="shared" si="8"/>
        <v>378.65349447406197</v>
      </c>
      <c r="BI19" s="59">
        <f ca="1">AVERAGE(OFFSET($BH$3,0,0,'Données projet'!$E$11+1,1))-AVERAGE(OFFSET($H$3,0,0,'Données projet'!$E$11+1,1))</f>
        <v>224.7049802939942</v>
      </c>
      <c r="BJ19" s="59">
        <f t="shared" si="38"/>
        <v>203.48513862195352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5.5864615384615384</v>
      </c>
      <c r="BY19" s="12">
        <f>IF('Données projet'!$A$114&gt;35,BY18+BX19-CG18,IF(A19&lt;'Données projet'!$A$114,$BV$205^A19,IF(A19='Données projet'!$A$114,'Données projet'!$B$114,BY18+BX19-CG18)))</f>
        <v>23.596585618846536</v>
      </c>
      <c r="BZ19" s="13">
        <f>BY19*VLOOKUP('Données projet'!$B$12,Paramètres!$A$1:$I$89,3,0)*VLOOKUP('Données projet'!$B$12,Paramètres!$A$1:$I$89,5,0)</f>
        <v>13.190491360935214</v>
      </c>
      <c r="CA19" s="13">
        <f t="shared" si="39"/>
        <v>4.5020950663348271</v>
      </c>
      <c r="CB19" s="20">
        <f t="shared" si="10"/>
        <v>30.814588027495319</v>
      </c>
      <c r="CC19" s="59">
        <f t="shared" si="11"/>
        <v>324.1479213608286</v>
      </c>
      <c r="CD19" s="59">
        <f ca="1">AVERAGE(OFFSET($CC$3,0,0,'Données projet'!$E$12+1,1))-AVERAGE(OFFSET($H$3,0,0,'Données projet'!$E$12+1,1))</f>
        <v>190.08613104982993</v>
      </c>
      <c r="CE19" s="59">
        <f t="shared" si="40"/>
        <v>180.55054525447781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4.3499999999999996</v>
      </c>
      <c r="CT19" s="12">
        <f>IF('Données projet'!$A$140&gt;35,CT18+CS19-DB18,IF(A19&lt;'Données projet'!$A$140,$CQ$205^A19,IF(A19='Données projet'!$A$140,'Données projet'!$B$140,CT18+CS19-DB18)))</f>
        <v>35.613561093793514</v>
      </c>
      <c r="CU19" s="17">
        <f>CT19*VLOOKUP('Données projet'!$B$13,Paramètres!$A$1:$I$89,3,0)*VLOOKUP('Données projet'!$B$13,Paramètres!$A$1:$I$89,5,0)</f>
        <v>21.296909534088524</v>
      </c>
      <c r="CV19" s="13">
        <f t="shared" si="41"/>
        <v>6.874681784542708</v>
      </c>
      <c r="CW19" s="20">
        <f t="shared" si="13"/>
        <v>49.065521546616061</v>
      </c>
      <c r="CX19" s="59">
        <f t="shared" si="14"/>
        <v>342.3988548799494</v>
      </c>
      <c r="CY19" s="59">
        <f ca="1">AVERAGE(OFFSET($CX$3,0,0,'Données projet'!$E$13+1,1))-AVERAGE(OFFSET($H$3,0,0,'Données projet'!$E$13+1,1))</f>
        <v>270.30888762640245</v>
      </c>
      <c r="CZ19" s="59">
        <f t="shared" si="42"/>
        <v>202.23783851977691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3.45</v>
      </c>
      <c r="DO19" s="12">
        <f>IF('Données projet'!$A$166&gt;35,DO18+DN19-DW18,IF(A19&lt;'Données projet'!$A$166,$DL$205^A19,IF(A19='Données projet'!$A$166,'Données projet'!$B$166,DO18+DN19-DW18)))</f>
        <v>29.585524474190425</v>
      </c>
      <c r="DP19" s="17">
        <f>DO19*VLOOKUP('Données projet'!$B$14,Paramètres!$A$1:$I$89,3,0)*VLOOKUP('Données projet'!$B$14,Paramètres!$A$1:$I$89,5,0)</f>
        <v>17.692143635565877</v>
      </c>
      <c r="DQ19" s="13">
        <f t="shared" si="43"/>
        <v>5.8356720318012547</v>
      </c>
      <c r="DR19" s="20">
        <f t="shared" si="16"/>
        <v>40.977612287331084</v>
      </c>
      <c r="DS19" s="59">
        <f t="shared" si="17"/>
        <v>334.31094562066437</v>
      </c>
      <c r="DT19" s="59">
        <f ca="1">AVERAGE(OFFSET($DS$3,0,0,'Données projet'!$E$14+1,1))-AVERAGE(OFFSET($H$3,0,0,'Données projet'!$E$14+1,1))</f>
        <v>221.14988592347311</v>
      </c>
      <c r="DU19" s="59">
        <f t="shared" si="44"/>
        <v>179.09262081171607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11.4</v>
      </c>
      <c r="EJ19" s="12">
        <f>IF('Données projet'!$A$192&gt;35,EJ18+EI19-ER18,IF(A19&lt;'Données projet'!$A$192,$EG$205^A19,IF(A19='Données projet'!$A$192,'Données projet'!$B$192,EJ18+EI19-ER18)))</f>
        <v>91.4</v>
      </c>
      <c r="EK19" s="17">
        <f>EJ19*VLOOKUP('Données projet'!$B$15,Paramètres!$A$1:$I$89,3,0)*VLOOKUP('Données projet'!$B$15,Paramètres!$A$1:$I$89,5,0)</f>
        <v>49.904400000000003</v>
      </c>
      <c r="EL19" s="13">
        <f t="shared" si="45"/>
        <v>14.589067797241727</v>
      </c>
      <c r="EM19" s="20">
        <f t="shared" si="19"/>
        <v>112.32612308019601</v>
      </c>
      <c r="EN19" s="59">
        <f t="shared" si="20"/>
        <v>405.65945641352931</v>
      </c>
      <c r="EO19" s="59">
        <f ca="1">AVERAGE(OFFSET($EN$3,0,0,'Données projet'!$E$15+1,1))-AVERAGE(OFFSET($H$3,0,0,'Données projet'!$E$15+1,1))</f>
        <v>168.72306536277267</v>
      </c>
      <c r="EP19" s="59">
        <f t="shared" si="46"/>
        <v>203.35476578922339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8.5</v>
      </c>
      <c r="FE19" s="12">
        <f>IF('Données projet'!$A$218&gt;35,FE18+FD19-FM18,IF(A19&lt;'Données projet'!$A$218,$FB$205^A19,IF(A19='Données projet'!$A$218,'Données projet'!$B$218,FE18+FD19-FM18)))</f>
        <v>63</v>
      </c>
      <c r="FF19" s="17">
        <f>FE19*VLOOKUP('Données projet'!$B$16,Paramètres!$A$1:$I$89,3,0)*VLOOKUP('Données projet'!$B$16,Paramètres!$A$1:$I$89,5,0)</f>
        <v>34.397999999999996</v>
      </c>
      <c r="FG19" s="13">
        <f t="shared" si="47"/>
        <v>10.501051622783342</v>
      </c>
      <c r="FH19" s="20">
        <f t="shared" si="22"/>
        <v>78.199181576347655</v>
      </c>
      <c r="FI19" s="59">
        <f t="shared" si="23"/>
        <v>371.53251490968097</v>
      </c>
      <c r="FJ19" s="59">
        <f ca="1">AVERAGE(OFFSET($FI$3,0,0,'Données projet'!$E$16+1,1))-AVERAGE(OFFSET($H$3,0,0,'Données projet'!$E$16+1,1))</f>
        <v>127.76128532861486</v>
      </c>
      <c r="FK19" s="59">
        <f t="shared" si="48"/>
        <v>157.52303491639736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2.9235042735042733</v>
      </c>
      <c r="N20" s="13">
        <f>IF('Données projet'!$A$36&gt;35,N19+M20-V19,IF(A20&lt;'Données projet'!$A$36,$K$205^A20,IF(A20='Données projet'!$A$36,'Données projet'!$B$36,N19+M20-V19)))</f>
        <v>12.619655315413629</v>
      </c>
      <c r="O20" s="13">
        <f>N20*VLOOKUP('Données projet'!$B$9,Paramètres!$A$1:$I$89,3,0)*VLOOKUP('Données projet'!$B$9,Paramètres!$A$1:$I$89,5,0)</f>
        <v>11.418264129386252</v>
      </c>
      <c r="P20" s="13">
        <f t="shared" si="33"/>
        <v>3.9632137861156949</v>
      </c>
      <c r="Q20" s="20">
        <f t="shared" si="2"/>
        <v>26.789407369499227</v>
      </c>
      <c r="R20" s="59">
        <f t="shared" si="0"/>
        <v>320.12274070283252</v>
      </c>
      <c r="S20" s="59">
        <f ca="1">AVERAGE(OFFSET($R$3,0,0,'Données projet'!$E$9+1,1))-AVERAGE(OFFSET($H$3,0,0,'Données projet'!$E$9+1,1))</f>
        <v>153.45079678708987</v>
      </c>
      <c r="T20" s="59">
        <f t="shared" si="34"/>
        <v>115.4217868409637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1.8914529914529912</v>
      </c>
      <c r="AI20" s="13">
        <f>IF('Données projet'!$A$62&gt;35,AI19+AH20-AQ19,IF(A20&lt;'Données projet'!$A$62,$AF$205^A20,IF(A20='Données projet'!$A$62,'Données projet'!$B$62,AI19+AH20-AQ19)))</f>
        <v>9.8602105915463536</v>
      </c>
      <c r="AJ20" s="13">
        <f>AI20*VLOOKUP('Données projet'!$B$10,Paramètres!$A$1:$I$89,3,0)*VLOOKUP('Données projet'!$B$10,Paramètres!$A$1:$I$89,5,0)</f>
        <v>8.9215185432311408</v>
      </c>
      <c r="AK20" s="13">
        <f t="shared" si="35"/>
        <v>3.1868364297513105</v>
      </c>
      <c r="AL20" s="20">
        <f t="shared" si="4"/>
        <v>21.088718244611101</v>
      </c>
      <c r="AM20" s="59">
        <f t="shared" si="5"/>
        <v>314.42205157794444</v>
      </c>
      <c r="AN20" s="59">
        <f ca="1">AVERAGE(OFFSET($AM$3,0,0,'Données projet'!$E$10+1,1))-AVERAGE(OFFSET($H$3,0,0,'Données projet'!$E$10+1,1))</f>
        <v>123.92486590666675</v>
      </c>
      <c r="AO20" s="59">
        <f t="shared" si="36"/>
        <v>54.404493017418986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7.7987854251012134</v>
      </c>
      <c r="BD20" s="12">
        <f>IF('Données projet'!$A$88&gt;35,BD19+BC20-BL19,IF(A20&lt;'Données projet'!$A$88,$BA$205^A20,IF(A20='Données projet'!$A$88,'Données projet'!$B$88,BD19+BC20-BL19)))</f>
        <v>87.554274600421721</v>
      </c>
      <c r="BE20" s="13">
        <f>BD20*VLOOKUP('Données projet'!$B$11,Paramètres!$A$1:$I$89,3,0)*VLOOKUP('Données projet'!$B$11,Paramètres!$A$1:$I$89,5,0)</f>
        <v>48.942839501635746</v>
      </c>
      <c r="BF20" s="13">
        <f t="shared" si="37"/>
        <v>14.340404725340607</v>
      </c>
      <c r="BG20" s="20">
        <f t="shared" si="7"/>
        <v>110.21831702865047</v>
      </c>
      <c r="BH20" s="59">
        <f t="shared" si="8"/>
        <v>403.55165036198377</v>
      </c>
      <c r="BI20" s="59">
        <f ca="1">AVERAGE(OFFSET($BH$3,0,0,'Données projet'!$E$11+1,1))-AVERAGE(OFFSET($H$3,0,0,'Données projet'!$E$11+1,1))</f>
        <v>224.7049802939942</v>
      </c>
      <c r="BJ20" s="59">
        <f t="shared" si="38"/>
        <v>203.48513862195352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5.5864615384615384</v>
      </c>
      <c r="BY20" s="12">
        <f>IF('Données projet'!$A$114&gt;35,BY19+BX20-CG19,IF(A20&lt;'Données projet'!$A$114,$BV$205^A20,IF(A20='Données projet'!$A$114,'Données projet'!$B$114,BY19+BX20-CG19)))</f>
        <v>28.750952609046134</v>
      </c>
      <c r="BZ20" s="13">
        <f>BY20*VLOOKUP('Données projet'!$B$12,Paramètres!$A$1:$I$89,3,0)*VLOOKUP('Données projet'!$B$12,Paramètres!$A$1:$I$89,5,0)</f>
        <v>16.071782508456788</v>
      </c>
      <c r="CA20" s="13">
        <f t="shared" si="39"/>
        <v>5.3608080430779994</v>
      </c>
      <c r="CB20" s="20">
        <f t="shared" si="10"/>
        <v>37.328428543923089</v>
      </c>
      <c r="CC20" s="59">
        <f t="shared" si="11"/>
        <v>330.66176187725642</v>
      </c>
      <c r="CD20" s="59">
        <f ca="1">AVERAGE(OFFSET($CC$3,0,0,'Données projet'!$E$12+1,1))-AVERAGE(OFFSET($H$3,0,0,'Données projet'!$E$12+1,1))</f>
        <v>190.08613104982993</v>
      </c>
      <c r="CE20" s="59">
        <f t="shared" si="40"/>
        <v>180.55054525447781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4.3499999999999996</v>
      </c>
      <c r="CT20" s="12">
        <f>IF('Données projet'!$A$140&gt;35,CT19+CS20-DB19,IF(A20&lt;'Données projet'!$A$140,$CQ$205^A20,IF(A20='Données projet'!$A$140,'Données projet'!$B$140,CT19+CS20-DB19)))</f>
        <v>44.523711985211953</v>
      </c>
      <c r="CU20" s="17">
        <f>CT20*VLOOKUP('Données projet'!$B$13,Paramètres!$A$1:$I$89,3,0)*VLOOKUP('Données projet'!$B$13,Paramètres!$A$1:$I$89,5,0)</f>
        <v>26.625179767156752</v>
      </c>
      <c r="CV20" s="13">
        <f t="shared" si="41"/>
        <v>8.3741466273601048</v>
      </c>
      <c r="CW20" s="20">
        <f t="shared" si="13"/>
        <v>60.957160137116858</v>
      </c>
      <c r="CX20" s="59">
        <f t="shared" si="14"/>
        <v>354.2904934704502</v>
      </c>
      <c r="CY20" s="59">
        <f ca="1">AVERAGE(OFFSET($CX$3,0,0,'Données projet'!$E$13+1,1))-AVERAGE(OFFSET($H$3,0,0,'Données projet'!$E$13+1,1))</f>
        <v>270.30888762640245</v>
      </c>
      <c r="CZ20" s="59">
        <f t="shared" si="42"/>
        <v>202.23783851977691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3.45</v>
      </c>
      <c r="DO20" s="12">
        <f>IF('Données projet'!$A$166&gt;35,DO19+DN20-DW19,IF(A20&lt;'Données projet'!$A$166,$DL$205^A20,IF(A20='Données projet'!$A$166,'Données projet'!$B$166,DO19+DN20-DW19)))</f>
        <v>36.561308225087672</v>
      </c>
      <c r="DP20" s="17">
        <f>DO20*VLOOKUP('Données projet'!$B$14,Paramètres!$A$1:$I$89,3,0)*VLOOKUP('Données projet'!$B$14,Paramètres!$A$1:$I$89,5,0)</f>
        <v>21.863662318602426</v>
      </c>
      <c r="DQ20" s="13">
        <f t="shared" si="43"/>
        <v>7.036087459076632</v>
      </c>
      <c r="DR20" s="20">
        <f t="shared" si="16"/>
        <v>50.333730862791022</v>
      </c>
      <c r="DS20" s="59">
        <f t="shared" si="17"/>
        <v>343.66706419612433</v>
      </c>
      <c r="DT20" s="59">
        <f ca="1">AVERAGE(OFFSET($DS$3,0,0,'Données projet'!$E$14+1,1))-AVERAGE(OFFSET($H$3,0,0,'Données projet'!$E$14+1,1))</f>
        <v>221.14988592347311</v>
      </c>
      <c r="DU20" s="59">
        <f t="shared" si="44"/>
        <v>179.09262081171607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11.4</v>
      </c>
      <c r="EJ20" s="12">
        <f>IF('Données projet'!$A$192&gt;35,EJ19+EI20-ER19,IF(A20&lt;'Données projet'!$A$192,$EG$205^A20,IF(A20='Données projet'!$A$192,'Données projet'!$B$192,EJ19+EI20-ER19)))</f>
        <v>102.80000000000001</v>
      </c>
      <c r="EK20" s="17">
        <f>EJ20*VLOOKUP('Données projet'!$B$15,Paramètres!$A$1:$I$89,3,0)*VLOOKUP('Données projet'!$B$15,Paramètres!$A$1:$I$89,5,0)</f>
        <v>56.128800000000005</v>
      </c>
      <c r="EL20" s="13">
        <f t="shared" si="45"/>
        <v>16.185741500564642</v>
      </c>
      <c r="EM20" s="20">
        <f t="shared" si="19"/>
        <v>125.94782644681675</v>
      </c>
      <c r="EN20" s="59">
        <f t="shared" si="20"/>
        <v>419.28115978015006</v>
      </c>
      <c r="EO20" s="59">
        <f ca="1">AVERAGE(OFFSET($EN$3,0,0,'Données projet'!$E$15+1,1))-AVERAGE(OFFSET($H$3,0,0,'Données projet'!$E$15+1,1))</f>
        <v>168.72306536277267</v>
      </c>
      <c r="EP20" s="59">
        <f t="shared" si="46"/>
        <v>203.35476578922339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8.5</v>
      </c>
      <c r="FE20" s="12">
        <f>IF('Données projet'!$A$218&gt;35,FE19+FD20-FM19,IF(A20&lt;'Données projet'!$A$218,$FB$205^A20,IF(A20='Données projet'!$A$218,'Données projet'!$B$218,FE19+FD20-FM19)))</f>
        <v>71.5</v>
      </c>
      <c r="FF20" s="17">
        <f>FE20*VLOOKUP('Données projet'!$B$16,Paramètres!$A$1:$I$89,3,0)*VLOOKUP('Données projet'!$B$16,Paramètres!$A$1:$I$89,5,0)</f>
        <v>39.039000000000001</v>
      </c>
      <c r="FG20" s="13">
        <f t="shared" si="47"/>
        <v>11.74357437159231</v>
      </c>
      <c r="FH20" s="20">
        <f t="shared" si="22"/>
        <v>88.446317030523275</v>
      </c>
      <c r="FI20" s="59">
        <f t="shared" si="23"/>
        <v>381.7796503638566</v>
      </c>
      <c r="FJ20" s="59">
        <f ca="1">AVERAGE(OFFSET($FI$3,0,0,'Données projet'!$E$16+1,1))-AVERAGE(OFFSET($H$3,0,0,'Données projet'!$E$16+1,1))</f>
        <v>127.76128532861486</v>
      </c>
      <c r="FK20" s="59">
        <f t="shared" si="48"/>
        <v>157.52303491639736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2.9235042735042733</v>
      </c>
      <c r="N21" s="13">
        <f>IF('Données projet'!$A$36&gt;35,N20+M21-V20,IF(A21&lt;'Données projet'!$A$36,$K$205^A21,IF(A21='Données projet'!$A$36,'Données projet'!$B$36,N20+M21-V20)))</f>
        <v>14.649236575865659</v>
      </c>
      <c r="O21" s="13">
        <f>N21*VLOOKUP('Données projet'!$B$9,Paramètres!$A$1:$I$89,3,0)*VLOOKUP('Données projet'!$B$9,Paramètres!$A$1:$I$89,5,0)</f>
        <v>13.254629253843246</v>
      </c>
      <c r="P21" s="13">
        <f t="shared" si="33"/>
        <v>4.5214326134467182</v>
      </c>
      <c r="Q21" s="20">
        <f t="shared" si="2"/>
        <v>30.959974418863357</v>
      </c>
      <c r="R21" s="59">
        <f t="shared" si="0"/>
        <v>324.29330775219665</v>
      </c>
      <c r="S21" s="59">
        <f ca="1">AVERAGE(OFFSET($R$3,0,0,'Données projet'!$E$9+1,1))-AVERAGE(OFFSET($H$3,0,0,'Données projet'!$E$9+1,1))</f>
        <v>153.45079678708987</v>
      </c>
      <c r="T21" s="59">
        <f t="shared" si="34"/>
        <v>115.4217868409637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1.8914529914529912</v>
      </c>
      <c r="AI21" s="13">
        <f>IF('Données projet'!$A$62&gt;35,AI20+AH21-AQ20,IF(A21&lt;'Données projet'!$A$62,$AF$205^A21,IF(A21='Données projet'!$A$62,'Données projet'!$B$62,AI20+AH21-AQ20)))</f>
        <v>11.281064547021465</v>
      </c>
      <c r="AJ21" s="13">
        <f>AI21*VLOOKUP('Données projet'!$B$10,Paramètres!$A$1:$I$89,3,0)*VLOOKUP('Données projet'!$B$10,Paramètres!$A$1:$I$89,5,0)</f>
        <v>10.207107202145021</v>
      </c>
      <c r="AK21" s="13">
        <f t="shared" si="35"/>
        <v>3.5893719900206627</v>
      </c>
      <c r="AL21" s="20">
        <f t="shared" si="4"/>
        <v>24.028867926355232</v>
      </c>
      <c r="AM21" s="59">
        <f t="shared" si="5"/>
        <v>317.36220125968856</v>
      </c>
      <c r="AN21" s="59">
        <f ca="1">AVERAGE(OFFSET($AM$3,0,0,'Données projet'!$E$10+1,1))-AVERAGE(OFFSET($H$3,0,0,'Données projet'!$E$10+1,1))</f>
        <v>123.92486590666675</v>
      </c>
      <c r="AO21" s="59">
        <f t="shared" si="36"/>
        <v>54.404493017418986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7.7987854251012134</v>
      </c>
      <c r="BD21" s="12">
        <f>IF('Données projet'!$A$88&gt;35,BD20+BC21-BL20,IF(A21&lt;'Données projet'!$A$88,$BA$205^A21,IF(A21='Données projet'!$A$88,'Données projet'!$B$88,BD20+BC21-BL20)))</f>
        <v>113.90137405897467</v>
      </c>
      <c r="BE21" s="13">
        <f>BD21*VLOOKUP('Données projet'!$B$11,Paramètres!$A$1:$I$89,3,0)*VLOOKUP('Données projet'!$B$11,Paramètres!$A$1:$I$89,5,0)</f>
        <v>63.670868098966835</v>
      </c>
      <c r="BF21" s="13">
        <f t="shared" si="37"/>
        <v>18.093147773646375</v>
      </c>
      <c r="BG21" s="20">
        <f t="shared" si="7"/>
        <v>142.40566097813468</v>
      </c>
      <c r="BH21" s="59">
        <f t="shared" si="8"/>
        <v>435.73899431146799</v>
      </c>
      <c r="BI21" s="59">
        <f ca="1">AVERAGE(OFFSET($BH$3,0,0,'Données projet'!$E$11+1,1))-AVERAGE(OFFSET($H$3,0,0,'Données projet'!$E$11+1,1))</f>
        <v>224.7049802939942</v>
      </c>
      <c r="BJ21" s="59">
        <f t="shared" si="38"/>
        <v>203.48513862195352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5.5864615384615384</v>
      </c>
      <c r="BY21" s="12">
        <f>IF('Données projet'!$A$114&gt;35,BY20+BX21-CG20,IF(A21&lt;'Données projet'!$A$114,$BV$205^A21,IF(A21='Données projet'!$A$114,'Données projet'!$B$114,BY20+BX21-CG20)))</f>
        <v>35.031223977904645</v>
      </c>
      <c r="BZ21" s="13">
        <f>BY21*VLOOKUP('Données projet'!$B$12,Paramètres!$A$1:$I$89,3,0)*VLOOKUP('Données projet'!$B$12,Paramètres!$A$1:$I$89,5,0)</f>
        <v>19.582454203648698</v>
      </c>
      <c r="CA21" s="13">
        <f t="shared" si="39"/>
        <v>6.3833087598760283</v>
      </c>
      <c r="CB21" s="20">
        <f t="shared" si="10"/>
        <v>45.223703828138895</v>
      </c>
      <c r="CC21" s="59">
        <f t="shared" si="11"/>
        <v>338.55703716147218</v>
      </c>
      <c r="CD21" s="59">
        <f ca="1">AVERAGE(OFFSET($CC$3,0,0,'Données projet'!$E$12+1,1))-AVERAGE(OFFSET($H$3,0,0,'Données projet'!$E$12+1,1))</f>
        <v>190.08613104982993</v>
      </c>
      <c r="CE21" s="59">
        <f t="shared" si="40"/>
        <v>180.55054525447781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4.3499999999999996</v>
      </c>
      <c r="CT21" s="12">
        <f>IF('Données projet'!$A$140&gt;35,CT20+CS21-DB20,IF(A21&lt;'Données projet'!$A$140,$CQ$205^A21,IF(A21='Données projet'!$A$140,'Données projet'!$B$140,CT20+CS21-DB20)))</f>
        <v>55.663092037363775</v>
      </c>
      <c r="CU21" s="17">
        <f>CT21*VLOOKUP('Données projet'!$B$13,Paramètres!$A$1:$I$89,3,0)*VLOOKUP('Données projet'!$B$13,Paramètres!$A$1:$I$89,5,0)</f>
        <v>33.286529038343545</v>
      </c>
      <c r="CV21" s="13">
        <f t="shared" si="41"/>
        <v>10.200665853974691</v>
      </c>
      <c r="CW21" s="20">
        <f t="shared" si="13"/>
        <v>75.740197770787589</v>
      </c>
      <c r="CX21" s="59">
        <f t="shared" si="14"/>
        <v>369.07353110412089</v>
      </c>
      <c r="CY21" s="59">
        <f ca="1">AVERAGE(OFFSET($CX$3,0,0,'Données projet'!$E$13+1,1))-AVERAGE(OFFSET($H$3,0,0,'Données projet'!$E$13+1,1))</f>
        <v>270.30888762640245</v>
      </c>
      <c r="CZ21" s="59">
        <f t="shared" si="42"/>
        <v>202.23783851977691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3.45</v>
      </c>
      <c r="DO21" s="12">
        <f>IF('Données projet'!$A$166&gt;35,DO20+DN21-DW20,IF(A21&lt;'Données projet'!$A$166,$DL$205^A21,IF(A21='Données projet'!$A$166,'Données projet'!$B$166,DO20+DN21-DW20)))</f>
        <v>45.181867919765558</v>
      </c>
      <c r="DP21" s="17">
        <f>DO21*VLOOKUP('Données projet'!$B$14,Paramètres!$A$1:$I$89,3,0)*VLOOKUP('Données projet'!$B$14,Paramètres!$A$1:$I$89,5,0)</f>
        <v>27.018757016019805</v>
      </c>
      <c r="DQ21" s="13">
        <f t="shared" si="43"/>
        <v>8.4834319786978512</v>
      </c>
      <c r="DR21" s="20">
        <f t="shared" si="16"/>
        <v>61.832979165799912</v>
      </c>
      <c r="DS21" s="59">
        <f t="shared" si="17"/>
        <v>355.16631249913326</v>
      </c>
      <c r="DT21" s="59">
        <f ca="1">AVERAGE(OFFSET($DS$3,0,0,'Données projet'!$E$14+1,1))-AVERAGE(OFFSET($H$3,0,0,'Données projet'!$E$14+1,1))</f>
        <v>221.14988592347311</v>
      </c>
      <c r="DU21" s="59">
        <f t="shared" si="44"/>
        <v>179.09262081171607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11.4</v>
      </c>
      <c r="EJ21" s="12">
        <f>IF('Données projet'!$A$192&gt;35,EJ20+EI21-ER20,IF(A21&lt;'Données projet'!$A$192,$EG$205^A21,IF(A21='Données projet'!$A$192,'Données projet'!$B$192,EJ20+EI21-ER20)))</f>
        <v>114.20000000000002</v>
      </c>
      <c r="EK21" s="17">
        <f>EJ21*VLOOKUP('Données projet'!$B$15,Paramètres!$A$1:$I$89,3,0)*VLOOKUP('Données projet'!$B$15,Paramètres!$A$1:$I$89,5,0)</f>
        <v>62.353200000000008</v>
      </c>
      <c r="EL21" s="13">
        <f t="shared" si="45"/>
        <v>17.761893159201268</v>
      </c>
      <c r="EM21" s="20">
        <f t="shared" si="19"/>
        <v>139.53378725227557</v>
      </c>
      <c r="EN21" s="59">
        <f t="shared" si="20"/>
        <v>432.86712058560886</v>
      </c>
      <c r="EO21" s="59">
        <f ca="1">AVERAGE(OFFSET($EN$3,0,0,'Données projet'!$E$15+1,1))-AVERAGE(OFFSET($H$3,0,0,'Données projet'!$E$15+1,1))</f>
        <v>168.72306536277267</v>
      </c>
      <c r="EP21" s="59">
        <f t="shared" si="46"/>
        <v>203.35476578922339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8.5</v>
      </c>
      <c r="FE21" s="12">
        <f>IF('Données projet'!$A$218&gt;35,FE20+FD21-FM20,IF(A21&lt;'Données projet'!$A$218,$FB$205^A21,IF(A21='Données projet'!$A$218,'Données projet'!$B$218,FE20+FD21-FM20)))</f>
        <v>80</v>
      </c>
      <c r="FF21" s="17">
        <f>FE21*VLOOKUP('Données projet'!$B$16,Paramètres!$A$1:$I$89,3,0)*VLOOKUP('Données projet'!$B$16,Paramètres!$A$1:$I$89,5,0)</f>
        <v>43.680000000000007</v>
      </c>
      <c r="FG21" s="13">
        <f t="shared" si="47"/>
        <v>12.968979282088577</v>
      </c>
      <c r="FH21" s="20">
        <f t="shared" si="22"/>
        <v>98.663638916304294</v>
      </c>
      <c r="FI21" s="59">
        <f t="shared" si="23"/>
        <v>391.99697224963762</v>
      </c>
      <c r="FJ21" s="59">
        <f ca="1">AVERAGE(OFFSET($FI$3,0,0,'Données projet'!$E$16+1,1))-AVERAGE(OFFSET($H$3,0,0,'Données projet'!$E$16+1,1))</f>
        <v>127.76128532861486</v>
      </c>
      <c r="FK21" s="59">
        <f t="shared" si="48"/>
        <v>157.52303491639736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2.9235042735042733</v>
      </c>
      <c r="N22" s="13">
        <f>IF('Données projet'!$A$36&gt;35,N21+M22-V21,IF(A22&lt;'Données projet'!$A$36,$K$205^A22,IF(A22='Données projet'!$A$36,'Données projet'!$B$36,N21+M22-V21)))</f>
        <v>17.005229294461625</v>
      </c>
      <c r="O22" s="13">
        <f>N22*VLOOKUP('Données projet'!$B$9,Paramètres!$A$1:$I$89,3,0)*VLOOKUP('Données projet'!$B$9,Paramètres!$A$1:$I$89,5,0)</f>
        <v>15.386331465628878</v>
      </c>
      <c r="P22" s="13">
        <f t="shared" si="33"/>
        <v>5.1582765859259734</v>
      </c>
      <c r="Q22" s="20">
        <f t="shared" si="2"/>
        <v>35.781859023124703</v>
      </c>
      <c r="R22" s="59">
        <f t="shared" si="0"/>
        <v>329.11519235645801</v>
      </c>
      <c r="S22" s="59">
        <f ca="1">AVERAGE(OFFSET($R$3,0,0,'Données projet'!$E$9+1,1))-AVERAGE(OFFSET($H$3,0,0,'Données projet'!$E$9+1,1))</f>
        <v>153.45079678708987</v>
      </c>
      <c r="T22" s="59">
        <f t="shared" si="34"/>
        <v>115.4217868409637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1.8914529914529912</v>
      </c>
      <c r="AI22" s="13">
        <f>IF('Données projet'!$A$62&gt;35,AI21+AH22-AQ21,IF(A22&lt;'Données projet'!$A$62,$AF$205^A22,IF(A22='Données projet'!$A$62,'Données projet'!$B$62,AI21+AH22-AQ21)))</f>
        <v>12.906663212971637</v>
      </c>
      <c r="AJ22" s="13">
        <f>AI22*VLOOKUP('Données projet'!$B$10,Paramètres!$A$1:$I$89,3,0)*VLOOKUP('Données projet'!$B$10,Paramètres!$A$1:$I$89,5,0)</f>
        <v>11.677948875096735</v>
      </c>
      <c r="AK22" s="13">
        <f t="shared" si="35"/>
        <v>4.0427526064619173</v>
      </c>
      <c r="AL22" s="20">
        <f t="shared" si="4"/>
        <v>27.380221747047983</v>
      </c>
      <c r="AM22" s="59">
        <f t="shared" si="5"/>
        <v>320.7135550803813</v>
      </c>
      <c r="AN22" s="59">
        <f ca="1">AVERAGE(OFFSET($AM$3,0,0,'Données projet'!$E$10+1,1))-AVERAGE(OFFSET($H$3,0,0,'Données projet'!$E$10+1,1))</f>
        <v>123.92486590666675</v>
      </c>
      <c r="AO22" s="59">
        <f t="shared" si="36"/>
        <v>54.404493017418986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>
        <f>VLOOKUP(A22,'Données projet'!$A$87:$I$107,2,0)</f>
        <v>148.17692307692306</v>
      </c>
      <c r="BB22" s="12">
        <f>VLOOKUP(A22,'Données projet'!$A$87:$I$107,9,0)</f>
        <v>7.7987854251012134</v>
      </c>
      <c r="BC22" s="12">
        <f t="array" ref="BC22">INDEX(BB:BB,MIN(IF(ISNUMBER(BB22:BB218),ROW(BB22:BB218),"")))</f>
        <v>7.7987854251012134</v>
      </c>
      <c r="BD22" s="12">
        <f>IF('Données projet'!$A$88&gt;35,BD21+BC22-BL21,IF(A22&lt;'Données projet'!$A$88,$BA$205^A22,IF(A22='Données projet'!$A$88,'Données projet'!$B$88,BD21+BC22-BL21)))</f>
        <v>148.17692307692306</v>
      </c>
      <c r="BE22" s="13">
        <f>BD22*VLOOKUP('Données projet'!$B$11,Paramètres!$A$1:$I$89,3,0)*VLOOKUP('Données projet'!$B$11,Paramètres!$A$1:$I$89,5,0)</f>
        <v>82.830899999999986</v>
      </c>
      <c r="BF22" s="13">
        <f t="shared" si="37"/>
        <v>22.827946813839315</v>
      </c>
      <c r="BG22" s="20">
        <f t="shared" si="7"/>
        <v>184.02249153410344</v>
      </c>
      <c r="BH22" s="59">
        <f t="shared" si="8"/>
        <v>477.35582486743675</v>
      </c>
      <c r="BI22" s="59">
        <f ca="1">AVERAGE(OFFSET($BH$3,0,0,'Données projet'!$E$11+1,1))-AVERAGE(OFFSET($H$3,0,0,'Données projet'!$E$11+1,1))</f>
        <v>224.7049802939942</v>
      </c>
      <c r="BJ22" s="59">
        <f t="shared" si="38"/>
        <v>203.48513862195352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5.5864615384615384</v>
      </c>
      <c r="BY22" s="12">
        <f>IF('Données projet'!$A$114&gt;35,BY21+BX22-CG21,IF(A22&lt;'Données projet'!$A$114,$BV$205^A22,IF(A22='Données projet'!$A$114,'Données projet'!$B$114,BY21+BX22-CG21)))</f>
        <v>42.683338881926375</v>
      </c>
      <c r="BZ22" s="13">
        <f>BY22*VLOOKUP('Données projet'!$B$12,Paramètres!$A$1:$I$89,3,0)*VLOOKUP('Données projet'!$B$12,Paramètres!$A$1:$I$89,5,0)</f>
        <v>23.859986434996841</v>
      </c>
      <c r="CA22" s="13">
        <f t="shared" si="39"/>
        <v>7.6008374850360587</v>
      </c>
      <c r="CB22" s="20">
        <f t="shared" si="10"/>
        <v>54.794268327390633</v>
      </c>
      <c r="CC22" s="59">
        <f t="shared" si="11"/>
        <v>348.12760166072394</v>
      </c>
      <c r="CD22" s="59">
        <f ca="1">AVERAGE(OFFSET($CC$3,0,0,'Données projet'!$E$12+1,1))-AVERAGE(OFFSET($H$3,0,0,'Données projet'!$E$12+1,1))</f>
        <v>190.08613104982993</v>
      </c>
      <c r="CE22" s="59">
        <f t="shared" si="40"/>
        <v>180.55054525447781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4.3499999999999996</v>
      </c>
      <c r="CT22" s="12">
        <f>IF('Données projet'!$A$140&gt;35,CT21+CS22-DB21,IF(A22&lt;'Données projet'!$A$140,$CQ$205^A22,IF(A22='Données projet'!$A$140,'Données projet'!$B$140,CT21+CS22-DB21)))</f>
        <v>69.589431720992238</v>
      </c>
      <c r="CU22" s="17">
        <f>CT22*VLOOKUP('Données projet'!$B$13,Paramètres!$A$1:$I$89,3,0)*VLOOKUP('Données projet'!$B$13,Paramètres!$A$1:$I$89,5,0)</f>
        <v>41.614480169153367</v>
      </c>
      <c r="CV22" s="13">
        <f t="shared" si="41"/>
        <v>12.425574628043913</v>
      </c>
      <c r="CW22" s="20">
        <f t="shared" si="13"/>
        <v>94.119762105118596</v>
      </c>
      <c r="CX22" s="59">
        <f t="shared" si="14"/>
        <v>387.4530954384519</v>
      </c>
      <c r="CY22" s="59">
        <f ca="1">AVERAGE(OFFSET($CX$3,0,0,'Données projet'!$E$13+1,1))-AVERAGE(OFFSET($H$3,0,0,'Données projet'!$E$13+1,1))</f>
        <v>270.30888762640245</v>
      </c>
      <c r="CZ22" s="59">
        <f t="shared" si="42"/>
        <v>202.23783851977691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3.45</v>
      </c>
      <c r="DO22" s="12">
        <f>IF('Données projet'!$A$166&gt;35,DO21+DN22-DW21,IF(A22&lt;'Données projet'!$A$166,$DL$205^A22,IF(A22='Données projet'!$A$166,'Données projet'!$B$166,DO21+DN22-DW21)))</f>
        <v>55.835014878334412</v>
      </c>
      <c r="DP22" s="17">
        <f>DO22*VLOOKUP('Données projet'!$B$14,Paramètres!$A$1:$I$89,3,0)*VLOOKUP('Données projet'!$B$14,Paramètres!$A$1:$I$89,5,0)</f>
        <v>33.389338897243981</v>
      </c>
      <c r="DQ22" s="13">
        <f t="shared" si="43"/>
        <v>10.228499653504594</v>
      </c>
      <c r="DR22" s="20">
        <f t="shared" si="16"/>
        <v>75.967735475887096</v>
      </c>
      <c r="DS22" s="59">
        <f t="shared" si="17"/>
        <v>369.3010688092204</v>
      </c>
      <c r="DT22" s="59">
        <f ca="1">AVERAGE(OFFSET($DS$3,0,0,'Données projet'!$E$14+1,1))-AVERAGE(OFFSET($H$3,0,0,'Données projet'!$E$14+1,1))</f>
        <v>221.14988592347311</v>
      </c>
      <c r="DU22" s="59">
        <f t="shared" si="44"/>
        <v>179.09262081171607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11.4</v>
      </c>
      <c r="EJ22" s="12">
        <f>IF('Données projet'!$A$192&gt;35,EJ21+EI22-ER21,IF(A22&lt;'Données projet'!$A$192,$EG$205^A22,IF(A22='Données projet'!$A$192,'Données projet'!$B$192,EJ21+EI22-ER21)))</f>
        <v>125.60000000000002</v>
      </c>
      <c r="EK22" s="17">
        <f>EJ22*VLOOKUP('Données projet'!$B$15,Paramètres!$A$1:$I$89,3,0)*VLOOKUP('Données projet'!$B$15,Paramètres!$A$1:$I$89,5,0)</f>
        <v>68.577600000000018</v>
      </c>
      <c r="EL22" s="13">
        <f t="shared" si="45"/>
        <v>19.319804585752038</v>
      </c>
      <c r="EM22" s="20">
        <f t="shared" si="19"/>
        <v>153.08797965351815</v>
      </c>
      <c r="EN22" s="59">
        <f t="shared" si="20"/>
        <v>446.42131298685149</v>
      </c>
      <c r="EO22" s="59">
        <f ca="1">AVERAGE(OFFSET($EN$3,0,0,'Données projet'!$E$15+1,1))-AVERAGE(OFFSET($H$3,0,0,'Données projet'!$E$15+1,1))</f>
        <v>168.72306536277267</v>
      </c>
      <c r="EP22" s="59">
        <f t="shared" si="46"/>
        <v>203.35476578922339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8.5</v>
      </c>
      <c r="FE22" s="12">
        <f>IF('Données projet'!$A$218&gt;35,FE21+FD22-FM21,IF(A22&lt;'Données projet'!$A$218,$FB$205^A22,IF(A22='Données projet'!$A$218,'Données projet'!$B$218,FE21+FD22-FM21)))</f>
        <v>88.5</v>
      </c>
      <c r="FF22" s="17">
        <f>FE22*VLOOKUP('Données projet'!$B$16,Paramètres!$A$1:$I$89,3,0)*VLOOKUP('Données projet'!$B$16,Paramètres!$A$1:$I$89,5,0)</f>
        <v>48.321000000000005</v>
      </c>
      <c r="FG22" s="13">
        <f t="shared" si="47"/>
        <v>14.17929238340415</v>
      </c>
      <c r="FH22" s="20">
        <f t="shared" si="22"/>
        <v>108.85467590109558</v>
      </c>
      <c r="FI22" s="59">
        <f t="shared" si="23"/>
        <v>402.18800923442888</v>
      </c>
      <c r="FJ22" s="59">
        <f ca="1">AVERAGE(OFFSET($FI$3,0,0,'Données projet'!$E$16+1,1))-AVERAGE(OFFSET($H$3,0,0,'Données projet'!$E$16+1,1))</f>
        <v>127.76128532861486</v>
      </c>
      <c r="FK22" s="59">
        <f t="shared" si="48"/>
        <v>157.52303491639736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2.9235042735042733</v>
      </c>
      <c r="N23" s="13">
        <f>IF('Données projet'!$A$36&gt;35,N22+M23-V22,IF(A23&lt;'Données projet'!$A$36,$K$205^A23,IF(A23='Données projet'!$A$36,'Données projet'!$B$36,N22+M23-V22)))</f>
        <v>19.740129245617538</v>
      </c>
      <c r="O23" s="13">
        <f>N23*VLOOKUP('Données projet'!$B$9,Paramètres!$A$1:$I$89,3,0)*VLOOKUP('Données projet'!$B$9,Paramètres!$A$1:$I$89,5,0)</f>
        <v>17.860868941434749</v>
      </c>
      <c r="P23" s="13">
        <f t="shared" si="33"/>
        <v>5.8848200585320249</v>
      </c>
      <c r="Q23" s="20">
        <f t="shared" si="2"/>
        <v>41.357075008275459</v>
      </c>
      <c r="R23" s="59">
        <f t="shared" si="0"/>
        <v>334.69040834160876</v>
      </c>
      <c r="S23" s="59">
        <f ca="1">AVERAGE(OFFSET($R$3,0,0,'Données projet'!$E$9+1,1))-AVERAGE(OFFSET($H$3,0,0,'Données projet'!$E$9+1,1))</f>
        <v>153.45079678708987</v>
      </c>
      <c r="T23" s="59">
        <f t="shared" si="34"/>
        <v>115.4217868409637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1.8914529914529912</v>
      </c>
      <c r="AI23" s="13">
        <f>IF('Données projet'!$A$62&gt;35,AI22+AH23-AQ22,IF(A23&lt;'Données projet'!$A$62,$AF$205^A23,IF(A23='Données projet'!$A$62,'Données projet'!$B$62,AI22+AH23-AQ22)))</f>
        <v>14.766510252532674</v>
      </c>
      <c r="AJ23" s="13">
        <f>AI23*VLOOKUP('Données projet'!$B$10,Paramètres!$A$1:$I$89,3,0)*VLOOKUP('Données projet'!$B$10,Paramètres!$A$1:$I$89,5,0)</f>
        <v>13.360738476491564</v>
      </c>
      <c r="AK23" s="13">
        <f t="shared" si="35"/>
        <v>4.5534006178502953</v>
      </c>
      <c r="AL23" s="20">
        <f t="shared" si="4"/>
        <v>31.200458922645399</v>
      </c>
      <c r="AM23" s="59">
        <f t="shared" si="5"/>
        <v>324.53379225597871</v>
      </c>
      <c r="AN23" s="59">
        <f ca="1">AVERAGE(OFFSET($AM$3,0,0,'Données projet'!$E$10+1,1))-AVERAGE(OFFSET($H$3,0,0,'Données projet'!$E$10+1,1))</f>
        <v>123.92486590666675</v>
      </c>
      <c r="AO23" s="59">
        <f t="shared" si="36"/>
        <v>54.404493017418986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15.942307692307708</v>
      </c>
      <c r="BD23" s="12">
        <f>IF('Données projet'!$A$88&gt;35,BD22+BC23-BL22,IF(A23&lt;'Données projet'!$A$88,$BA$205^A23,IF(A23='Données projet'!$A$88,'Données projet'!$B$88,BD22+BC23-BL22)))</f>
        <v>164.11923076923077</v>
      </c>
      <c r="BE23" s="13">
        <f>BD23*VLOOKUP('Données projet'!$B$11,Paramètres!$A$1:$I$89,3,0)*VLOOKUP('Données projet'!$B$11,Paramètres!$A$1:$I$89,5,0)</f>
        <v>91.742650000000012</v>
      </c>
      <c r="BF23" s="13">
        <f t="shared" si="37"/>
        <v>24.985039964008102</v>
      </c>
      <c r="BG23" s="20">
        <f t="shared" si="7"/>
        <v>203.3007266873141</v>
      </c>
      <c r="BH23" s="59">
        <f t="shared" si="8"/>
        <v>496.63406002064744</v>
      </c>
      <c r="BI23" s="59">
        <f ca="1">AVERAGE(OFFSET($BH$3,0,0,'Données projet'!$E$11+1,1))-AVERAGE(OFFSET($H$3,0,0,'Données projet'!$E$11+1,1))</f>
        <v>224.7049802939942</v>
      </c>
      <c r="BJ23" s="59">
        <f t="shared" si="38"/>
        <v>203.48513862195352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5.5864615384615384</v>
      </c>
      <c r="BY23" s="12">
        <f>IF('Données projet'!$A$114&gt;35,BY22+BX23-CG22,IF(A23&lt;'Données projet'!$A$114,$BV$205^A23,IF(A23='Données projet'!$A$114,'Données projet'!$B$114,BY22+BX23-CG22)))</f>
        <v>52.006958685156981</v>
      </c>
      <c r="BZ23" s="13">
        <f>BY23*VLOOKUP('Données projet'!$B$12,Paramètres!$A$1:$I$89,3,0)*VLOOKUP('Données projet'!$B$12,Paramètres!$A$1:$I$89,5,0)</f>
        <v>29.071889905002752</v>
      </c>
      <c r="CA23" s="13">
        <f t="shared" si="39"/>
        <v>9.0505931402026167</v>
      </c>
      <c r="CB23" s="20">
        <f t="shared" si="10"/>
        <v>66.396657970399346</v>
      </c>
      <c r="CC23" s="59">
        <f t="shared" si="11"/>
        <v>359.72999130373267</v>
      </c>
      <c r="CD23" s="59">
        <f ca="1">AVERAGE(OFFSET($CC$3,0,0,'Données projet'!$E$12+1,1))-AVERAGE(OFFSET($H$3,0,0,'Données projet'!$E$12+1,1))</f>
        <v>190.08613104982993</v>
      </c>
      <c r="CE23" s="59">
        <f t="shared" si="40"/>
        <v>180.55054525447781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>
        <f>VLOOKUP(A23,'Données projet'!$A$139:$I$159,2,0)</f>
        <v>87</v>
      </c>
      <c r="CR23" s="12">
        <f>VLOOKUP(A23,'Données projet'!$A$139:$I$159,9,0)</f>
        <v>4.3499999999999996</v>
      </c>
      <c r="CS23" s="12">
        <f t="array" ref="CS23">INDEX(CR:CR,MIN(IF(ISNUMBER(CR23:CR219),ROW(CR23:CR219),"")))</f>
        <v>4.3499999999999996</v>
      </c>
      <c r="CT23" s="12">
        <f>IF('Données projet'!$A$140&gt;35,CT22+CS23-DB22,IF(A23&lt;'Données projet'!$A$140,$CQ$205^A23,IF(A23='Données projet'!$A$140,'Données projet'!$B$140,CT22+CS23-DB22)))</f>
        <v>87</v>
      </c>
      <c r="CU23" s="17">
        <f>CT23*VLOOKUP('Données projet'!$B$13,Paramètres!$A$1:$I$89,3,0)*VLOOKUP('Données projet'!$B$13,Paramètres!$A$1:$I$89,5,0)</f>
        <v>52.026000000000003</v>
      </c>
      <c r="CV23" s="13">
        <f t="shared" si="41"/>
        <v>15.135767316300118</v>
      </c>
      <c r="CW23" s="20">
        <f t="shared" si="13"/>
        <v>116.97341140922269</v>
      </c>
      <c r="CX23" s="59">
        <f t="shared" si="14"/>
        <v>410.30674474255602</v>
      </c>
      <c r="CY23" s="59">
        <f ca="1">AVERAGE(OFFSET($CX$3,0,0,'Données projet'!$E$13+1,1))-AVERAGE(OFFSET($H$3,0,0,'Données projet'!$E$13+1,1))</f>
        <v>270.30888762640245</v>
      </c>
      <c r="CZ23" s="59">
        <f t="shared" si="42"/>
        <v>202.23783851977691</v>
      </c>
      <c r="DA23" s="15">
        <f>IF(ISNA(VLOOKUP(A23,'Données projet'!$A$139:$I$159,3,0)),0,VLOOKUP(A23,'Données projet'!$A$139:$I$159,3,0))</f>
        <v>1</v>
      </c>
      <c r="DB23" s="15">
        <f>IF(ISNA(VLOOKUP(A23,'Données projet'!$A$139:$I$159,4,0)),0,VLOOKUP(A23,'Données projet'!$A$139:$I$159,4,0))</f>
        <v>20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0.22500000000000001</v>
      </c>
      <c r="DE23" s="16">
        <f>IF(ISNA(VLOOKUP(A23,'Données projet'!$A$139:$I$159,7,0)),0%,VLOOKUP(A23,'Données projet'!$A$139:$I$159,7,0))</f>
        <v>0.5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3.5557293460465722</v>
      </c>
      <c r="DH23" s="21">
        <f>EXP(-LN(2)/2)*DH22+(1-EXP(-LN(2)/2))/(LN(2)/2)*DB23*DE23*VLOOKUP('Données projet'!$B$13,Paramètres!$A$1:$I$89,3,0)*0.475*44/12</f>
        <v>6.7707491392082657</v>
      </c>
      <c r="DI23" s="22">
        <f t="shared" si="15"/>
        <v>10.326478485254839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>
        <f>VLOOKUP(A23,'Données projet'!$A$165:$I$185,2,0)</f>
        <v>69</v>
      </c>
      <c r="DM23" s="12">
        <f>VLOOKUP(A23,'Données projet'!$A$165:$I$185,9,0)</f>
        <v>3.45</v>
      </c>
      <c r="DN23" s="12">
        <f t="array" ref="DN23">INDEX(DM:DM,MIN(IF(ISNUMBER(DM23:DM219),ROW(DM23:DM219),"")))</f>
        <v>3.45</v>
      </c>
      <c r="DO23" s="12">
        <f>IF('Données projet'!$A$166&gt;35,DO22+DN23-DW22,IF(A23&lt;'Données projet'!$A$166,$DL$205^A23,IF(A23='Données projet'!$A$166,'Données projet'!$B$166,DO22+DN23-DW22)))</f>
        <v>69</v>
      </c>
      <c r="DP23" s="17">
        <f>DO23*VLOOKUP('Données projet'!$B$14,Paramètres!$A$1:$I$89,3,0)*VLOOKUP('Données projet'!$B$14,Paramètres!$A$1:$I$89,5,0)</f>
        <v>41.262</v>
      </c>
      <c r="DQ23" s="13">
        <f t="shared" si="43"/>
        <v>12.332533039040454</v>
      </c>
      <c r="DR23" s="20">
        <f t="shared" si="16"/>
        <v>93.343811709662134</v>
      </c>
      <c r="DS23" s="59">
        <f t="shared" si="17"/>
        <v>386.67714504299545</v>
      </c>
      <c r="DT23" s="59">
        <f ca="1">AVERAGE(OFFSET($DS$3,0,0,'Données projet'!$E$14+1,1))-AVERAGE(OFFSET($H$3,0,0,'Données projet'!$E$14+1,1))</f>
        <v>221.14988592347311</v>
      </c>
      <c r="DU23" s="59">
        <f t="shared" si="44"/>
        <v>179.09262081171607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>
        <f>VLOOKUP(A23,'Données projet'!$A$191:$I$211,2,0)</f>
        <v>137</v>
      </c>
      <c r="EH23" s="12">
        <f>VLOOKUP(A23,'Données projet'!$A$191:$I$211,9,0)</f>
        <v>11.4</v>
      </c>
      <c r="EI23" s="12">
        <f t="array" ref="EI23">INDEX(EH:EH,MIN(IF(ISNUMBER(EH23:EH219),ROW(EH23:EH219),"")))</f>
        <v>11.4</v>
      </c>
      <c r="EJ23" s="12">
        <f>IF('Données projet'!$A$192&gt;35,EJ22+EI23-ER22,IF(A23&lt;'Données projet'!$A$192,$EG$205^A23,IF(A23='Données projet'!$A$192,'Données projet'!$B$192,EJ22+EI23-ER22)))</f>
        <v>137.00000000000003</v>
      </c>
      <c r="EK23" s="17">
        <f>EJ23*VLOOKUP('Données projet'!$B$15,Paramètres!$A$1:$I$89,3,0)*VLOOKUP('Données projet'!$B$15,Paramètres!$A$1:$I$89,5,0)</f>
        <v>74.802000000000021</v>
      </c>
      <c r="EL23" s="13">
        <f t="shared" si="45"/>
        <v>20.861319623408168</v>
      </c>
      <c r="EM23" s="20">
        <f t="shared" si="19"/>
        <v>166.61361501076925</v>
      </c>
      <c r="EN23" s="59">
        <f t="shared" si="20"/>
        <v>459.94694834410257</v>
      </c>
      <c r="EO23" s="59">
        <f ca="1">AVERAGE(OFFSET($EN$3,0,0,'Données projet'!$E$15+1,1))-AVERAGE(OFFSET($H$3,0,0,'Données projet'!$E$15+1,1))</f>
        <v>168.72306536277267</v>
      </c>
      <c r="EP23" s="59">
        <f t="shared" si="46"/>
        <v>203.35476578922339</v>
      </c>
      <c r="EQ23" s="15">
        <f>IF(ISNA(VLOOKUP(A23,'Données projet'!$A$191:$I$211,3,0)),0,VLOOKUP(A23,'Données projet'!$A$191:$I$211,3,0))</f>
        <v>1</v>
      </c>
      <c r="ER23" s="15">
        <f>IF(ISNA(VLOOKUP(A23,'Données projet'!$A$191:$I$211,4,0)),0,VLOOKUP(A23,'Données projet'!$A$191:$I$211,4,0))</f>
        <v>57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0.3</v>
      </c>
      <c r="EU23" s="16">
        <f>IF(ISNA(VLOOKUP(A23,'Données projet'!$A$191:$I$211,7,0)),0%,VLOOKUP(A23,'Données projet'!$A$191:$I$211,7,0))</f>
        <v>0.5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12.336834861500714</v>
      </c>
      <c r="EX23" s="21">
        <f>EXP(-LN(2)/2)*EX22+(1-EXP(-LN(2)/2))/(LN(2)/2)*ER23*EU23*VLOOKUP('Données projet'!$B$15,Paramètres!$A$1:$I$89,3,0)*0.475*44/12</f>
        <v>17.618666781809335</v>
      </c>
      <c r="EY23" s="22">
        <f t="shared" si="21"/>
        <v>29.95550164331005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>
        <f>VLOOKUP(A23,'Données projet'!$A$217:$I$237,2,0)</f>
        <v>97</v>
      </c>
      <c r="FC23" s="12">
        <f>VLOOKUP(A23,'Données projet'!$A$217:$I$237,9,0)</f>
        <v>8.5</v>
      </c>
      <c r="FD23" s="12">
        <f t="array" ref="FD23">INDEX(FC:FC,MIN(IF(ISNUMBER(FC23:FC219),ROW(FC23:FC219),"")))</f>
        <v>8.5</v>
      </c>
      <c r="FE23" s="12">
        <f>IF('Données projet'!$A$218&gt;35,FE22+FD23-FM22,IF(A23&lt;'Données projet'!$A$218,$FB$205^A23,IF(A23='Données projet'!$A$218,'Données projet'!$B$218,FE22+FD23-FM22)))</f>
        <v>97</v>
      </c>
      <c r="FF23" s="17">
        <f>FE23*VLOOKUP('Données projet'!$B$16,Paramètres!$A$1:$I$89,3,0)*VLOOKUP('Données projet'!$B$16,Paramètres!$A$1:$I$89,5,0)</f>
        <v>52.962000000000003</v>
      </c>
      <c r="FG23" s="13">
        <f t="shared" si="47"/>
        <v>15.376128095486882</v>
      </c>
      <c r="FH23" s="20">
        <f t="shared" si="22"/>
        <v>119.0222397663063</v>
      </c>
      <c r="FI23" s="59">
        <f t="shared" si="23"/>
        <v>412.35557309963963</v>
      </c>
      <c r="FJ23" s="59">
        <f ca="1">AVERAGE(OFFSET($FI$3,0,0,'Données projet'!$E$16+1,1))-AVERAGE(OFFSET($H$3,0,0,'Données projet'!$E$16+1,1))</f>
        <v>127.76128532861486</v>
      </c>
      <c r="FK23" s="59">
        <f t="shared" si="48"/>
        <v>157.52303491639736</v>
      </c>
      <c r="FL23" s="15">
        <f>IF(ISNA(VLOOKUP(A23,'Données projet'!$A$217:$I$237,3,0)),0,VLOOKUP(A23,'Données projet'!$A$217:$I$237,3,0))</f>
        <v>1</v>
      </c>
      <c r="FM23" s="15">
        <f>IF(ISNA(VLOOKUP(A23,'Données projet'!$A$217:$I$237,4,0)),0,VLOOKUP(A23,'Données projet'!$A$217:$I$237,4,0))</f>
        <v>33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0.3</v>
      </c>
      <c r="FP23" s="16">
        <f>IF(ISNA(VLOOKUP(A23,'Données projet'!$A$217:$I$237,7,0)),0%,VLOOKUP(A23,'Données projet'!$A$217:$I$237,7,0))</f>
        <v>0.5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7.1423780777109398</v>
      </c>
      <c r="FS23" s="21">
        <f>EXP(-LN(2)/2)*FS22+(1-EXP(-LN(2)/2))/(LN(2)/2)*FM23*FP23*VLOOKUP('Données projet'!$B$16,Paramètres!$A$1:$I$89,3,0)*0.475*44/12</f>
        <v>10.200280768415931</v>
      </c>
      <c r="FT23" s="22">
        <f t="shared" si="24"/>
        <v>17.34265884612687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2.9235042735042733</v>
      </c>
      <c r="N24" s="13">
        <f>IF('Données projet'!$A$36&gt;35,N23+M24-V23,IF(A24&lt;'Données projet'!$A$36,$K$205^A24,IF(A24='Données projet'!$A$36,'Données projet'!$B$36,N23+M24-V23)))</f>
        <v>22.91487494147438</v>
      </c>
      <c r="O24" s="13">
        <f>N24*VLOOKUP('Données projet'!$B$9,Paramètres!$A$1:$I$89,3,0)*VLOOKUP('Données projet'!$B$9,Paramètres!$A$1:$I$89,5,0)</f>
        <v>20.733378847046019</v>
      </c>
      <c r="P24" s="13">
        <f t="shared" si="33"/>
        <v>6.713697209604776</v>
      </c>
      <c r="Q24" s="20">
        <f t="shared" si="2"/>
        <v>47.803657465333458</v>
      </c>
      <c r="R24" s="59">
        <f t="shared" si="0"/>
        <v>341.13699079866677</v>
      </c>
      <c r="S24" s="59">
        <f ca="1">AVERAGE(OFFSET($R$3,0,0,'Données projet'!$E$9+1,1))-AVERAGE(OFFSET($H$3,0,0,'Données projet'!$E$9+1,1))</f>
        <v>153.45079678708987</v>
      </c>
      <c r="T24" s="59">
        <f t="shared" si="34"/>
        <v>115.4217868409637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1.8914529914529912</v>
      </c>
      <c r="AI24" s="13">
        <f>IF('Données projet'!$A$62&gt;35,AI23+AH24-AQ23,IF(A24&lt;'Données projet'!$A$62,$AF$205^A24,IF(A24='Données projet'!$A$62,'Données projet'!$B$62,AI23+AH24-AQ23)))</f>
        <v>16.894360799544618</v>
      </c>
      <c r="AJ24" s="13">
        <f>AI24*VLOOKUP('Données projet'!$B$10,Paramètres!$A$1:$I$89,3,0)*VLOOKUP('Données projet'!$B$10,Paramètres!$A$1:$I$89,5,0)</f>
        <v>15.286017651427969</v>
      </c>
      <c r="AK24" s="13">
        <f t="shared" si="35"/>
        <v>5.1285495811688229</v>
      </c>
      <c r="AL24" s="20">
        <f t="shared" si="4"/>
        <v>35.555371263439412</v>
      </c>
      <c r="AM24" s="59">
        <f t="shared" si="5"/>
        <v>328.88870459677275</v>
      </c>
      <c r="AN24" s="59">
        <f ca="1">AVERAGE(OFFSET($AM$3,0,0,'Données projet'!$E$10+1,1))-AVERAGE(OFFSET($H$3,0,0,'Données projet'!$E$10+1,1))</f>
        <v>123.92486590666675</v>
      </c>
      <c r="AO24" s="59">
        <f t="shared" si="36"/>
        <v>54.404493017418986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>
        <f>VLOOKUP(A24,'Données projet'!$A$87:$I$107,2,0)</f>
        <v>180.06153846153848</v>
      </c>
      <c r="BB24" s="12">
        <f>VLOOKUP(A24,'Données projet'!$A$87:$I$107,9,0)</f>
        <v>15.942307692307708</v>
      </c>
      <c r="BC24" s="12">
        <f t="array" ref="BC24">INDEX(BB:BB,MIN(IF(ISNUMBER(BB24:BB220),ROW(BB24:BB220),"")))</f>
        <v>15.942307692307708</v>
      </c>
      <c r="BD24" s="12">
        <f>IF('Données projet'!$A$88&gt;35,BD23+BC24-BL23,IF(A24&lt;'Données projet'!$A$88,$BA$205^A24,IF(A24='Données projet'!$A$88,'Données projet'!$B$88,BD23+BC24-BL23)))</f>
        <v>180.06153846153848</v>
      </c>
      <c r="BE24" s="13">
        <f>BD24*VLOOKUP('Données projet'!$B$11,Paramètres!$A$1:$I$89,3,0)*VLOOKUP('Données projet'!$B$11,Paramètres!$A$1:$I$89,5,0)</f>
        <v>100.65440000000001</v>
      </c>
      <c r="BF24" s="13">
        <f t="shared" si="37"/>
        <v>27.117840091618859</v>
      </c>
      <c r="BG24" s="20">
        <f t="shared" si="7"/>
        <v>222.53665149290285</v>
      </c>
      <c r="BH24" s="59">
        <f t="shared" si="8"/>
        <v>515.86998482623619</v>
      </c>
      <c r="BI24" s="59">
        <f ca="1">AVERAGE(OFFSET($BH$3,0,0,'Données projet'!$E$11+1,1))-AVERAGE(OFFSET($H$3,0,0,'Données projet'!$E$11+1,1))</f>
        <v>224.7049802939942</v>
      </c>
      <c r="BJ24" s="59">
        <f t="shared" si="38"/>
        <v>203.48513862195352</v>
      </c>
      <c r="BK24" s="15">
        <f>IF(ISNA(VLOOKUP(A24,'Données projet'!$A$87:$I$107,3,0)),0,VLOOKUP(A24,'Données projet'!$A$87:$I$107,3,0))</f>
        <v>1</v>
      </c>
      <c r="BL24" s="15">
        <f>IF(ISNA(VLOOKUP(A24,'Données projet'!$A$87:$I$107,4,0)),0,VLOOKUP(A24,'Données projet'!$A$87:$I$107,4,0))</f>
        <v>61.169230769230765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0.27500000000000002</v>
      </c>
      <c r="BO24" s="16">
        <f>IF(ISNA(VLOOKUP(A24,'Données projet'!$A$87:$I$107,7,0)),0%,VLOOKUP(A24,'Données projet'!$A$87:$I$107,7,0))</f>
        <v>0.5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12.424889043448148</v>
      </c>
      <c r="BR24" s="21">
        <f>EXP(-LN(2)/2)*BR23+(1-EXP(-LN(2)/2))/(LN(2)/2)*BL24*BO24*VLOOKUP('Données projet'!$B$11,Paramètres!$A$1:$I$89,3,0)*0.475*44/12</f>
        <v>19.357549144350479</v>
      </c>
      <c r="BS24" s="22">
        <f t="shared" si="9"/>
        <v>31.782438187798626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5.5864615384615384</v>
      </c>
      <c r="BY24" s="12">
        <f>IF('Données projet'!$A$114&gt;35,BY23+BX24-CG23,IF(A24&lt;'Données projet'!$A$114,$BV$205^A24,IF(A24='Données projet'!$A$114,'Données projet'!$B$114,BY23+BX24-CG23)))</f>
        <v>63.367201876161111</v>
      </c>
      <c r="BZ24" s="13">
        <f>BY24*VLOOKUP('Données projet'!$B$12,Paramètres!$A$1:$I$89,3,0)*VLOOKUP('Données projet'!$B$12,Paramètres!$A$1:$I$89,5,0)</f>
        <v>35.42226584877406</v>
      </c>
      <c r="CA24" s="13">
        <f t="shared" si="39"/>
        <v>10.776869831876704</v>
      </c>
      <c r="CB24" s="20">
        <f t="shared" si="10"/>
        <v>80.463494643800075</v>
      </c>
      <c r="CC24" s="59">
        <f t="shared" si="11"/>
        <v>373.79682797713338</v>
      </c>
      <c r="CD24" s="59">
        <f ca="1">AVERAGE(OFFSET($CC$3,0,0,'Données projet'!$E$12+1,1))-AVERAGE(OFFSET($H$3,0,0,'Données projet'!$E$12+1,1))</f>
        <v>190.08613104982993</v>
      </c>
      <c r="CE24" s="59">
        <f t="shared" si="40"/>
        <v>180.55054525447781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13.3</v>
      </c>
      <c r="CT24" s="12">
        <f>IF('Données projet'!$A$140&gt;35,CT23+CS24-DB23,IF(A24&lt;'Données projet'!$A$140,$CQ$205^A24,IF(A24='Données projet'!$A$140,'Données projet'!$B$140,CT23+CS24-DB23)))</f>
        <v>80.3</v>
      </c>
      <c r="CU24" s="17">
        <f>CT24*VLOOKUP('Données projet'!$B$13,Paramètres!$A$1:$I$89,3,0)*VLOOKUP('Données projet'!$B$13,Paramètres!$A$1:$I$89,5,0)</f>
        <v>48.019400000000005</v>
      </c>
      <c r="CV24" s="13">
        <f t="shared" si="41"/>
        <v>14.10106410189413</v>
      </c>
      <c r="CW24" s="20">
        <f t="shared" si="13"/>
        <v>108.1931416441323</v>
      </c>
      <c r="CX24" s="59">
        <f t="shared" si="14"/>
        <v>401.52647497746563</v>
      </c>
      <c r="CY24" s="59">
        <f ca="1">AVERAGE(OFFSET($CX$3,0,0,'Données projet'!$E$13+1,1))-AVERAGE(OFFSET($H$3,0,0,'Données projet'!$E$13+1,1))</f>
        <v>270.30888762640245</v>
      </c>
      <c r="CZ24" s="59">
        <f t="shared" si="42"/>
        <v>202.23783851977691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3.4584977400912491</v>
      </c>
      <c r="DH24" s="21">
        <f>EXP(-LN(2)/2)*DH23+(1-EXP(-LN(2)/2))/(LN(2)/2)*DB24*DE24*VLOOKUP('Données projet'!$B$13,Paramètres!$A$1:$I$89,3,0)*0.475*44/12</f>
        <v>4.7876426300471442</v>
      </c>
      <c r="DI24" s="22">
        <f t="shared" si="15"/>
        <v>8.2461403701383933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11.3</v>
      </c>
      <c r="DO24" s="12">
        <f>IF('Données projet'!$A$166&gt;35,DO23+DN24-DW23,IF(A24&lt;'Données projet'!$A$166,$DL$205^A24,IF(A24='Données projet'!$A$166,'Données projet'!$B$166,DO23+DN24-DW23)))</f>
        <v>80.3</v>
      </c>
      <c r="DP24" s="17">
        <f>DO24*VLOOKUP('Données projet'!$B$14,Paramètres!$A$1:$I$89,3,0)*VLOOKUP('Données projet'!$B$14,Paramètres!$A$1:$I$89,5,0)</f>
        <v>48.019400000000005</v>
      </c>
      <c r="DQ24" s="13">
        <f t="shared" si="43"/>
        <v>14.10106410189413</v>
      </c>
      <c r="DR24" s="20">
        <f t="shared" si="16"/>
        <v>108.1931416441323</v>
      </c>
      <c r="DS24" s="59">
        <f t="shared" si="17"/>
        <v>401.52647497746563</v>
      </c>
      <c r="DT24" s="59">
        <f ca="1">AVERAGE(OFFSET($DS$3,0,0,'Données projet'!$E$14+1,1))-AVERAGE(OFFSET($H$3,0,0,'Données projet'!$E$14+1,1))</f>
        <v>221.14988592347311</v>
      </c>
      <c r="DU24" s="59">
        <f t="shared" si="44"/>
        <v>179.09262081171607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14</v>
      </c>
      <c r="EJ24" s="12">
        <f>IF('Données projet'!$A$192&gt;35,EJ23+EI24-ER23,IF(A24&lt;'Données projet'!$A$192,$EG$205^A24,IF(A24='Données projet'!$A$192,'Données projet'!$B$192,EJ23+EI24-ER23)))</f>
        <v>94.000000000000028</v>
      </c>
      <c r="EK24" s="17">
        <f>EJ24*VLOOKUP('Données projet'!$B$15,Paramètres!$A$1:$I$89,3,0)*VLOOKUP('Données projet'!$B$15,Paramètres!$A$1:$I$89,5,0)</f>
        <v>51.324000000000019</v>
      </c>
      <c r="EL24" s="13">
        <f t="shared" si="45"/>
        <v>14.955166599500037</v>
      </c>
      <c r="EM24" s="20">
        <f t="shared" si="19"/>
        <v>115.43621516079592</v>
      </c>
      <c r="EN24" s="59">
        <f t="shared" si="20"/>
        <v>408.76954849412925</v>
      </c>
      <c r="EO24" s="59">
        <f ca="1">AVERAGE(OFFSET($EN$3,0,0,'Données projet'!$E$15+1,1))-AVERAGE(OFFSET($H$3,0,0,'Données projet'!$E$15+1,1))</f>
        <v>168.72306536277267</v>
      </c>
      <c r="EP24" s="59">
        <f t="shared" si="46"/>
        <v>203.35476578922339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11.999483463447028</v>
      </c>
      <c r="EX24" s="21">
        <f>EXP(-LN(2)/2)*EX23+(1-EXP(-LN(2)/2))/(LN(2)/2)*ER24*EU24*VLOOKUP('Données projet'!$B$15,Paramètres!$A$1:$I$89,3,0)*0.475*44/12</f>
        <v>12.458278756883548</v>
      </c>
      <c r="EY24" s="22">
        <f t="shared" si="21"/>
        <v>24.457762220330576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11.7</v>
      </c>
      <c r="FE24" s="12">
        <f>IF('Données projet'!$A$218&gt;35,FE23+FD24-FM23,IF(A24&lt;'Données projet'!$A$218,$FB$205^A24,IF(A24='Données projet'!$A$218,'Données projet'!$B$218,FE23+FD24-FM23)))</f>
        <v>75.7</v>
      </c>
      <c r="FF24" s="17">
        <f>FE24*VLOOKUP('Données projet'!$B$16,Paramètres!$A$1:$I$89,3,0)*VLOOKUP('Données projet'!$B$16,Paramètres!$A$1:$I$89,5,0)</f>
        <v>41.3322</v>
      </c>
      <c r="FG24" s="13">
        <f t="shared" si="47"/>
        <v>12.35107056852314</v>
      </c>
      <c r="FH24" s="20">
        <f t="shared" si="22"/>
        <v>93.498362906844463</v>
      </c>
      <c r="FI24" s="59">
        <f t="shared" si="23"/>
        <v>386.83169624017779</v>
      </c>
      <c r="FJ24" s="59">
        <f ca="1">AVERAGE(OFFSET($FI$3,0,0,'Données projet'!$E$16+1,1))-AVERAGE(OFFSET($H$3,0,0,'Données projet'!$E$16+1,1))</f>
        <v>127.76128532861486</v>
      </c>
      <c r="FK24" s="59">
        <f t="shared" si="48"/>
        <v>157.52303491639736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6.9470693735745952</v>
      </c>
      <c r="FS24" s="21">
        <f>EXP(-LN(2)/2)*FS23+(1-EXP(-LN(2)/2))/(LN(2)/2)*FM24*FP24*VLOOKUP('Données projet'!$B$16,Paramètres!$A$1:$I$89,3,0)*0.475*44/12</f>
        <v>7.2126877013536328</v>
      </c>
      <c r="FT24" s="22">
        <f t="shared" si="24"/>
        <v>14.159757074928228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2.9235042735042733</v>
      </c>
      <c r="N25" s="13">
        <f>IF('Données projet'!$A$36&gt;35,N24+M25-V24,IF(A25&lt;'Données projet'!$A$36,$K$205^A25,IF(A25='Données projet'!$A$36,'Données projet'!$B$36,N24+M25-V24)))</f>
        <v>26.600205452048144</v>
      </c>
      <c r="O25" s="13">
        <f>N25*VLOOKUP('Données projet'!$B$9,Paramètres!$A$1:$I$89,3,0)*VLOOKUP('Données projet'!$B$9,Paramètres!$A$1:$I$89,5,0)</f>
        <v>24.06786589301316</v>
      </c>
      <c r="P25" s="13">
        <f t="shared" si="33"/>
        <v>7.6593217420310804</v>
      </c>
      <c r="Q25" s="20">
        <f t="shared" si="2"/>
        <v>55.258185131035383</v>
      </c>
      <c r="R25" s="59">
        <f t="shared" si="0"/>
        <v>348.59151846436868</v>
      </c>
      <c r="S25" s="59">
        <f ca="1">AVERAGE(OFFSET($R$3,0,0,'Données projet'!$E$9+1,1))-AVERAGE(OFFSET($H$3,0,0,'Données projet'!$E$9+1,1))</f>
        <v>153.45079678708987</v>
      </c>
      <c r="T25" s="59">
        <f t="shared" si="34"/>
        <v>115.4217868409637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1.8914529914529912</v>
      </c>
      <c r="AI25" s="13">
        <f>IF('Données projet'!$A$62&gt;35,AI24+AH25-AQ24,IF(A25&lt;'Données projet'!$A$62,$AF$205^A25,IF(A25='Données projet'!$A$62,'Données projet'!$B$62,AI24+AH25-AQ24)))</f>
        <v>19.328834094449373</v>
      </c>
      <c r="AJ25" s="13">
        <f>AI25*VLOOKUP('Données projet'!$B$10,Paramètres!$A$1:$I$89,3,0)*VLOOKUP('Données projet'!$B$10,Paramètres!$A$1:$I$89,5,0)</f>
        <v>17.488729088657792</v>
      </c>
      <c r="AK25" s="13">
        <f t="shared" si="35"/>
        <v>5.7763467381713411</v>
      </c>
      <c r="AL25" s="20">
        <f t="shared" si="4"/>
        <v>40.520007065060739</v>
      </c>
      <c r="AM25" s="59">
        <f t="shared" si="5"/>
        <v>333.85334039839404</v>
      </c>
      <c r="AN25" s="59">
        <f ca="1">AVERAGE(OFFSET($AM$3,0,0,'Données projet'!$E$10+1,1))-AVERAGE(OFFSET($H$3,0,0,'Données projet'!$E$10+1,1))</f>
        <v>123.92486590666675</v>
      </c>
      <c r="AO25" s="59">
        <f t="shared" si="36"/>
        <v>54.404493017418986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16.687912087912085</v>
      </c>
      <c r="BD25" s="12">
        <f>IF('Données projet'!$A$88&gt;35,BD24+BC25-BL24,IF(A25&lt;'Données projet'!$A$88,$BA$205^A25,IF(A25='Données projet'!$A$88,'Données projet'!$B$88,BD24+BC25-BL24)))</f>
        <v>135.58021978021981</v>
      </c>
      <c r="BE25" s="13">
        <f>BD25*VLOOKUP('Données projet'!$B$11,Paramètres!$A$1:$I$89,3,0)*VLOOKUP('Données projet'!$B$11,Paramètres!$A$1:$I$89,5,0)</f>
        <v>75.78934285714287</v>
      </c>
      <c r="BF25" s="13">
        <f t="shared" si="37"/>
        <v>21.104439314832948</v>
      </c>
      <c r="BG25" s="20">
        <f t="shared" si="7"/>
        <v>168.7566706161912</v>
      </c>
      <c r="BH25" s="59">
        <f t="shared" si="8"/>
        <v>462.09000394952454</v>
      </c>
      <c r="BI25" s="59">
        <f ca="1">AVERAGE(OFFSET($BH$3,0,0,'Données projet'!$E$11+1,1))-AVERAGE(OFFSET($H$3,0,0,'Données projet'!$E$11+1,1))</f>
        <v>224.7049802939942</v>
      </c>
      <c r="BJ25" s="59">
        <f t="shared" si="38"/>
        <v>203.48513862195352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12.085129799158542</v>
      </c>
      <c r="BR25" s="21">
        <f>EXP(-LN(2)/2)*BR24+(1-EXP(-LN(2)/2))/(LN(2)/2)*BL25*BO25*VLOOKUP('Données projet'!$B$11,Paramètres!$A$1:$I$89,3,0)*0.475*44/12</f>
        <v>13.687854267122075</v>
      </c>
      <c r="BS25" s="22">
        <f t="shared" si="9"/>
        <v>25.772984066280618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5.5864615384615384</v>
      </c>
      <c r="BY25" s="12">
        <f>IF('Données projet'!$A$114&gt;35,BY24+BX25-CG24,IF(A25&lt;'Données projet'!$A$114,$BV$205^A25,IF(A25='Données projet'!$A$114,'Données projet'!$B$114,BY24+BX25-CG24)))</f>
        <v>77.208942324869511</v>
      </c>
      <c r="BZ25" s="13">
        <f>BY25*VLOOKUP('Données projet'!$B$12,Paramètres!$A$1:$I$89,3,0)*VLOOKUP('Données projet'!$B$12,Paramètres!$A$1:$I$89,5,0)</f>
        <v>43.159798759602062</v>
      </c>
      <c r="CA25" s="13">
        <f t="shared" si="39"/>
        <v>12.832410160757069</v>
      </c>
      <c r="CB25" s="20">
        <f t="shared" si="10"/>
        <v>97.519763869625478</v>
      </c>
      <c r="CC25" s="59">
        <f t="shared" si="11"/>
        <v>390.85309720295879</v>
      </c>
      <c r="CD25" s="59">
        <f ca="1">AVERAGE(OFFSET($CC$3,0,0,'Données projet'!$E$12+1,1))-AVERAGE(OFFSET($H$3,0,0,'Données projet'!$E$12+1,1))</f>
        <v>190.08613104982993</v>
      </c>
      <c r="CE25" s="59">
        <f t="shared" si="40"/>
        <v>180.55054525447781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13.3</v>
      </c>
      <c r="CT25" s="12">
        <f>IF('Données projet'!$A$140&gt;35,CT24+CS25-DB24,IF(A25&lt;'Données projet'!$A$140,$CQ$205^A25,IF(A25='Données projet'!$A$140,'Données projet'!$B$140,CT24+CS25-DB24)))</f>
        <v>93.6</v>
      </c>
      <c r="CU25" s="17">
        <f>CT25*VLOOKUP('Données projet'!$B$13,Paramètres!$A$1:$I$89,3,0)*VLOOKUP('Données projet'!$B$13,Paramètres!$A$1:$I$89,5,0)</f>
        <v>55.972799999999999</v>
      </c>
      <c r="CV25" s="13">
        <f t="shared" si="41"/>
        <v>16.145985978099571</v>
      </c>
      <c r="CW25" s="20">
        <f t="shared" si="13"/>
        <v>125.6068855785234</v>
      </c>
      <c r="CX25" s="59">
        <f t="shared" si="14"/>
        <v>418.94021891185673</v>
      </c>
      <c r="CY25" s="59">
        <f ca="1">AVERAGE(OFFSET($CX$3,0,0,'Données projet'!$E$13+1,1))-AVERAGE(OFFSET($H$3,0,0,'Données projet'!$E$13+1,1))</f>
        <v>270.30888762640245</v>
      </c>
      <c r="CZ25" s="59">
        <f t="shared" si="42"/>
        <v>202.23783851977691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3.3639249375139624</v>
      </c>
      <c r="DH25" s="21">
        <f>EXP(-LN(2)/2)*DH24+(1-EXP(-LN(2)/2))/(LN(2)/2)*DB25*DE25*VLOOKUP('Données projet'!$B$13,Paramètres!$A$1:$I$89,3,0)*0.475*44/12</f>
        <v>3.3853745696041333</v>
      </c>
      <c r="DI25" s="22">
        <f t="shared" si="15"/>
        <v>6.7492995071180957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11.3</v>
      </c>
      <c r="DO25" s="12">
        <f>IF('Données projet'!$A$166&gt;35,DO24+DN25-DW24,IF(A25&lt;'Données projet'!$A$166,$DL$205^A25,IF(A25='Données projet'!$A$166,'Données projet'!$B$166,DO24+DN25-DW24)))</f>
        <v>91.6</v>
      </c>
      <c r="DP25" s="17">
        <f>DO25*VLOOKUP('Données projet'!$B$14,Paramètres!$A$1:$I$89,3,0)*VLOOKUP('Données projet'!$B$14,Paramètres!$A$1:$I$89,5,0)</f>
        <v>54.776799999999994</v>
      </c>
      <c r="DQ25" s="13">
        <f t="shared" si="43"/>
        <v>15.840762095818524</v>
      </c>
      <c r="DR25" s="20">
        <f t="shared" si="16"/>
        <v>122.99225398355058</v>
      </c>
      <c r="DS25" s="59">
        <f t="shared" si="17"/>
        <v>416.32558731688391</v>
      </c>
      <c r="DT25" s="59">
        <f ca="1">AVERAGE(OFFSET($DS$3,0,0,'Données projet'!$E$14+1,1))-AVERAGE(OFFSET($H$3,0,0,'Données projet'!$E$14+1,1))</f>
        <v>221.14988592347311</v>
      </c>
      <c r="DU25" s="59">
        <f t="shared" si="44"/>
        <v>179.09262081171607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14</v>
      </c>
      <c r="EJ25" s="12">
        <f>IF('Données projet'!$A$192&gt;35,EJ24+EI25-ER24,IF(A25&lt;'Données projet'!$A$192,$EG$205^A25,IF(A25='Données projet'!$A$192,'Données projet'!$B$192,EJ24+EI25-ER24)))</f>
        <v>108.00000000000003</v>
      </c>
      <c r="EK25" s="17">
        <f>EJ25*VLOOKUP('Données projet'!$B$15,Paramètres!$A$1:$I$89,3,0)*VLOOKUP('Données projet'!$B$15,Paramètres!$A$1:$I$89,5,0)</f>
        <v>58.968000000000018</v>
      </c>
      <c r="EL25" s="13">
        <f t="shared" si="45"/>
        <v>16.907084152971134</v>
      </c>
      <c r="EM25" s="20">
        <f t="shared" si="19"/>
        <v>132.1491048997581</v>
      </c>
      <c r="EN25" s="59">
        <f t="shared" si="20"/>
        <v>425.48243823309144</v>
      </c>
      <c r="EO25" s="59">
        <f ca="1">AVERAGE(OFFSET($EN$3,0,0,'Données projet'!$E$15+1,1))-AVERAGE(OFFSET($H$3,0,0,'Données projet'!$E$15+1,1))</f>
        <v>168.72306536277267</v>
      </c>
      <c r="EP25" s="59">
        <f t="shared" si="46"/>
        <v>203.35476578922339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11.671356957113659</v>
      </c>
      <c r="EX25" s="21">
        <f>EXP(-LN(2)/2)*EX24+(1-EXP(-LN(2)/2))/(LN(2)/2)*ER25*EU25*VLOOKUP('Données projet'!$B$15,Paramètres!$A$1:$I$89,3,0)*0.475*44/12</f>
        <v>8.8093333909046692</v>
      </c>
      <c r="EY25" s="22">
        <f t="shared" si="21"/>
        <v>20.480690348018328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11.7</v>
      </c>
      <c r="FE25" s="12">
        <f>IF('Données projet'!$A$218&gt;35,FE24+FD25-FM24,IF(A25&lt;'Données projet'!$A$218,$FB$205^A25,IF(A25='Données projet'!$A$218,'Données projet'!$B$218,FE24+FD25-FM24)))</f>
        <v>87.4</v>
      </c>
      <c r="FF25" s="17">
        <f>FE25*VLOOKUP('Données projet'!$B$16,Paramètres!$A$1:$I$89,3,0)*VLOOKUP('Données projet'!$B$16,Paramètres!$A$1:$I$89,5,0)</f>
        <v>47.720399999999998</v>
      </c>
      <c r="FG25" s="13">
        <f t="shared" si="47"/>
        <v>14.023453728162821</v>
      </c>
      <c r="FH25" s="20">
        <f t="shared" si="22"/>
        <v>107.53721190988357</v>
      </c>
      <c r="FI25" s="59">
        <f t="shared" si="23"/>
        <v>400.8705452432169</v>
      </c>
      <c r="FJ25" s="59">
        <f ca="1">AVERAGE(OFFSET($FI$3,0,0,'Données projet'!$E$16+1,1))-AVERAGE(OFFSET($H$3,0,0,'Données projet'!$E$16+1,1))</f>
        <v>127.76128532861486</v>
      </c>
      <c r="FK25" s="59">
        <f t="shared" si="48"/>
        <v>157.52303491639736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6.757101396223697</v>
      </c>
      <c r="FS25" s="21">
        <f>EXP(-LN(2)/2)*FS24+(1-EXP(-LN(2)/2))/(LN(2)/2)*FM25*FP25*VLOOKUP('Données projet'!$B$16,Paramètres!$A$1:$I$89,3,0)*0.475*44/12</f>
        <v>5.1001403842079664</v>
      </c>
      <c r="FT25" s="22">
        <f t="shared" si="24"/>
        <v>11.857241780431664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2.9235042735042733</v>
      </c>
      <c r="N26" s="13">
        <f>IF('Données projet'!$A$36&gt;35,N25+M26-V25,IF(A26&lt;'Données projet'!$A$36,$K$205^A26,IF(A26='Données projet'!$A$36,'Données projet'!$B$36,N25+M26-V25)))</f>
        <v>30.878236599516239</v>
      </c>
      <c r="O26" s="13">
        <f>N26*VLOOKUP('Données projet'!$B$9,Paramètres!$A$1:$I$89,3,0)*VLOOKUP('Données projet'!$B$9,Paramètres!$A$1:$I$89,5,0)</f>
        <v>27.938628475242293</v>
      </c>
      <c r="P26" s="13">
        <f t="shared" si="33"/>
        <v>8.7381375293515138</v>
      </c>
      <c r="Q26" s="20">
        <f t="shared" si="2"/>
        <v>63.878700791334211</v>
      </c>
      <c r="R26" s="59">
        <f t="shared" si="0"/>
        <v>357.21203412466753</v>
      </c>
      <c r="S26" s="59">
        <f ca="1">AVERAGE(OFFSET($R$3,0,0,'Données projet'!$E$9+1,1))-AVERAGE(OFFSET($H$3,0,0,'Données projet'!$E$9+1,1))</f>
        <v>153.45079678708987</v>
      </c>
      <c r="T26" s="59">
        <f t="shared" si="34"/>
        <v>115.4217868409637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1.8914529914529912</v>
      </c>
      <c r="AI26" s="13">
        <f>IF('Données projet'!$A$62&gt;35,AI25+AH26-AQ25,IF(A26&lt;'Données projet'!$A$62,$AF$205^A26,IF(A26='Données projet'!$A$62,'Données projet'!$B$62,AI25+AH26-AQ25)))</f>
        <v>22.114114400872687</v>
      </c>
      <c r="AJ26" s="13">
        <f>AI26*VLOOKUP('Données projet'!$B$10,Paramètres!$A$1:$I$89,3,0)*VLOOKUP('Données projet'!$B$10,Paramètres!$A$1:$I$89,5,0)</f>
        <v>20.008850709909606</v>
      </c>
      <c r="AK26" s="13">
        <f t="shared" si="35"/>
        <v>6.5059684246980369</v>
      </c>
      <c r="AL26" s="20">
        <f t="shared" si="4"/>
        <v>46.179976659441643</v>
      </c>
      <c r="AM26" s="59">
        <f t="shared" si="5"/>
        <v>339.51330999277496</v>
      </c>
      <c r="AN26" s="59">
        <f ca="1">AVERAGE(OFFSET($AM$3,0,0,'Données projet'!$E$10+1,1))-AVERAGE(OFFSET($H$3,0,0,'Données projet'!$E$10+1,1))</f>
        <v>123.92486590666675</v>
      </c>
      <c r="AO26" s="59">
        <f t="shared" si="36"/>
        <v>54.404493017418986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16.687912087912085</v>
      </c>
      <c r="BD26" s="12">
        <f>IF('Données projet'!$A$88&gt;35,BD25+BC26-BL25,IF(A26&lt;'Données projet'!$A$88,$BA$205^A26,IF(A26='Données projet'!$A$88,'Données projet'!$B$88,BD25+BC26-BL25)))</f>
        <v>152.26813186813189</v>
      </c>
      <c r="BE26" s="13">
        <f>BD26*VLOOKUP('Données projet'!$B$11,Paramètres!$A$1:$I$89,3,0)*VLOOKUP('Données projet'!$B$11,Paramètres!$A$1:$I$89,5,0)</f>
        <v>85.11788571428572</v>
      </c>
      <c r="BF26" s="13">
        <f t="shared" si="37"/>
        <v>23.383981996566973</v>
      </c>
      <c r="BG26" s="20">
        <f t="shared" si="7"/>
        <v>188.97408626306844</v>
      </c>
      <c r="BH26" s="59">
        <f t="shared" si="8"/>
        <v>482.30741959640176</v>
      </c>
      <c r="BI26" s="59">
        <f ca="1">AVERAGE(OFFSET($BH$3,0,0,'Données projet'!$E$11+1,1))-AVERAGE(OFFSET($H$3,0,0,'Données projet'!$E$11+1,1))</f>
        <v>224.7049802939942</v>
      </c>
      <c r="BJ26" s="59">
        <f t="shared" si="38"/>
        <v>203.48513862195352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11.754661289271196</v>
      </c>
      <c r="BR26" s="21">
        <f>EXP(-LN(2)/2)*BR25+(1-EXP(-LN(2)/2))/(LN(2)/2)*BL26*BO26*VLOOKUP('Données projet'!$B$11,Paramètres!$A$1:$I$89,3,0)*0.475*44/12</f>
        <v>9.6787745721752412</v>
      </c>
      <c r="BS26" s="22">
        <f t="shared" si="9"/>
        <v>21.433435861446437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5.5864615384615384</v>
      </c>
      <c r="BY26" s="12">
        <f>IF('Données projet'!$A$114&gt;35,BY25+BX26-CG25,IF(A26&lt;'Données projet'!$A$114,$BV$205^A26,IF(A26='Données projet'!$A$114,'Données projet'!$B$114,BY25+BX26-CG25)))</f>
        <v>94.074230807525211</v>
      </c>
      <c r="BZ26" s="13">
        <f>BY26*VLOOKUP('Données projet'!$B$12,Paramètres!$A$1:$I$89,3,0)*VLOOKUP('Données projet'!$B$12,Paramètres!$A$1:$I$89,5,0)</f>
        <v>52.587495021406596</v>
      </c>
      <c r="CA26" s="13">
        <f t="shared" si="39"/>
        <v>15.280016656304463</v>
      </c>
      <c r="CB26" s="20">
        <f t="shared" si="10"/>
        <v>118.20258283868009</v>
      </c>
      <c r="CC26" s="59">
        <f t="shared" si="11"/>
        <v>411.5359161720134</v>
      </c>
      <c r="CD26" s="59">
        <f ca="1">AVERAGE(OFFSET($CC$3,0,0,'Données projet'!$E$12+1,1))-AVERAGE(OFFSET($H$3,0,0,'Données projet'!$E$12+1,1))</f>
        <v>190.08613104982993</v>
      </c>
      <c r="CE26" s="59">
        <f t="shared" si="40"/>
        <v>180.55054525447781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13.3</v>
      </c>
      <c r="CT26" s="12">
        <f>IF('Données projet'!$A$140&gt;35,CT25+CS26-DB25,IF(A26&lt;'Données projet'!$A$140,$CQ$205^A26,IF(A26='Données projet'!$A$140,'Données projet'!$B$140,CT25+CS26-DB25)))</f>
        <v>106.89999999999999</v>
      </c>
      <c r="CU26" s="17">
        <f>CT26*VLOOKUP('Données projet'!$B$13,Paramètres!$A$1:$I$89,3,0)*VLOOKUP('Données projet'!$B$13,Paramètres!$A$1:$I$89,5,0)</f>
        <v>63.926200000000001</v>
      </c>
      <c r="CV26" s="13">
        <f t="shared" si="41"/>
        <v>18.157244068140116</v>
      </c>
      <c r="CW26" s="20">
        <f t="shared" si="13"/>
        <v>142.96199841867738</v>
      </c>
      <c r="CX26" s="59">
        <f t="shared" si="14"/>
        <v>436.29533175201072</v>
      </c>
      <c r="CY26" s="59">
        <f ca="1">AVERAGE(OFFSET($CX$3,0,0,'Données projet'!$E$13+1,1))-AVERAGE(OFFSET($H$3,0,0,'Données projet'!$E$13+1,1))</f>
        <v>270.30888762640245</v>
      </c>
      <c r="CZ26" s="59">
        <f t="shared" si="42"/>
        <v>202.23783851977691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3.271938233196519</v>
      </c>
      <c r="DH26" s="21">
        <f>EXP(-LN(2)/2)*DH25+(1-EXP(-LN(2)/2))/(LN(2)/2)*DB26*DE26*VLOOKUP('Données projet'!$B$13,Paramètres!$A$1:$I$89,3,0)*0.475*44/12</f>
        <v>2.3938213150235725</v>
      </c>
      <c r="DI26" s="22">
        <f t="shared" si="15"/>
        <v>5.6657595482200911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11.3</v>
      </c>
      <c r="DO26" s="12">
        <f>IF('Données projet'!$A$166&gt;35,DO25+DN26-DW25,IF(A26&lt;'Données projet'!$A$166,$DL$205^A26,IF(A26='Données projet'!$A$166,'Données projet'!$B$166,DO25+DN26-DW25)))</f>
        <v>102.89999999999999</v>
      </c>
      <c r="DP26" s="17">
        <f>DO26*VLOOKUP('Données projet'!$B$14,Paramètres!$A$1:$I$89,3,0)*VLOOKUP('Données projet'!$B$14,Paramètres!$A$1:$I$89,5,0)</f>
        <v>61.534199999999998</v>
      </c>
      <c r="DQ26" s="13">
        <f t="shared" si="43"/>
        <v>17.555591074076496</v>
      </c>
      <c r="DR26" s="20">
        <f t="shared" si="16"/>
        <v>137.74805278734988</v>
      </c>
      <c r="DS26" s="59">
        <f t="shared" si="17"/>
        <v>431.08138612068319</v>
      </c>
      <c r="DT26" s="59">
        <f ca="1">AVERAGE(OFFSET($DS$3,0,0,'Données projet'!$E$14+1,1))-AVERAGE(OFFSET($H$3,0,0,'Données projet'!$E$14+1,1))</f>
        <v>221.14988592347311</v>
      </c>
      <c r="DU26" s="59">
        <f t="shared" si="44"/>
        <v>179.09262081171607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14</v>
      </c>
      <c r="EJ26" s="12">
        <f>IF('Données projet'!$A$192&gt;35,EJ25+EI26-ER25,IF(A26&lt;'Données projet'!$A$192,$EG$205^A26,IF(A26='Données projet'!$A$192,'Données projet'!$B$192,EJ25+EI26-ER25)))</f>
        <v>122.00000000000003</v>
      </c>
      <c r="EK26" s="17">
        <f>EJ26*VLOOKUP('Données projet'!$B$15,Paramètres!$A$1:$I$89,3,0)*VLOOKUP('Données projet'!$B$15,Paramètres!$A$1:$I$89,5,0)</f>
        <v>66.612000000000009</v>
      </c>
      <c r="EL26" s="13">
        <f t="shared" si="45"/>
        <v>18.829683939536409</v>
      </c>
      <c r="EM26" s="20">
        <f t="shared" si="19"/>
        <v>148.81093286135925</v>
      </c>
      <c r="EN26" s="59">
        <f t="shared" si="20"/>
        <v>442.14426619469259</v>
      </c>
      <c r="EO26" s="59">
        <f ca="1">AVERAGE(OFFSET($EN$3,0,0,'Données projet'!$E$15+1,1))-AVERAGE(OFFSET($H$3,0,0,'Données projet'!$E$15+1,1))</f>
        <v>168.72306536277267</v>
      </c>
      <c r="EP26" s="59">
        <f t="shared" si="46"/>
        <v>203.35476578922339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11.352203087351398</v>
      </c>
      <c r="EX26" s="21">
        <f>EXP(-LN(2)/2)*EX25+(1-EXP(-LN(2)/2))/(LN(2)/2)*ER26*EU26*VLOOKUP('Données projet'!$B$15,Paramètres!$A$1:$I$89,3,0)*0.475*44/12</f>
        <v>6.2291393784417748</v>
      </c>
      <c r="EY26" s="22">
        <f t="shared" si="21"/>
        <v>17.581342465793174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11.7</v>
      </c>
      <c r="FE26" s="12">
        <f>IF('Données projet'!$A$218&gt;35,FE25+FD26-FM25,IF(A26&lt;'Données projet'!$A$218,$FB$205^A26,IF(A26='Données projet'!$A$218,'Données projet'!$B$218,FE25+FD26-FM25)))</f>
        <v>99.100000000000009</v>
      </c>
      <c r="FF26" s="17">
        <f>FE26*VLOOKUP('Données projet'!$B$16,Paramètres!$A$1:$I$89,3,0)*VLOOKUP('Données projet'!$B$16,Paramètres!$A$1:$I$89,5,0)</f>
        <v>54.108600000000003</v>
      </c>
      <c r="FG26" s="13">
        <f t="shared" si="47"/>
        <v>15.669897839079965</v>
      </c>
      <c r="FH26" s="20">
        <f t="shared" si="22"/>
        <v>121.5308837363976</v>
      </c>
      <c r="FI26" s="59">
        <f t="shared" si="23"/>
        <v>414.8642170697309</v>
      </c>
      <c r="FJ26" s="59">
        <f ca="1">AVERAGE(OFFSET($FI$3,0,0,'Données projet'!$E$16+1,1))-AVERAGE(OFFSET($H$3,0,0,'Données projet'!$E$16+1,1))</f>
        <v>127.76128532861486</v>
      </c>
      <c r="FK26" s="59">
        <f t="shared" si="48"/>
        <v>157.52303491639736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6.5723281032034411</v>
      </c>
      <c r="FS26" s="21">
        <f>EXP(-LN(2)/2)*FS25+(1-EXP(-LN(2)/2))/(LN(2)/2)*FM26*FP26*VLOOKUP('Données projet'!$B$16,Paramètres!$A$1:$I$89,3,0)*0.475*44/12</f>
        <v>3.6063438506768173</v>
      </c>
      <c r="FT26" s="22">
        <f t="shared" si="24"/>
        <v>10.178671953880258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2.9235042735042733</v>
      </c>
      <c r="N27" s="13">
        <f>IF('Données projet'!$A$36&gt;35,N26+M27-V26,IF(A27&lt;'Données projet'!$A$36,$K$205^A27,IF(A27='Données projet'!$A$36,'Données projet'!$B$36,N26+M27-V26)))</f>
        <v>35.844290647096855</v>
      </c>
      <c r="O27" s="13">
        <f>N27*VLOOKUP('Données projet'!$B$9,Paramètres!$A$1:$I$89,3,0)*VLOOKUP('Données projet'!$B$9,Paramètres!$A$1:$I$89,5,0)</f>
        <v>32.431914177493233</v>
      </c>
      <c r="P27" s="13">
        <f t="shared" si="33"/>
        <v>9.9689045653817558</v>
      </c>
      <c r="Q27" s="20">
        <f t="shared" si="2"/>
        <v>73.848092643840616</v>
      </c>
      <c r="R27" s="59">
        <f t="shared" si="0"/>
        <v>367.18142597717394</v>
      </c>
      <c r="S27" s="59">
        <f ca="1">AVERAGE(OFFSET($R$3,0,0,'Données projet'!$E$9+1,1))-AVERAGE(OFFSET($H$3,0,0,'Données projet'!$E$9+1,1))</f>
        <v>153.45079678708987</v>
      </c>
      <c r="T27" s="59">
        <f t="shared" si="34"/>
        <v>115.4217868409637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1.8914529914529912</v>
      </c>
      <c r="AI27" s="13">
        <f>IF('Données projet'!$A$62&gt;35,AI26+AH27-AQ26,IF(A27&lt;'Données projet'!$A$62,$AF$205^A27,IF(A27='Données projet'!$A$62,'Données projet'!$B$62,AI26+AH27-AQ26)))</f>
        <v>25.300752924115567</v>
      </c>
      <c r="AJ27" s="13">
        <f>AI27*VLOOKUP('Données projet'!$B$10,Paramètres!$A$1:$I$89,3,0)*VLOOKUP('Données projet'!$B$10,Paramètres!$A$1:$I$89,5,0)</f>
        <v>22.892121245739766</v>
      </c>
      <c r="AK27" s="13">
        <f t="shared" si="35"/>
        <v>7.3277500575680081</v>
      </c>
      <c r="AL27" s="20">
        <f t="shared" si="4"/>
        <v>52.632942519927703</v>
      </c>
      <c r="AM27" s="59">
        <f t="shared" si="5"/>
        <v>345.96627585326104</v>
      </c>
      <c r="AN27" s="59">
        <f ca="1">AVERAGE(OFFSET($AM$3,0,0,'Données projet'!$E$10+1,1))-AVERAGE(OFFSET($H$3,0,0,'Données projet'!$E$10+1,1))</f>
        <v>123.92486590666675</v>
      </c>
      <c r="AO27" s="59">
        <f t="shared" si="36"/>
        <v>54.404493017418986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16.687912087912085</v>
      </c>
      <c r="BD27" s="12">
        <f>IF('Données projet'!$A$88&gt;35,BD26+BC27-BL26,IF(A27&lt;'Données projet'!$A$88,$BA$205^A27,IF(A27='Données projet'!$A$88,'Données projet'!$B$88,BD26+BC27-BL26)))</f>
        <v>168.95604395604397</v>
      </c>
      <c r="BE27" s="13">
        <f>BD27*VLOOKUP('Données projet'!$B$11,Paramètres!$A$1:$I$89,3,0)*VLOOKUP('Données projet'!$B$11,Paramètres!$A$1:$I$89,5,0)</f>
        <v>94.446428571428584</v>
      </c>
      <c r="BF27" s="13">
        <f t="shared" si="37"/>
        <v>25.634568296511581</v>
      </c>
      <c r="BG27" s="20">
        <f t="shared" si="7"/>
        <v>209.14106954499582</v>
      </c>
      <c r="BH27" s="59">
        <f t="shared" si="8"/>
        <v>502.4744028783291</v>
      </c>
      <c r="BI27" s="59">
        <f ca="1">AVERAGE(OFFSET($BH$3,0,0,'Données projet'!$E$11+1,1))-AVERAGE(OFFSET($H$3,0,0,'Données projet'!$E$11+1,1))</f>
        <v>224.7049802939942</v>
      </c>
      <c r="BJ27" s="59">
        <f t="shared" si="38"/>
        <v>203.48513862195352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11.433229458165304</v>
      </c>
      <c r="BR27" s="21">
        <f>EXP(-LN(2)/2)*BR26+(1-EXP(-LN(2)/2))/(LN(2)/2)*BL27*BO27*VLOOKUP('Données projet'!$B$11,Paramètres!$A$1:$I$89,3,0)*0.475*44/12</f>
        <v>6.8439271335610385</v>
      </c>
      <c r="BS27" s="22">
        <f t="shared" si="9"/>
        <v>18.277156591726342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5.5864615384615384</v>
      </c>
      <c r="BY27" s="12">
        <f>IF('Données projet'!$A$114&gt;35,BY26+BX27-CG26,IF(A27&lt;'Données projet'!$A$114,$BV$205^A27,IF(A27='Données projet'!$A$114,'Données projet'!$B$114,BY26+BX27-CG26)))</f>
        <v>114.62352203699204</v>
      </c>
      <c r="BZ27" s="13">
        <f>BY27*VLOOKUP('Données projet'!$B$12,Paramètres!$A$1:$I$89,3,0)*VLOOKUP('Données projet'!$B$12,Paramètres!$A$1:$I$89,5,0)</f>
        <v>64.074548818678551</v>
      </c>
      <c r="CA27" s="13">
        <f t="shared" si="39"/>
        <v>18.194470570380172</v>
      </c>
      <c r="CB27" s="20">
        <f t="shared" si="10"/>
        <v>143.28520876927726</v>
      </c>
      <c r="CC27" s="59">
        <f t="shared" si="11"/>
        <v>436.6185421026106</v>
      </c>
      <c r="CD27" s="59">
        <f ca="1">AVERAGE(OFFSET($CC$3,0,0,'Données projet'!$E$12+1,1))-AVERAGE(OFFSET($H$3,0,0,'Données projet'!$E$12+1,1))</f>
        <v>190.08613104982993</v>
      </c>
      <c r="CE27" s="59">
        <f t="shared" si="40"/>
        <v>180.55054525447781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13.3</v>
      </c>
      <c r="CT27" s="12">
        <f>IF('Données projet'!$A$140&gt;35,CT26+CS27-DB26,IF(A27&lt;'Données projet'!$A$140,$CQ$205^A27,IF(A27='Données projet'!$A$140,'Données projet'!$B$140,CT26+CS27-DB26)))</f>
        <v>120.19999999999999</v>
      </c>
      <c r="CU27" s="17">
        <f>CT27*VLOOKUP('Données projet'!$B$13,Paramètres!$A$1:$I$89,3,0)*VLOOKUP('Données projet'!$B$13,Paramètres!$A$1:$I$89,5,0)</f>
        <v>71.879599999999996</v>
      </c>
      <c r="CV27" s="13">
        <f t="shared" si="41"/>
        <v>20.139506236095318</v>
      </c>
      <c r="CW27" s="20">
        <f t="shared" si="13"/>
        <v>160.26661002786599</v>
      </c>
      <c r="CX27" s="59">
        <f t="shared" si="14"/>
        <v>453.59994336119928</v>
      </c>
      <c r="CY27" s="59">
        <f ca="1">AVERAGE(OFFSET($CX$3,0,0,'Données projet'!$E$13+1,1))-AVERAGE(OFFSET($H$3,0,0,'Données projet'!$E$13+1,1))</f>
        <v>270.30888762640245</v>
      </c>
      <c r="CZ27" s="59">
        <f t="shared" si="42"/>
        <v>202.23783851977691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3.1824669101460068</v>
      </c>
      <c r="DH27" s="21">
        <f>EXP(-LN(2)/2)*DH26+(1-EXP(-LN(2)/2))/(LN(2)/2)*DB27*DE27*VLOOKUP('Données projet'!$B$13,Paramètres!$A$1:$I$89,3,0)*0.475*44/12</f>
        <v>1.6926872848020669</v>
      </c>
      <c r="DI27" s="22">
        <f t="shared" si="15"/>
        <v>4.8751541949480739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11.3</v>
      </c>
      <c r="DO27" s="12">
        <f>IF('Données projet'!$A$166&gt;35,DO26+DN27-DW26,IF(A27&lt;'Données projet'!$A$166,$DL$205^A27,IF(A27='Données projet'!$A$166,'Données projet'!$B$166,DO26+DN27-DW26)))</f>
        <v>114.19999999999999</v>
      </c>
      <c r="DP27" s="17">
        <f>DO27*VLOOKUP('Données projet'!$B$14,Paramètres!$A$1:$I$89,3,0)*VLOOKUP('Données projet'!$B$14,Paramètres!$A$1:$I$89,5,0)</f>
        <v>68.291600000000003</v>
      </c>
      <c r="DQ27" s="13">
        <f t="shared" si="43"/>
        <v>19.248593476479869</v>
      </c>
      <c r="DR27" s="20">
        <f t="shared" si="16"/>
        <v>152.46583697153577</v>
      </c>
      <c r="DS27" s="59">
        <f t="shared" si="17"/>
        <v>445.79917030486911</v>
      </c>
      <c r="DT27" s="59">
        <f ca="1">AVERAGE(OFFSET($DS$3,0,0,'Données projet'!$E$14+1,1))-AVERAGE(OFFSET($H$3,0,0,'Données projet'!$E$14+1,1))</f>
        <v>221.14988592347311</v>
      </c>
      <c r="DU27" s="59">
        <f t="shared" si="44"/>
        <v>179.09262081171607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14</v>
      </c>
      <c r="EJ27" s="12">
        <f>IF('Données projet'!$A$192&gt;35,EJ26+EI27-ER26,IF(A27&lt;'Données projet'!$A$192,$EG$205^A27,IF(A27='Données projet'!$A$192,'Données projet'!$B$192,EJ26+EI27-ER26)))</f>
        <v>136.00000000000003</v>
      </c>
      <c r="EK27" s="17">
        <f>EJ27*VLOOKUP('Données projet'!$B$15,Paramètres!$A$1:$I$89,3,0)*VLOOKUP('Données projet'!$B$15,Paramètres!$A$1:$I$89,5,0)</f>
        <v>74.256000000000014</v>
      </c>
      <c r="EL27" s="13">
        <f t="shared" si="45"/>
        <v>20.726714411291823</v>
      </c>
      <c r="EM27" s="20">
        <f t="shared" si="19"/>
        <v>165.4282275996666</v>
      </c>
      <c r="EN27" s="59">
        <f t="shared" si="20"/>
        <v>458.76156093299994</v>
      </c>
      <c r="EO27" s="59">
        <f ca="1">AVERAGE(OFFSET($EN$3,0,0,'Données projet'!$E$15+1,1))-AVERAGE(OFFSET($H$3,0,0,'Données projet'!$E$15+1,1))</f>
        <v>168.72306536277267</v>
      </c>
      <c r="EP27" s="59">
        <f t="shared" si="46"/>
        <v>203.35476578922339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11.04177649694136</v>
      </c>
      <c r="EX27" s="21">
        <f>EXP(-LN(2)/2)*EX26+(1-EXP(-LN(2)/2))/(LN(2)/2)*ER27*EU27*VLOOKUP('Données projet'!$B$15,Paramètres!$A$1:$I$89,3,0)*0.475*44/12</f>
        <v>4.4046666954523346</v>
      </c>
      <c r="EY27" s="22">
        <f t="shared" si="21"/>
        <v>15.446443192393694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11.7</v>
      </c>
      <c r="FE27" s="12">
        <f>IF('Données projet'!$A$218&gt;35,FE26+FD27-FM26,IF(A27&lt;'Données projet'!$A$218,$FB$205^A27,IF(A27='Données projet'!$A$218,'Données projet'!$B$218,FE26+FD27-FM26)))</f>
        <v>110.80000000000001</v>
      </c>
      <c r="FF27" s="17">
        <f>FE27*VLOOKUP('Données projet'!$B$16,Paramètres!$A$1:$I$89,3,0)*VLOOKUP('Données projet'!$B$16,Paramètres!$A$1:$I$89,5,0)</f>
        <v>60.4968</v>
      </c>
      <c r="FG27" s="13">
        <f t="shared" si="47"/>
        <v>17.293815295955497</v>
      </c>
      <c r="FH27" s="20">
        <f t="shared" si="22"/>
        <v>135.48532164045579</v>
      </c>
      <c r="FI27" s="59">
        <f t="shared" si="23"/>
        <v>428.81865497378908</v>
      </c>
      <c r="FJ27" s="59">
        <f ca="1">AVERAGE(OFFSET($FI$3,0,0,'Données projet'!$E$16+1,1))-AVERAGE(OFFSET($H$3,0,0,'Données projet'!$E$16+1,1))</f>
        <v>127.76128532861486</v>
      </c>
      <c r="FK27" s="59">
        <f t="shared" si="48"/>
        <v>157.52303491639736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6.3926074455976289</v>
      </c>
      <c r="FS27" s="21">
        <f>EXP(-LN(2)/2)*FS26+(1-EXP(-LN(2)/2))/(LN(2)/2)*FM27*FP27*VLOOKUP('Données projet'!$B$16,Paramètres!$A$1:$I$89,3,0)*0.475*44/12</f>
        <v>2.5500701921039837</v>
      </c>
      <c r="FT27" s="22">
        <f t="shared" si="24"/>
        <v>8.9426776377016122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2.9235042735042733</v>
      </c>
      <c r="N28" s="13">
        <f>IF('Données projet'!$A$36&gt;35,N27+M28-V27,IF(A28&lt;'Données projet'!$A$36,$K$205^A28,IF(A28='Données projet'!$A$36,'Données projet'!$B$36,N27+M28-V27)))</f>
        <v>41.609020251295185</v>
      </c>
      <c r="O28" s="13">
        <f>N28*VLOOKUP('Données projet'!$B$9,Paramètres!$A$1:$I$89,3,0)*VLOOKUP('Données projet'!$B$9,Paramètres!$A$1:$I$89,5,0)</f>
        <v>37.647841523371881</v>
      </c>
      <c r="P28" s="13">
        <f t="shared" si="33"/>
        <v>11.373025189850091</v>
      </c>
      <c r="Q28" s="20">
        <f t="shared" si="2"/>
        <v>85.37800952552827</v>
      </c>
      <c r="R28" s="59">
        <f t="shared" si="0"/>
        <v>378.7113428588616</v>
      </c>
      <c r="S28" s="59">
        <f ca="1">AVERAGE(OFFSET($R$3,0,0,'Données projet'!$E$9+1,1))-AVERAGE(OFFSET($H$3,0,0,'Données projet'!$E$9+1,1))</f>
        <v>153.45079678708987</v>
      </c>
      <c r="T28" s="59">
        <f t="shared" si="34"/>
        <v>115.4217868409637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1.8914529914529912</v>
      </c>
      <c r="AI28" s="13">
        <f>IF('Données projet'!$A$62&gt;35,AI27+AH28-AQ27,IF(A28&lt;'Données projet'!$A$62,$AF$205^A28,IF(A28='Données projet'!$A$62,'Données projet'!$B$62,AI27+AH28-AQ27)))</f>
        <v>28.946585285905964</v>
      </c>
      <c r="AJ28" s="13">
        <f>AI28*VLOOKUP('Données projet'!$B$10,Paramètres!$A$1:$I$89,3,0)*VLOOKUP('Données projet'!$B$10,Paramètres!$A$1:$I$89,5,0)</f>
        <v>26.190870366687715</v>
      </c>
      <c r="AK28" s="13">
        <f t="shared" si="35"/>
        <v>8.2533325403712148</v>
      </c>
      <c r="AL28" s="20">
        <f t="shared" si="4"/>
        <v>59.990320063127633</v>
      </c>
      <c r="AM28" s="59">
        <f t="shared" si="5"/>
        <v>353.32365339646094</v>
      </c>
      <c r="AN28" s="59">
        <f ca="1">AVERAGE(OFFSET($AM$3,0,0,'Données projet'!$E$10+1,1))-AVERAGE(OFFSET($H$3,0,0,'Données projet'!$E$10+1,1))</f>
        <v>123.92486590666675</v>
      </c>
      <c r="AO28" s="59">
        <f t="shared" si="36"/>
        <v>54.404493017418986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16.687912087912085</v>
      </c>
      <c r="BD28" s="12">
        <f>IF('Données projet'!$A$88&gt;35,BD27+BC28-BL27,IF(A28&lt;'Données projet'!$A$88,$BA$205^A28,IF(A28='Données projet'!$A$88,'Données projet'!$B$88,BD27+BC28-BL27)))</f>
        <v>185.64395604395605</v>
      </c>
      <c r="BE28" s="13">
        <f>BD28*VLOOKUP('Données projet'!$B$11,Paramètres!$A$1:$I$89,3,0)*VLOOKUP('Données projet'!$B$11,Paramètres!$A$1:$I$89,5,0)</f>
        <v>103.77497142857143</v>
      </c>
      <c r="BF28" s="13">
        <f t="shared" si="37"/>
        <v>27.859383782043167</v>
      </c>
      <c r="BG28" s="20">
        <f t="shared" si="7"/>
        <v>229.2631686584871</v>
      </c>
      <c r="BH28" s="59">
        <f t="shared" si="8"/>
        <v>522.59650199182045</v>
      </c>
      <c r="BI28" s="59">
        <f ca="1">AVERAGE(OFFSET($BH$3,0,0,'Données projet'!$E$11+1,1))-AVERAGE(OFFSET($H$3,0,0,'Données projet'!$E$11+1,1))</f>
        <v>224.7049802939942</v>
      </c>
      <c r="BJ28" s="59">
        <f t="shared" si="38"/>
        <v>203.48513862195352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11.120587197384367</v>
      </c>
      <c r="BR28" s="21">
        <f>EXP(-LN(2)/2)*BR27+(1-EXP(-LN(2)/2))/(LN(2)/2)*BL28*BO28*VLOOKUP('Données projet'!$B$11,Paramètres!$A$1:$I$89,3,0)*0.475*44/12</f>
        <v>4.8393872860876206</v>
      </c>
      <c r="BS28" s="22">
        <f t="shared" si="9"/>
        <v>15.959974483471989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>
        <f>VLOOKUP(A28,'Données projet'!$A$113:$I$133,2,0)</f>
        <v>139.66153846153847</v>
      </c>
      <c r="BW28" s="12">
        <f>VLOOKUP(A28,'Données projet'!$A$113:$I$133,9,0)</f>
        <v>5.5864615384615384</v>
      </c>
      <c r="BX28" s="12">
        <f t="array" ref="BX28">INDEX(BW:BW,MIN(IF(ISNUMBER(BW28:BW224),ROW(BW28:BW224),"")))</f>
        <v>5.5864615384615384</v>
      </c>
      <c r="BY28" s="12">
        <f>IF('Données projet'!$A$114&gt;35,BY27+BX28-CG27,IF(A28&lt;'Données projet'!$A$114,$BV$205^A28,IF(A28='Données projet'!$A$114,'Données projet'!$B$114,BY27+BX28-CG27)))</f>
        <v>139.66153846153847</v>
      </c>
      <c r="BZ28" s="13">
        <f>BY28*VLOOKUP('Données projet'!$B$12,Paramètres!$A$1:$I$89,3,0)*VLOOKUP('Données projet'!$B$12,Paramètres!$A$1:$I$89,5,0)</f>
        <v>78.070800000000006</v>
      </c>
      <c r="CA28" s="13">
        <f t="shared" si="39"/>
        <v>21.664816654492686</v>
      </c>
      <c r="CB28" s="20">
        <f t="shared" si="10"/>
        <v>173.70619900657479</v>
      </c>
      <c r="CC28" s="59">
        <f t="shared" si="11"/>
        <v>467.03953233990808</v>
      </c>
      <c r="CD28" s="59">
        <f ca="1">AVERAGE(OFFSET($CC$3,0,0,'Données projet'!$E$12+1,1))-AVERAGE(OFFSET($H$3,0,0,'Données projet'!$E$12+1,1))</f>
        <v>190.08613104982993</v>
      </c>
      <c r="CE28" s="59">
        <f t="shared" si="40"/>
        <v>180.55054525447781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13.3</v>
      </c>
      <c r="CT28" s="12">
        <f>IF('Données projet'!$A$140&gt;35,CT27+CS28-DB27,IF(A28&lt;'Données projet'!$A$140,$CQ$205^A28,IF(A28='Données projet'!$A$140,'Données projet'!$B$140,CT27+CS28-DB27)))</f>
        <v>133.5</v>
      </c>
      <c r="CU28" s="17">
        <f>CT28*VLOOKUP('Données projet'!$B$13,Paramètres!$A$1:$I$89,3,0)*VLOOKUP('Données projet'!$B$13,Paramètres!$A$1:$I$89,5,0)</f>
        <v>79.833000000000013</v>
      </c>
      <c r="CV28" s="13">
        <f t="shared" si="41"/>
        <v>22.096346795793803</v>
      </c>
      <c r="CW28" s="20">
        <f t="shared" si="13"/>
        <v>177.52694566934088</v>
      </c>
      <c r="CX28" s="59">
        <f t="shared" si="14"/>
        <v>470.86027900267419</v>
      </c>
      <c r="CY28" s="59">
        <f ca="1">AVERAGE(OFFSET($CX$3,0,0,'Données projet'!$E$13+1,1))-AVERAGE(OFFSET($H$3,0,0,'Données projet'!$E$13+1,1))</f>
        <v>270.30888762640245</v>
      </c>
      <c r="CZ28" s="59">
        <f t="shared" si="42"/>
        <v>202.23783851977691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3.0954421851294032</v>
      </c>
      <c r="DH28" s="21">
        <f>EXP(-LN(2)/2)*DH27+(1-EXP(-LN(2)/2))/(LN(2)/2)*DB28*DE28*VLOOKUP('Données projet'!$B$13,Paramètres!$A$1:$I$89,3,0)*0.475*44/12</f>
        <v>1.1969106575117865</v>
      </c>
      <c r="DI28" s="22">
        <f t="shared" si="15"/>
        <v>4.2923528426411899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11.3</v>
      </c>
      <c r="DO28" s="12">
        <f>IF('Données projet'!$A$166&gt;35,DO27+DN28-DW27,IF(A28&lt;'Données projet'!$A$166,$DL$205^A28,IF(A28='Données projet'!$A$166,'Données projet'!$B$166,DO27+DN28-DW27)))</f>
        <v>125.49999999999999</v>
      </c>
      <c r="DP28" s="17">
        <f>DO28*VLOOKUP('Données projet'!$B$14,Paramètres!$A$1:$I$89,3,0)*VLOOKUP('Données projet'!$B$14,Paramètres!$A$1:$I$89,5,0)</f>
        <v>75.048999999999992</v>
      </c>
      <c r="DQ28" s="13">
        <f t="shared" si="43"/>
        <v>20.922174846609956</v>
      </c>
      <c r="DR28" s="20">
        <f t="shared" si="16"/>
        <v>167.14979619117901</v>
      </c>
      <c r="DS28" s="59">
        <f t="shared" si="17"/>
        <v>460.48312952451232</v>
      </c>
      <c r="DT28" s="59">
        <f ca="1">AVERAGE(OFFSET($DS$3,0,0,'Données projet'!$E$14+1,1))-AVERAGE(OFFSET($H$3,0,0,'Données projet'!$E$14+1,1))</f>
        <v>221.14988592347311</v>
      </c>
      <c r="DU28" s="59">
        <f t="shared" si="44"/>
        <v>179.09262081171607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14</v>
      </c>
      <c r="EJ28" s="12">
        <f>IF('Données projet'!$A$192&gt;35,EJ27+EI28-ER27,IF(A28&lt;'Données projet'!$A$192,$EG$205^A28,IF(A28='Données projet'!$A$192,'Données projet'!$B$192,EJ27+EI28-ER27)))</f>
        <v>150.00000000000003</v>
      </c>
      <c r="EK28" s="17">
        <f>EJ28*VLOOKUP('Données projet'!$B$15,Paramètres!$A$1:$I$89,3,0)*VLOOKUP('Données projet'!$B$15,Paramètres!$A$1:$I$89,5,0)</f>
        <v>81.900000000000006</v>
      </c>
      <c r="EL28" s="13">
        <f t="shared" si="45"/>
        <v>22.601107473346342</v>
      </c>
      <c r="EM28" s="20">
        <f t="shared" si="19"/>
        <v>182.0060955160782</v>
      </c>
      <c r="EN28" s="59">
        <f t="shared" si="20"/>
        <v>475.33942884941155</v>
      </c>
      <c r="EO28" s="59">
        <f ca="1">AVERAGE(OFFSET($EN$3,0,0,'Données projet'!$E$15+1,1))-AVERAGE(OFFSET($H$3,0,0,'Données projet'!$E$15+1,1))</f>
        <v>168.72306536277267</v>
      </c>
      <c r="EP28" s="59">
        <f t="shared" si="46"/>
        <v>203.35476578922339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10.739838537970709</v>
      </c>
      <c r="EX28" s="21">
        <f>EXP(-LN(2)/2)*EX27+(1-EXP(-LN(2)/2))/(LN(2)/2)*ER28*EU28*VLOOKUP('Données projet'!$B$15,Paramètres!$A$1:$I$89,3,0)*0.475*44/12</f>
        <v>3.1145696892208874</v>
      </c>
      <c r="EY28" s="22">
        <f t="shared" si="21"/>
        <v>13.854408227191596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11.7</v>
      </c>
      <c r="FE28" s="12">
        <f>IF('Données projet'!$A$218&gt;35,FE27+FD28-FM27,IF(A28&lt;'Données projet'!$A$218,$FB$205^A28,IF(A28='Données projet'!$A$218,'Données projet'!$B$218,FE27+FD28-FM27)))</f>
        <v>122.50000000000001</v>
      </c>
      <c r="FF28" s="17">
        <f>FE28*VLOOKUP('Données projet'!$B$16,Paramètres!$A$1:$I$89,3,0)*VLOOKUP('Données projet'!$B$16,Paramètres!$A$1:$I$89,5,0)</f>
        <v>66.885000000000005</v>
      </c>
      <c r="FG28" s="13">
        <f t="shared" si="47"/>
        <v>18.897855850266328</v>
      </c>
      <c r="FH28" s="20">
        <f t="shared" si="22"/>
        <v>149.40514060588052</v>
      </c>
      <c r="FI28" s="59">
        <f t="shared" si="23"/>
        <v>442.7384739392138</v>
      </c>
      <c r="FJ28" s="59">
        <f ca="1">AVERAGE(OFFSET($FI$3,0,0,'Données projet'!$E$16+1,1))-AVERAGE(OFFSET($H$3,0,0,'Données projet'!$E$16+1,1))</f>
        <v>127.76128532861486</v>
      </c>
      <c r="FK28" s="59">
        <f t="shared" si="48"/>
        <v>157.52303491639736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6.2178012588251468</v>
      </c>
      <c r="FS28" s="21">
        <f>EXP(-LN(2)/2)*FS27+(1-EXP(-LN(2)/2))/(LN(2)/2)*FM28*FP28*VLOOKUP('Données projet'!$B$16,Paramètres!$A$1:$I$89,3,0)*0.475*44/12</f>
        <v>1.8031719253384089</v>
      </c>
      <c r="FT28" s="22">
        <f t="shared" si="24"/>
        <v>8.0209731841635552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2.9235042735042733</v>
      </c>
      <c r="N29" s="13">
        <f>IF('Données projet'!$A$36&gt;35,N28+M29-V28,IF(A29&lt;'Données projet'!$A$36,$K$205^A29,IF(A29='Données projet'!$A$36,'Données projet'!$B$36,N28+M29-V28)))</f>
        <v>48.30087400300993</v>
      </c>
      <c r="O29" s="13">
        <f>N29*VLOOKUP('Données projet'!$B$9,Paramètres!$A$1:$I$89,3,0)*VLOOKUP('Données projet'!$B$9,Paramètres!$A$1:$I$89,5,0)</f>
        <v>43.702630797923383</v>
      </c>
      <c r="P29" s="13">
        <f t="shared" si="33"/>
        <v>12.974916262929579</v>
      </c>
      <c r="Q29" s="20">
        <f t="shared" si="2"/>
        <v>98.71339446431891</v>
      </c>
      <c r="R29" s="59">
        <f t="shared" si="0"/>
        <v>392.04672779765224</v>
      </c>
      <c r="S29" s="59">
        <f ca="1">AVERAGE(OFFSET($R$3,0,0,'Données projet'!$E$9+1,1))-AVERAGE(OFFSET($H$3,0,0,'Données projet'!$E$9+1,1))</f>
        <v>153.45079678708987</v>
      </c>
      <c r="T29" s="59">
        <f t="shared" si="34"/>
        <v>115.4217868409637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1.8914529914529912</v>
      </c>
      <c r="AI29" s="13">
        <f>IF('Données projet'!$A$62&gt;35,AI28+AH29-AQ28,IF(A29&lt;'Données projet'!$A$62,$AF$205^A29,IF(A29='Données projet'!$A$62,'Données projet'!$B$62,AI28+AH29-AQ28)))</f>
        <v>33.117781207039634</v>
      </c>
      <c r="AJ29" s="13">
        <f>AI29*VLOOKUP('Données projet'!$B$10,Paramètres!$A$1:$I$89,3,0)*VLOOKUP('Données projet'!$B$10,Paramètres!$A$1:$I$89,5,0)</f>
        <v>29.96496843612946</v>
      </c>
      <c r="AK29" s="13">
        <f t="shared" si="35"/>
        <v>9.2958271620631372</v>
      </c>
      <c r="AL29" s="20">
        <f t="shared" si="4"/>
        <v>68.379219000185444</v>
      </c>
      <c r="AM29" s="59">
        <f t="shared" si="5"/>
        <v>361.71255233351877</v>
      </c>
      <c r="AN29" s="59">
        <f ca="1">AVERAGE(OFFSET($AM$3,0,0,'Données projet'!$E$10+1,1))-AVERAGE(OFFSET($H$3,0,0,'Données projet'!$E$10+1,1))</f>
        <v>123.92486590666675</v>
      </c>
      <c r="AO29" s="59">
        <f t="shared" si="36"/>
        <v>54.404493017418986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16.687912087912085</v>
      </c>
      <c r="BD29" s="12">
        <f>IF('Données projet'!$A$88&gt;35,BD28+BC29-BL28,IF(A29&lt;'Données projet'!$A$88,$BA$205^A29,IF(A29='Données projet'!$A$88,'Données projet'!$B$88,BD28+BC29-BL28)))</f>
        <v>202.33186813186813</v>
      </c>
      <c r="BE29" s="13">
        <f>BD29*VLOOKUP('Données projet'!$B$11,Paramètres!$A$1:$I$89,3,0)*VLOOKUP('Données projet'!$B$11,Paramètres!$A$1:$I$89,5,0)</f>
        <v>113.1035142857143</v>
      </c>
      <c r="BF29" s="13">
        <f t="shared" si="37"/>
        <v>30.061008485627202</v>
      </c>
      <c r="BG29" s="20">
        <f t="shared" si="7"/>
        <v>249.34487716008644</v>
      </c>
      <c r="BH29" s="59">
        <f t="shared" si="8"/>
        <v>542.67821049341978</v>
      </c>
      <c r="BI29" s="59">
        <f ca="1">AVERAGE(OFFSET($BH$3,0,0,'Données projet'!$E$11+1,1))-AVERAGE(OFFSET($H$3,0,0,'Données projet'!$E$11+1,1))</f>
        <v>224.7049802939942</v>
      </c>
      <c r="BJ29" s="59">
        <f t="shared" si="38"/>
        <v>203.48513862195352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10.816494155665627</v>
      </c>
      <c r="BR29" s="21">
        <f>EXP(-LN(2)/2)*BR28+(1-EXP(-LN(2)/2))/(LN(2)/2)*BL29*BO29*VLOOKUP('Données projet'!$B$11,Paramètres!$A$1:$I$89,3,0)*0.475*44/12</f>
        <v>3.4219635667805193</v>
      </c>
      <c r="BS29" s="22">
        <f t="shared" si="9"/>
        <v>14.238457722446146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11.249572649572649</v>
      </c>
      <c r="BY29" s="12">
        <f>IF('Données projet'!$A$114&gt;35,BY28+BX29-CG28,IF(A29&lt;'Données projet'!$A$114,$BV$205^A29,IF(A29='Données projet'!$A$114,'Données projet'!$B$114,BY28+BX29-CG28)))</f>
        <v>150.91111111111113</v>
      </c>
      <c r="BZ29" s="13">
        <f>BY29*VLOOKUP('Données projet'!$B$12,Paramètres!$A$1:$I$89,3,0)*VLOOKUP('Données projet'!$B$12,Paramètres!$A$1:$I$89,5,0)</f>
        <v>84.359311111111126</v>
      </c>
      <c r="CA29" s="13">
        <f t="shared" si="39"/>
        <v>23.199744680404315</v>
      </c>
      <c r="CB29" s="20">
        <f t="shared" si="10"/>
        <v>187.33202217022276</v>
      </c>
      <c r="CC29" s="59">
        <f t="shared" si="11"/>
        <v>480.66535550355604</v>
      </c>
      <c r="CD29" s="59">
        <f ca="1">AVERAGE(OFFSET($CC$3,0,0,'Données projet'!$E$12+1,1))-AVERAGE(OFFSET($H$3,0,0,'Données projet'!$E$12+1,1))</f>
        <v>190.08613104982993</v>
      </c>
      <c r="CE29" s="59">
        <f t="shared" si="40"/>
        <v>180.55054525447781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13.3</v>
      </c>
      <c r="CT29" s="12">
        <f>IF('Données projet'!$A$140&gt;35,CT28+CS29-DB28,IF(A29&lt;'Données projet'!$A$140,$CQ$205^A29,IF(A29='Données projet'!$A$140,'Données projet'!$B$140,CT28+CS29-DB28)))</f>
        <v>146.80000000000001</v>
      </c>
      <c r="CU29" s="17">
        <f>CT29*VLOOKUP('Données projet'!$B$13,Paramètres!$A$1:$I$89,3,0)*VLOOKUP('Données projet'!$B$13,Paramètres!$A$1:$I$89,5,0)</f>
        <v>87.786400000000015</v>
      </c>
      <c r="CV29" s="13">
        <f t="shared" si="41"/>
        <v>24.030586680166543</v>
      </c>
      <c r="CW29" s="20">
        <f t="shared" si="13"/>
        <v>194.74791846795674</v>
      </c>
      <c r="CX29" s="59">
        <f t="shared" si="14"/>
        <v>488.08125180129002</v>
      </c>
      <c r="CY29" s="59">
        <f ca="1">AVERAGE(OFFSET($CX$3,0,0,'Données projet'!$E$13+1,1))-AVERAGE(OFFSET($H$3,0,0,'Données projet'!$E$13+1,1))</f>
        <v>270.30888762640245</v>
      </c>
      <c r="CZ29" s="59">
        <f t="shared" si="42"/>
        <v>202.23783851977691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3.0107971557948097</v>
      </c>
      <c r="DH29" s="21">
        <f>EXP(-LN(2)/2)*DH28+(1-EXP(-LN(2)/2))/(LN(2)/2)*DB29*DE29*VLOOKUP('Données projet'!$B$13,Paramètres!$A$1:$I$89,3,0)*0.475*44/12</f>
        <v>0.84634364240103355</v>
      </c>
      <c r="DI29" s="22">
        <f t="shared" si="15"/>
        <v>3.857140798195843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11.3</v>
      </c>
      <c r="DO29" s="12">
        <f>IF('Données projet'!$A$166&gt;35,DO28+DN29-DW28,IF(A29&lt;'Données projet'!$A$166,$DL$205^A29,IF(A29='Données projet'!$A$166,'Données projet'!$B$166,DO28+DN29-DW28)))</f>
        <v>136.79999999999998</v>
      </c>
      <c r="DP29" s="17">
        <f>DO29*VLOOKUP('Données projet'!$B$14,Paramètres!$A$1:$I$89,3,0)*VLOOKUP('Données projet'!$B$14,Paramètres!$A$1:$I$89,5,0)</f>
        <v>81.806399999999996</v>
      </c>
      <c r="DQ29" s="13">
        <f t="shared" si="43"/>
        <v>22.578282710556032</v>
      </c>
      <c r="DR29" s="20">
        <f t="shared" si="16"/>
        <v>181.80332238755173</v>
      </c>
      <c r="DS29" s="59">
        <f t="shared" si="17"/>
        <v>475.13665572088507</v>
      </c>
      <c r="DT29" s="59">
        <f ca="1">AVERAGE(OFFSET($DS$3,0,0,'Données projet'!$E$14+1,1))-AVERAGE(OFFSET($H$3,0,0,'Données projet'!$E$14+1,1))</f>
        <v>221.14988592347311</v>
      </c>
      <c r="DU29" s="59">
        <f t="shared" si="44"/>
        <v>179.09262081171607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14</v>
      </c>
      <c r="EJ29" s="12">
        <f>IF('Données projet'!$A$192&gt;35,EJ28+EI29-ER28,IF(A29&lt;'Données projet'!$A$192,$EG$205^A29,IF(A29='Données projet'!$A$192,'Données projet'!$B$192,EJ28+EI29-ER28)))</f>
        <v>164.00000000000003</v>
      </c>
      <c r="EK29" s="17">
        <f>EJ29*VLOOKUP('Données projet'!$B$15,Paramètres!$A$1:$I$89,3,0)*VLOOKUP('Données projet'!$B$15,Paramètres!$A$1:$I$89,5,0)</f>
        <v>89.544000000000011</v>
      </c>
      <c r="EL29" s="13">
        <f t="shared" si="45"/>
        <v>24.45521628326841</v>
      </c>
      <c r="EM29" s="20">
        <f t="shared" si="19"/>
        <v>198.54863502669249</v>
      </c>
      <c r="EN29" s="59">
        <f t="shared" si="20"/>
        <v>491.88196836002578</v>
      </c>
      <c r="EO29" s="59">
        <f ca="1">AVERAGE(OFFSET($EN$3,0,0,'Données projet'!$E$15+1,1))-AVERAGE(OFFSET($H$3,0,0,'Données projet'!$E$15+1,1))</f>
        <v>168.72306536277267</v>
      </c>
      <c r="EP29" s="59">
        <f t="shared" si="46"/>
        <v>203.35476578922339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10.446157088366338</v>
      </c>
      <c r="EX29" s="21">
        <f>EXP(-LN(2)/2)*EX28+(1-EXP(-LN(2)/2))/(LN(2)/2)*ER29*EU29*VLOOKUP('Données projet'!$B$15,Paramètres!$A$1:$I$89,3,0)*0.475*44/12</f>
        <v>2.2023333477261673</v>
      </c>
      <c r="EY29" s="22">
        <f t="shared" si="21"/>
        <v>12.648490436092505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11.7</v>
      </c>
      <c r="FE29" s="12">
        <f>IF('Données projet'!$A$218&gt;35,FE28+FD29-FM28,IF(A29&lt;'Données projet'!$A$218,$FB$205^A29,IF(A29='Données projet'!$A$218,'Données projet'!$B$218,FE28+FD29-FM28)))</f>
        <v>134.20000000000002</v>
      </c>
      <c r="FF29" s="17">
        <f>FE29*VLOOKUP('Données projet'!$B$16,Paramètres!$A$1:$I$89,3,0)*VLOOKUP('Données projet'!$B$16,Paramètres!$A$1:$I$89,5,0)</f>
        <v>73.273200000000003</v>
      </c>
      <c r="FG29" s="13">
        <f t="shared" si="47"/>
        <v>20.484133942460197</v>
      </c>
      <c r="FH29" s="20">
        <f t="shared" si="22"/>
        <v>163.29402328311821</v>
      </c>
      <c r="FI29" s="59">
        <f t="shared" si="23"/>
        <v>456.62735661645149</v>
      </c>
      <c r="FJ29" s="59">
        <f ca="1">AVERAGE(OFFSET($FI$3,0,0,'Données projet'!$E$16+1,1))-AVERAGE(OFFSET($H$3,0,0,'Données projet'!$E$16+1,1))</f>
        <v>127.76128532861486</v>
      </c>
      <c r="FK29" s="59">
        <f t="shared" si="48"/>
        <v>157.52303491639736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6.0477751564226159</v>
      </c>
      <c r="FS29" s="21">
        <f>EXP(-LN(2)/2)*FS28+(1-EXP(-LN(2)/2))/(LN(2)/2)*FM29*FP29*VLOOKUP('Données projet'!$B$16,Paramètres!$A$1:$I$89,3,0)*0.475*44/12</f>
        <v>1.2750350960519921</v>
      </c>
      <c r="FT29" s="22">
        <f t="shared" si="24"/>
        <v>7.3228102524746079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2.9235042735042733</v>
      </c>
      <c r="N30" s="13">
        <f>IF('Données projet'!$A$36&gt;35,N29+M30-V29,IF(A30&lt;'Données projet'!$A$36,$K$205^A30,IF(A30='Données projet'!$A$36,'Données projet'!$B$36,N29+M30-V29)))</f>
        <v>56.068958494210662</v>
      </c>
      <c r="O30" s="13">
        <f>N30*VLOOKUP('Données projet'!$B$9,Paramètres!$A$1:$I$89,3,0)*VLOOKUP('Données projet'!$B$9,Paramètres!$A$1:$I$89,5,0)</f>
        <v>50.731193645561802</v>
      </c>
      <c r="P30" s="13">
        <f t="shared" si="33"/>
        <v>14.802433760568636</v>
      </c>
      <c r="Q30" s="20">
        <f t="shared" si="2"/>
        <v>114.13773439901051</v>
      </c>
      <c r="R30" s="59">
        <f t="shared" si="0"/>
        <v>407.47106773234384</v>
      </c>
      <c r="S30" s="59">
        <f ca="1">AVERAGE(OFFSET($R$3,0,0,'Données projet'!$E$9+1,1))-AVERAGE(OFFSET($H$3,0,0,'Données projet'!$E$9+1,1))</f>
        <v>153.45079678708987</v>
      </c>
      <c r="T30" s="59">
        <f t="shared" si="34"/>
        <v>115.4217868409637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1.8914529914529912</v>
      </c>
      <c r="AI30" s="13">
        <f>IF('Données projet'!$A$62&gt;35,AI29+AH30-AQ29,IF(A30&lt;'Données projet'!$A$62,$AF$205^A30,IF(A30='Données projet'!$A$62,'Données projet'!$B$62,AI29+AH30-AQ29)))</f>
        <v>37.890045449035092</v>
      </c>
      <c r="AJ30" s="13">
        <f>AI30*VLOOKUP('Données projet'!$B$10,Paramètres!$A$1:$I$89,3,0)*VLOOKUP('Données projet'!$B$10,Paramètres!$A$1:$I$89,5,0)</f>
        <v>34.282913122286956</v>
      </c>
      <c r="AK30" s="13">
        <f t="shared" si="35"/>
        <v>10.470001324224373</v>
      </c>
      <c r="AL30" s="20">
        <f t="shared" si="4"/>
        <v>77.944659327673889</v>
      </c>
      <c r="AM30" s="59">
        <f t="shared" si="5"/>
        <v>371.2779926610072</v>
      </c>
      <c r="AN30" s="59">
        <f ca="1">AVERAGE(OFFSET($AM$3,0,0,'Données projet'!$E$10+1,1))-AVERAGE(OFFSET($H$3,0,0,'Données projet'!$E$10+1,1))</f>
        <v>123.92486590666675</v>
      </c>
      <c r="AO30" s="59">
        <f t="shared" si="36"/>
        <v>54.404493017418986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16.687912087912085</v>
      </c>
      <c r="BD30" s="12">
        <f>IF('Données projet'!$A$88&gt;35,BD29+BC30-BL29,IF(A30&lt;'Données projet'!$A$88,$BA$205^A30,IF(A30='Données projet'!$A$88,'Données projet'!$B$88,BD29+BC30-BL29)))</f>
        <v>219.01978021978022</v>
      </c>
      <c r="BE30" s="13">
        <f>BD30*VLOOKUP('Données projet'!$B$11,Paramètres!$A$1:$I$89,3,0)*VLOOKUP('Données projet'!$B$11,Paramètres!$A$1:$I$89,5,0)</f>
        <v>122.43205714285713</v>
      </c>
      <c r="BF30" s="13">
        <f t="shared" si="37"/>
        <v>32.241572593058322</v>
      </c>
      <c r="BG30" s="20">
        <f t="shared" si="7"/>
        <v>269.38990512338609</v>
      </c>
      <c r="BH30" s="59">
        <f t="shared" si="8"/>
        <v>562.7232384567194</v>
      </c>
      <c r="BI30" s="59">
        <f ca="1">AVERAGE(OFFSET($BH$3,0,0,'Données projet'!$E$11+1,1))-AVERAGE(OFFSET($H$3,0,0,'Données projet'!$E$11+1,1))</f>
        <v>224.7049802939942</v>
      </c>
      <c r="BJ30" s="59">
        <f t="shared" si="38"/>
        <v>203.48513862195352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10.520716554164244</v>
      </c>
      <c r="BR30" s="21">
        <f>EXP(-LN(2)/2)*BR29+(1-EXP(-LN(2)/2))/(LN(2)/2)*BL30*BO30*VLOOKUP('Données projet'!$B$11,Paramètres!$A$1:$I$89,3,0)*0.475*44/12</f>
        <v>2.4196936430438103</v>
      </c>
      <c r="BS30" s="22">
        <f t="shared" si="9"/>
        <v>12.940410197208054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11.249572649572649</v>
      </c>
      <c r="BY30" s="12">
        <f>IF('Données projet'!$A$114&gt;35,BY29+BX30-CG29,IF(A30&lt;'Données projet'!$A$114,$BV$205^A30,IF(A30='Données projet'!$A$114,'Données projet'!$B$114,BY29+BX30-CG29)))</f>
        <v>162.16068376068378</v>
      </c>
      <c r="BZ30" s="13">
        <f>BY30*VLOOKUP('Données projet'!$B$12,Paramètres!$A$1:$I$89,3,0)*VLOOKUP('Données projet'!$B$12,Paramètres!$A$1:$I$89,5,0)</f>
        <v>90.647822222222246</v>
      </c>
      <c r="CA30" s="13">
        <f t="shared" si="39"/>
        <v>24.721398836562145</v>
      </c>
      <c r="CB30" s="20">
        <f t="shared" si="10"/>
        <v>200.93472667738277</v>
      </c>
      <c r="CC30" s="59">
        <f t="shared" si="11"/>
        <v>494.26806001071611</v>
      </c>
      <c r="CD30" s="59">
        <f ca="1">AVERAGE(OFFSET($CC$3,0,0,'Données projet'!$E$12+1,1))-AVERAGE(OFFSET($H$3,0,0,'Données projet'!$E$12+1,1))</f>
        <v>190.08613104982993</v>
      </c>
      <c r="CE30" s="59">
        <f t="shared" si="40"/>
        <v>180.55054525447781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13.3</v>
      </c>
      <c r="CT30" s="12">
        <f>IF('Données projet'!$A$140&gt;35,CT29+CS30-DB29,IF(A30&lt;'Données projet'!$A$140,$CQ$205^A30,IF(A30='Données projet'!$A$140,'Données projet'!$B$140,CT29+CS30-DB29)))</f>
        <v>160.10000000000002</v>
      </c>
      <c r="CU30" s="17">
        <f>CT30*VLOOKUP('Données projet'!$B$13,Paramètres!$A$1:$I$89,3,0)*VLOOKUP('Données projet'!$B$13,Paramètres!$A$1:$I$89,5,0)</f>
        <v>95.739800000000017</v>
      </c>
      <c r="CV30" s="13">
        <f t="shared" si="41"/>
        <v>25.944506362071046</v>
      </c>
      <c r="CW30" s="20">
        <f t="shared" si="13"/>
        <v>211.93350024727374</v>
      </c>
      <c r="CX30" s="59">
        <f t="shared" si="14"/>
        <v>505.26683358060706</v>
      </c>
      <c r="CY30" s="59">
        <f ca="1">AVERAGE(OFFSET($CX$3,0,0,'Données projet'!$E$13+1,1))-AVERAGE(OFFSET($H$3,0,0,'Données projet'!$E$13+1,1))</f>
        <v>270.30888762640245</v>
      </c>
      <c r="CZ30" s="59">
        <f t="shared" si="42"/>
        <v>202.23783851977691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2.9284667492386594</v>
      </c>
      <c r="DH30" s="21">
        <f>EXP(-LN(2)/2)*DH29+(1-EXP(-LN(2)/2))/(LN(2)/2)*DB30*DE30*VLOOKUP('Données projet'!$B$13,Paramètres!$A$1:$I$89,3,0)*0.475*44/12</f>
        <v>0.59845532875589325</v>
      </c>
      <c r="DI30" s="22">
        <f t="shared" si="15"/>
        <v>3.5269220779945525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11.3</v>
      </c>
      <c r="DO30" s="12">
        <f>IF('Données projet'!$A$166&gt;35,DO29+DN30-DW29,IF(A30&lt;'Données projet'!$A$166,$DL$205^A30,IF(A30='Données projet'!$A$166,'Données projet'!$B$166,DO29+DN30-DW29)))</f>
        <v>148.1</v>
      </c>
      <c r="DP30" s="17">
        <f>DO30*VLOOKUP('Données projet'!$B$14,Paramètres!$A$1:$I$89,3,0)*VLOOKUP('Données projet'!$B$14,Paramètres!$A$1:$I$89,5,0)</f>
        <v>88.563800000000015</v>
      </c>
      <c r="DQ30" s="13">
        <f t="shared" si="43"/>
        <v>24.218524515914456</v>
      </c>
      <c r="DR30" s="20">
        <f t="shared" si="16"/>
        <v>196.42921519855102</v>
      </c>
      <c r="DS30" s="59">
        <f t="shared" si="17"/>
        <v>489.76254853188436</v>
      </c>
      <c r="DT30" s="59">
        <f ca="1">AVERAGE(OFFSET($DS$3,0,0,'Données projet'!$E$14+1,1))-AVERAGE(OFFSET($H$3,0,0,'Données projet'!$E$14+1,1))</f>
        <v>221.14988592347311</v>
      </c>
      <c r="DU30" s="59">
        <f t="shared" si="44"/>
        <v>179.09262081171607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14</v>
      </c>
      <c r="EJ30" s="12">
        <f>IF('Données projet'!$A$192&gt;35,EJ29+EI30-ER29,IF(A30&lt;'Données projet'!$A$192,$EG$205^A30,IF(A30='Données projet'!$A$192,'Données projet'!$B$192,EJ29+EI30-ER29)))</f>
        <v>178.00000000000003</v>
      </c>
      <c r="EK30" s="17">
        <f>EJ30*VLOOKUP('Données projet'!$B$15,Paramètres!$A$1:$I$89,3,0)*VLOOKUP('Données projet'!$B$15,Paramètres!$A$1:$I$89,5,0)</f>
        <v>97.188000000000017</v>
      </c>
      <c r="EL30" s="13">
        <f t="shared" si="45"/>
        <v>26.290969297460332</v>
      </c>
      <c r="EM30" s="20">
        <f t="shared" si="19"/>
        <v>215.05920485974343</v>
      </c>
      <c r="EN30" s="59">
        <f t="shared" si="20"/>
        <v>508.39253819307675</v>
      </c>
      <c r="EO30" s="59">
        <f ca="1">AVERAGE(OFFSET($EN$3,0,0,'Données projet'!$E$15+1,1))-AVERAGE(OFFSET($H$3,0,0,'Données projet'!$E$15+1,1))</f>
        <v>168.72306536277267</v>
      </c>
      <c r="EP30" s="59">
        <f t="shared" si="46"/>
        <v>203.35476578922339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10.160506373445434</v>
      </c>
      <c r="EX30" s="21">
        <f>EXP(-LN(2)/2)*EX29+(1-EXP(-LN(2)/2))/(LN(2)/2)*ER30*EU30*VLOOKUP('Données projet'!$B$15,Paramètres!$A$1:$I$89,3,0)*0.475*44/12</f>
        <v>1.5572848446104437</v>
      </c>
      <c r="EY30" s="22">
        <f t="shared" si="21"/>
        <v>11.717791218055877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11.7</v>
      </c>
      <c r="FE30" s="12">
        <f>IF('Données projet'!$A$218&gt;35,FE29+FD30-FM29,IF(A30&lt;'Données projet'!$A$218,$FB$205^A30,IF(A30='Données projet'!$A$218,'Données projet'!$B$218,FE29+FD30-FM29)))</f>
        <v>145.9</v>
      </c>
      <c r="FF30" s="17">
        <f>FE30*VLOOKUP('Données projet'!$B$16,Paramètres!$A$1:$I$89,3,0)*VLOOKUP('Données projet'!$B$16,Paramètres!$A$1:$I$89,5,0)</f>
        <v>79.6614</v>
      </c>
      <c r="FG30" s="13">
        <f t="shared" si="47"/>
        <v>22.054374242535992</v>
      </c>
      <c r="FH30" s="20">
        <f t="shared" si="22"/>
        <v>177.15497347241683</v>
      </c>
      <c r="FI30" s="59">
        <f t="shared" si="23"/>
        <v>470.48830680575014</v>
      </c>
      <c r="FJ30" s="59">
        <f ca="1">AVERAGE(OFFSET($FI$3,0,0,'Données projet'!$E$16+1,1))-AVERAGE(OFFSET($H$3,0,0,'Données projet'!$E$16+1,1))</f>
        <v>127.76128532861486</v>
      </c>
      <c r="FK30" s="59">
        <f t="shared" si="48"/>
        <v>157.52303491639736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5.8823984267315668</v>
      </c>
      <c r="FS30" s="21">
        <f>EXP(-LN(2)/2)*FS29+(1-EXP(-LN(2)/2))/(LN(2)/2)*FM30*FP30*VLOOKUP('Données projet'!$B$16,Paramètres!$A$1:$I$89,3,0)*0.475*44/12</f>
        <v>0.90158596266920465</v>
      </c>
      <c r="FT30" s="22">
        <f t="shared" si="24"/>
        <v>6.7839843894007714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2.9235042735042733</v>
      </c>
      <c r="N31" s="13">
        <f>IF('Données projet'!$A$36&gt;35,N30+M31-V30,IF(A31&lt;'Données projet'!$A$36,$K$205^A31,IF(A31='Données projet'!$A$36,'Données projet'!$B$36,N30+M31-V30)))</f>
        <v>65.086360682202411</v>
      </c>
      <c r="O31" s="13">
        <f>N31*VLOOKUP('Données projet'!$B$9,Paramètres!$A$1:$I$89,3,0)*VLOOKUP('Données projet'!$B$9,Paramètres!$A$1:$I$89,5,0)</f>
        <v>58.89013914525674</v>
      </c>
      <c r="P31" s="13">
        <f t="shared" si="33"/>
        <v>16.887357174091651</v>
      </c>
      <c r="Q31" s="20">
        <f t="shared" si="2"/>
        <v>131.9791394228651</v>
      </c>
      <c r="R31" s="59">
        <f t="shared" si="0"/>
        <v>425.31247275619842</v>
      </c>
      <c r="S31" s="59">
        <f ca="1">AVERAGE(OFFSET($R$3,0,0,'Données projet'!$E$9+1,1))-AVERAGE(OFFSET($H$3,0,0,'Données projet'!$E$9+1,1))</f>
        <v>153.45079678708987</v>
      </c>
      <c r="T31" s="59">
        <f t="shared" si="34"/>
        <v>115.4217868409637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1.8914529914529912</v>
      </c>
      <c r="AI31" s="13">
        <f>IF('Données projet'!$A$62&gt;35,AI30+AH31-AQ30,IF(A31&lt;'Données projet'!$A$62,$AF$205^A31,IF(A31='Données projet'!$A$62,'Données projet'!$B$62,AI30+AH31-AQ30)))</f>
        <v>43.349991811189845</v>
      </c>
      <c r="AJ31" s="13">
        <f>AI31*VLOOKUP('Données projet'!$B$10,Paramètres!$A$1:$I$89,3,0)*VLOOKUP('Données projet'!$B$10,Paramètres!$A$1:$I$89,5,0)</f>
        <v>39.223072590764573</v>
      </c>
      <c r="AK31" s="13">
        <f t="shared" si="35"/>
        <v>11.792487727894747</v>
      </c>
      <c r="AL31" s="20">
        <f t="shared" si="4"/>
        <v>88.852100888331634</v>
      </c>
      <c r="AM31" s="59">
        <f t="shared" si="5"/>
        <v>382.18543422166493</v>
      </c>
      <c r="AN31" s="59">
        <f ca="1">AVERAGE(OFFSET($AM$3,0,0,'Données projet'!$E$10+1,1))-AVERAGE(OFFSET($H$3,0,0,'Données projet'!$E$10+1,1))</f>
        <v>123.92486590666675</v>
      </c>
      <c r="AO31" s="59">
        <f t="shared" si="36"/>
        <v>54.404493017418986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>
        <f>VLOOKUP(A31,'Données projet'!$A$87:$I$107,2,0)</f>
        <v>235.7076923076923</v>
      </c>
      <c r="BB31" s="12">
        <f>VLOOKUP(A31,'Données projet'!$A$87:$I$107,9,0)</f>
        <v>16.687912087912085</v>
      </c>
      <c r="BC31" s="12">
        <f t="array" ref="BC31">INDEX(BB:BB,MIN(IF(ISNUMBER(BB31:BB227),ROW(BB31:BB227),"")))</f>
        <v>16.687912087912085</v>
      </c>
      <c r="BD31" s="12">
        <f>IF('Données projet'!$A$88&gt;35,BD30+BC31-BL30,IF(A31&lt;'Données projet'!$A$88,$BA$205^A31,IF(A31='Données projet'!$A$88,'Données projet'!$B$88,BD30+BC31-BL30)))</f>
        <v>235.7076923076923</v>
      </c>
      <c r="BE31" s="13">
        <f>BD31*VLOOKUP('Données projet'!$B$11,Paramètres!$A$1:$I$89,3,0)*VLOOKUP('Données projet'!$B$11,Paramètres!$A$1:$I$89,5,0)</f>
        <v>131.76059999999998</v>
      </c>
      <c r="BF31" s="13">
        <f t="shared" si="37"/>
        <v>34.402863243711892</v>
      </c>
      <c r="BG31" s="20">
        <f t="shared" si="7"/>
        <v>289.40136514946488</v>
      </c>
      <c r="BH31" s="59">
        <f t="shared" si="8"/>
        <v>582.73469848279819</v>
      </c>
      <c r="BI31" s="59">
        <f ca="1">AVERAGE(OFFSET($BH$3,0,0,'Données projet'!$E$11+1,1))-AVERAGE(OFFSET($H$3,0,0,'Données projet'!$E$11+1,1))</f>
        <v>224.7049802939942</v>
      </c>
      <c r="BJ31" s="59">
        <f t="shared" si="38"/>
        <v>203.48513862195352</v>
      </c>
      <c r="BK31" s="15">
        <f>IF(ISNA(VLOOKUP(A31,'Données projet'!$A$87:$I$107,3,0)),0,VLOOKUP(A31,'Données projet'!$A$87:$I$107,3,0))</f>
        <v>2</v>
      </c>
      <c r="BL31" s="15">
        <f>IF(ISNA(VLOOKUP(A31,'Données projet'!$A$87:$I$107,4,0)),0,VLOOKUP(A31,'Données projet'!$A$87:$I$107,4,0))</f>
        <v>56.91538461538461</v>
      </c>
      <c r="BM31" s="16">
        <f>IF(ISNA(VLOOKUP(A31,'Données projet'!$A$87:$I$107,5,0)),0%,VLOOKUP(A31,'Données projet'!$A$87:$I$107,5,0)*VLOOKUP('Données projet'!$B$11,Paramètres!$A$1:$I$89,7,0))</f>
        <v>5.5000000000000007E-2</v>
      </c>
      <c r="BN31" s="16">
        <f>IF(ISNA(VLOOKUP(A31,'Données projet'!$A$87:$I$107,6,0)),0%,VLOOKUP(A31,'Données projet'!$A$87:$I$107,6,0)*VLOOKUP('Données projet'!$B$11,Paramètres!$A$1:$I$89,7,0))</f>
        <v>0.24750000000000003</v>
      </c>
      <c r="BO31" s="16">
        <f>IF(ISNA(VLOOKUP(A31,'Données projet'!$A$87:$I$107,7,0)),0%,VLOOKUP(A31,'Données projet'!$A$87:$I$107,7,0))</f>
        <v>0.45</v>
      </c>
      <c r="BP31" s="21">
        <f>EXP(-LN(2)/35)*BP30+(1-EXP(-LN(2)/35))/(LN(2)/35)*BL31*BM31*VLOOKUP('Données projet'!$B$11,Paramètres!$A$1:$I$89,3,0)*0.475*44/12</f>
        <v>2.3213067209710281</v>
      </c>
      <c r="BQ31" s="21">
        <f>EXP(-LN(2)/25)*BQ30+(1-EXP(-LN(2)/25))/(LN(2)/25)*Calculateur!BL31*Calculateur!BN31*VLOOKUP('Données projet'!$B$11,Paramètres!$A$1:$I$89,3,0)*0.475*44/12</f>
        <v>20.637777840385311</v>
      </c>
      <c r="BR31" s="21">
        <f>EXP(-LN(2)/2)*BR30+(1-EXP(-LN(2)/2))/(LN(2)/2)*BL31*BO31*VLOOKUP('Données projet'!$B$11,Paramètres!$A$1:$I$89,3,0)*0.475*44/12</f>
        <v>17.921225182176006</v>
      </c>
      <c r="BS31" s="22">
        <f t="shared" si="9"/>
        <v>40.880309743532344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11.249572649572649</v>
      </c>
      <c r="BY31" s="12">
        <f>IF('Données projet'!$A$114&gt;35,BY30+BX31-CG30,IF(A31&lt;'Données projet'!$A$114,$BV$205^A31,IF(A31='Données projet'!$A$114,'Données projet'!$B$114,BY30+BX31-CG30)))</f>
        <v>173.41025641025644</v>
      </c>
      <c r="BZ31" s="13">
        <f>BY31*VLOOKUP('Données projet'!$B$12,Paramètres!$A$1:$I$89,3,0)*VLOOKUP('Données projet'!$B$12,Paramètres!$A$1:$I$89,5,0)</f>
        <v>96.936333333333351</v>
      </c>
      <c r="CA31" s="13">
        <f t="shared" si="39"/>
        <v>26.230804720560005</v>
      </c>
      <c r="CB31" s="20">
        <f t="shared" si="10"/>
        <v>214.51609877719758</v>
      </c>
      <c r="CC31" s="59">
        <f t="shared" si="11"/>
        <v>507.84943211053087</v>
      </c>
      <c r="CD31" s="59">
        <f ca="1">AVERAGE(OFFSET($CC$3,0,0,'Données projet'!$E$12+1,1))-AVERAGE(OFFSET($H$3,0,0,'Données projet'!$E$12+1,1))</f>
        <v>190.08613104982993</v>
      </c>
      <c r="CE31" s="59">
        <f t="shared" si="40"/>
        <v>180.55054525447781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13.3</v>
      </c>
      <c r="CT31" s="12">
        <f>IF('Données projet'!$A$140&gt;35,CT30+CS31-DB30,IF(A31&lt;'Données projet'!$A$140,$CQ$205^A31,IF(A31='Données projet'!$A$140,'Données projet'!$B$140,CT30+CS31-DB30)))</f>
        <v>173.40000000000003</v>
      </c>
      <c r="CU31" s="17">
        <f>CT31*VLOOKUP('Données projet'!$B$13,Paramètres!$A$1:$I$89,3,0)*VLOOKUP('Données projet'!$B$13,Paramètres!$A$1:$I$89,5,0)</f>
        <v>103.69320000000003</v>
      </c>
      <c r="CV31" s="13">
        <f t="shared" si="41"/>
        <v>27.83998582032487</v>
      </c>
      <c r="CW31" s="20">
        <f t="shared" si="13"/>
        <v>229.08696530373251</v>
      </c>
      <c r="CX31" s="59">
        <f t="shared" si="14"/>
        <v>522.4202986370658</v>
      </c>
      <c r="CY31" s="59">
        <f ca="1">AVERAGE(OFFSET($CX$3,0,0,'Données projet'!$E$13+1,1))-AVERAGE(OFFSET($H$3,0,0,'Données projet'!$E$13+1,1))</f>
        <v>270.30888762640245</v>
      </c>
      <c r="CZ31" s="59">
        <f t="shared" si="42"/>
        <v>202.23783851977691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2.8483876719793551</v>
      </c>
      <c r="DH31" s="21">
        <f>EXP(-LN(2)/2)*DH30+(1-EXP(-LN(2)/2))/(LN(2)/2)*DB31*DE31*VLOOKUP('Données projet'!$B$13,Paramètres!$A$1:$I$89,3,0)*0.475*44/12</f>
        <v>0.42317182120051677</v>
      </c>
      <c r="DI31" s="22">
        <f t="shared" si="15"/>
        <v>3.2715594931798719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11.3</v>
      </c>
      <c r="DO31" s="12">
        <f>IF('Données projet'!$A$166&gt;35,DO30+DN31-DW30,IF(A31&lt;'Données projet'!$A$166,$DL$205^A31,IF(A31='Données projet'!$A$166,'Données projet'!$B$166,DO30+DN31-DW30)))</f>
        <v>159.4</v>
      </c>
      <c r="DP31" s="17">
        <f>DO31*VLOOKUP('Données projet'!$B$14,Paramètres!$A$1:$I$89,3,0)*VLOOKUP('Données projet'!$B$14,Paramètres!$A$1:$I$89,5,0)</f>
        <v>95.321200000000019</v>
      </c>
      <c r="DQ31" s="13">
        <f t="shared" si="43"/>
        <v>25.844248484496504</v>
      </c>
      <c r="DR31" s="20">
        <f t="shared" si="16"/>
        <v>211.02982277716478</v>
      </c>
      <c r="DS31" s="59">
        <f t="shared" si="17"/>
        <v>504.3631561104981</v>
      </c>
      <c r="DT31" s="59">
        <f ca="1">AVERAGE(OFFSET($DS$3,0,0,'Données projet'!$E$14+1,1))-AVERAGE(OFFSET($H$3,0,0,'Données projet'!$E$14+1,1))</f>
        <v>221.14988592347311</v>
      </c>
      <c r="DU31" s="59">
        <f t="shared" si="44"/>
        <v>179.09262081171607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14</v>
      </c>
      <c r="EJ31" s="12">
        <f>IF('Données projet'!$A$192&gt;35,EJ30+EI31-ER30,IF(A31&lt;'Données projet'!$A$192,$EG$205^A31,IF(A31='Données projet'!$A$192,'Données projet'!$B$192,EJ30+EI31-ER30)))</f>
        <v>192.00000000000003</v>
      </c>
      <c r="EK31" s="17">
        <f>EJ31*VLOOKUP('Données projet'!$B$15,Paramètres!$A$1:$I$89,3,0)*VLOOKUP('Données projet'!$B$15,Paramètres!$A$1:$I$89,5,0)</f>
        <v>104.83200000000002</v>
      </c>
      <c r="EL31" s="13">
        <f t="shared" si="45"/>
        <v>28.109974371137717</v>
      </c>
      <c r="EM31" s="20">
        <f t="shared" si="19"/>
        <v>231.54060536306488</v>
      </c>
      <c r="EN31" s="59">
        <f t="shared" si="20"/>
        <v>524.87393869639823</v>
      </c>
      <c r="EO31" s="59">
        <f ca="1">AVERAGE(OFFSET($EN$3,0,0,'Données projet'!$E$15+1,1))-AVERAGE(OFFSET($H$3,0,0,'Données projet'!$E$15+1,1))</f>
        <v>168.72306536277267</v>
      </c>
      <c r="EP31" s="59">
        <f t="shared" si="46"/>
        <v>203.35476578922339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9.882666792345761</v>
      </c>
      <c r="EX31" s="21">
        <f>EXP(-LN(2)/2)*EX30+(1-EXP(-LN(2)/2))/(LN(2)/2)*ER31*EU31*VLOOKUP('Données projet'!$B$15,Paramètres!$A$1:$I$89,3,0)*0.475*44/12</f>
        <v>1.1011666738630836</v>
      </c>
      <c r="EY31" s="22">
        <f t="shared" si="21"/>
        <v>10.983833466208845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11.7</v>
      </c>
      <c r="FE31" s="12">
        <f>IF('Données projet'!$A$218&gt;35,FE30+FD31-FM30,IF(A31&lt;'Données projet'!$A$218,$FB$205^A31,IF(A31='Données projet'!$A$218,'Données projet'!$B$218,FE30+FD31-FM30)))</f>
        <v>157.6</v>
      </c>
      <c r="FF31" s="17">
        <f>FE31*VLOOKUP('Données projet'!$B$16,Paramètres!$A$1:$I$89,3,0)*VLOOKUP('Données projet'!$B$16,Paramètres!$A$1:$I$89,5,0)</f>
        <v>86.049599999999998</v>
      </c>
      <c r="FG31" s="13">
        <f t="shared" si="47"/>
        <v>23.610009069401034</v>
      </c>
      <c r="FH31" s="20">
        <f t="shared" si="22"/>
        <v>190.99048579587341</v>
      </c>
      <c r="FI31" s="59">
        <f t="shared" si="23"/>
        <v>484.32381912920675</v>
      </c>
      <c r="FJ31" s="59">
        <f ca="1">AVERAGE(OFFSET($FI$3,0,0,'Données projet'!$E$16+1,1))-AVERAGE(OFFSET($H$3,0,0,'Données projet'!$E$16+1,1))</f>
        <v>127.76128532861486</v>
      </c>
      <c r="FK31" s="59">
        <f t="shared" si="48"/>
        <v>157.52303491639736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5.7215439324107029</v>
      </c>
      <c r="FS31" s="21">
        <f>EXP(-LN(2)/2)*FS30+(1-EXP(-LN(2)/2))/(LN(2)/2)*FM31*FP31*VLOOKUP('Données projet'!$B$16,Paramètres!$A$1:$I$89,3,0)*0.475*44/12</f>
        <v>0.63751754802599614</v>
      </c>
      <c r="FT31" s="22">
        <f t="shared" si="24"/>
        <v>6.3590614804366989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2.9235042735042733</v>
      </c>
      <c r="N32" s="13">
        <f>IF('Données projet'!$A$36&gt;35,N31+M32-V31,IF(A32&lt;'Données projet'!$A$36,$K$205^A32,IF(A32='Données projet'!$A$36,'Données projet'!$B$36,N31+M32-V31)))</f>
        <v>75.55400457975604</v>
      </c>
      <c r="O32" s="13">
        <f>N32*VLOOKUP('Données projet'!$B$9,Paramètres!$A$1:$I$89,3,0)*VLOOKUP('Données projet'!$B$9,Paramètres!$A$1:$I$89,5,0)</f>
        <v>68.36126334376327</v>
      </c>
      <c r="P32" s="13">
        <f t="shared" si="33"/>
        <v>19.265942137503561</v>
      </c>
      <c r="Q32" s="20">
        <f t="shared" si="2"/>
        <v>152.61738287987308</v>
      </c>
      <c r="R32" s="59">
        <f t="shared" si="0"/>
        <v>445.95071621320642</v>
      </c>
      <c r="S32" s="59">
        <f ca="1">AVERAGE(OFFSET($R$3,0,0,'Données projet'!$E$9+1,1))-AVERAGE(OFFSET($H$3,0,0,'Données projet'!$E$9+1,1))</f>
        <v>153.45079678708987</v>
      </c>
      <c r="T32" s="59">
        <f t="shared" si="34"/>
        <v>115.4217868409637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1.8914529914529912</v>
      </c>
      <c r="AI32" s="13">
        <f>IF('Données projet'!$A$62&gt;35,AI31+AH32-AQ31,IF(A32&lt;'Données projet'!$A$62,$AF$205^A32,IF(A32='Données projet'!$A$62,'Données projet'!$B$62,AI31+AH32-AQ31)))</f>
        <v>49.596715120279256</v>
      </c>
      <c r="AJ32" s="13">
        <f>AI32*VLOOKUP('Données projet'!$B$10,Paramètres!$A$1:$I$89,3,0)*VLOOKUP('Données projet'!$B$10,Paramètres!$A$1:$I$89,5,0)</f>
        <v>44.875107840828669</v>
      </c>
      <c r="AK32" s="13">
        <f t="shared" si="35"/>
        <v>13.282019983206652</v>
      </c>
      <c r="AL32" s="20">
        <f t="shared" si="4"/>
        <v>101.29033096019485</v>
      </c>
      <c r="AM32" s="59">
        <f t="shared" si="5"/>
        <v>394.62366429352818</v>
      </c>
      <c r="AN32" s="59">
        <f ca="1">AVERAGE(OFFSET($AM$3,0,0,'Données projet'!$E$10+1,1))-AVERAGE(OFFSET($H$3,0,0,'Données projet'!$E$10+1,1))</f>
        <v>123.92486590666675</v>
      </c>
      <c r="AO32" s="59">
        <f t="shared" si="36"/>
        <v>54.404493017418986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18.099999999999998</v>
      </c>
      <c r="BD32" s="12">
        <f>IF('Données projet'!$A$88&gt;35,BD31+BC32-BL31,IF(A32&lt;'Données projet'!$A$88,$BA$205^A32,IF(A32='Données projet'!$A$88,'Données projet'!$B$88,BD31+BC32-BL31)))</f>
        <v>196.89230769230767</v>
      </c>
      <c r="BE32" s="13">
        <f>BD32*VLOOKUP('Données projet'!$B$11,Paramètres!$A$1:$I$89,3,0)*VLOOKUP('Données projet'!$B$11,Paramètres!$A$1:$I$89,5,0)</f>
        <v>110.0628</v>
      </c>
      <c r="BF32" s="13">
        <f t="shared" si="37"/>
        <v>29.345780250854382</v>
      </c>
      <c r="BG32" s="20">
        <f t="shared" si="7"/>
        <v>242.80327727023806</v>
      </c>
      <c r="BH32" s="59">
        <f t="shared" si="8"/>
        <v>536.1366106035714</v>
      </c>
      <c r="BI32" s="59">
        <f ca="1">AVERAGE(OFFSET($BH$3,0,0,'Données projet'!$E$11+1,1))-AVERAGE(OFFSET($H$3,0,0,'Données projet'!$E$11+1,1))</f>
        <v>224.7049802939942</v>
      </c>
      <c r="BJ32" s="59">
        <f t="shared" si="38"/>
        <v>203.48513862195352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2.2757873120300816</v>
      </c>
      <c r="BQ32" s="21">
        <f>EXP(-LN(2)/25)*BQ31+(1-EXP(-LN(2)/25))/(LN(2)/25)*Calculateur!BL32*Calculateur!BN32*VLOOKUP('Données projet'!$B$11,Paramètres!$A$1:$I$89,3,0)*0.475*44/12</f>
        <v>20.073436720046406</v>
      </c>
      <c r="BR32" s="21">
        <f>EXP(-LN(2)/2)*BR31+(1-EXP(-LN(2)/2))/(LN(2)/2)*BL32*BO32*VLOOKUP('Données projet'!$B$11,Paramètres!$A$1:$I$89,3,0)*0.475*44/12</f>
        <v>12.672219853487775</v>
      </c>
      <c r="BS32" s="22">
        <f t="shared" si="9"/>
        <v>35.021443885564267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11.249572649572649</v>
      </c>
      <c r="BY32" s="12">
        <f>IF('Données projet'!$A$114&gt;35,BY31+BX32-CG31,IF(A32&lt;'Données projet'!$A$114,$BV$205^A32,IF(A32='Données projet'!$A$114,'Données projet'!$B$114,BY31+BX32-CG31)))</f>
        <v>184.65982905982909</v>
      </c>
      <c r="BZ32" s="13">
        <f>BY32*VLOOKUP('Données projet'!$B$12,Paramètres!$A$1:$I$89,3,0)*VLOOKUP('Données projet'!$B$12,Paramètres!$A$1:$I$89,5,0)</f>
        <v>103.22484444444446</v>
      </c>
      <c r="CA32" s="13">
        <f t="shared" si="39"/>
        <v>27.728847338954456</v>
      </c>
      <c r="CB32" s="20">
        <f t="shared" si="10"/>
        <v>228.07767985608643</v>
      </c>
      <c r="CC32" s="59">
        <f t="shared" si="11"/>
        <v>521.41101318941969</v>
      </c>
      <c r="CD32" s="59">
        <f ca="1">AVERAGE(OFFSET($CC$3,0,0,'Données projet'!$E$12+1,1))-AVERAGE(OFFSET($H$3,0,0,'Données projet'!$E$12+1,1))</f>
        <v>190.08613104982993</v>
      </c>
      <c r="CE32" s="59">
        <f t="shared" si="40"/>
        <v>180.55054525447781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13.3</v>
      </c>
      <c r="CT32" s="12">
        <f>IF('Données projet'!$A$140&gt;35,CT31+CS32-DB31,IF(A32&lt;'Données projet'!$A$140,$CQ$205^A32,IF(A32='Données projet'!$A$140,'Données projet'!$B$140,CT31+CS32-DB31)))</f>
        <v>186.70000000000005</v>
      </c>
      <c r="CU32" s="17">
        <f>CT32*VLOOKUP('Données projet'!$B$13,Paramètres!$A$1:$I$89,3,0)*VLOOKUP('Données projet'!$B$13,Paramètres!$A$1:$I$89,5,0)</f>
        <v>111.64660000000003</v>
      </c>
      <c r="CV32" s="13">
        <f t="shared" si="41"/>
        <v>29.718600259496139</v>
      </c>
      <c r="CW32" s="20">
        <f t="shared" si="13"/>
        <v>246.21105711862251</v>
      </c>
      <c r="CX32" s="59">
        <f t="shared" si="14"/>
        <v>539.54439045195579</v>
      </c>
      <c r="CY32" s="59">
        <f ca="1">AVERAGE(OFFSET($CX$3,0,0,'Données projet'!$E$13+1,1))-AVERAGE(OFFSET($H$3,0,0,'Données projet'!$E$13+1,1))</f>
        <v>270.30888762640245</v>
      </c>
      <c r="CZ32" s="59">
        <f t="shared" si="42"/>
        <v>202.23783851977691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2.7704983612988818</v>
      </c>
      <c r="DH32" s="21">
        <f>EXP(-LN(2)/2)*DH31+(1-EXP(-LN(2)/2))/(LN(2)/2)*DB32*DE32*VLOOKUP('Données projet'!$B$13,Paramètres!$A$1:$I$89,3,0)*0.475*44/12</f>
        <v>0.29922766437794662</v>
      </c>
      <c r="DI32" s="22">
        <f t="shared" si="15"/>
        <v>3.0697260256768284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11.3</v>
      </c>
      <c r="DO32" s="12">
        <f>IF('Données projet'!$A$166&gt;35,DO31+DN32-DW31,IF(A32&lt;'Données projet'!$A$166,$DL$205^A32,IF(A32='Données projet'!$A$166,'Données projet'!$B$166,DO31+DN32-DW31)))</f>
        <v>170.70000000000002</v>
      </c>
      <c r="DP32" s="17">
        <f>DO32*VLOOKUP('Données projet'!$B$14,Paramètres!$A$1:$I$89,3,0)*VLOOKUP('Données projet'!$B$14,Paramètres!$A$1:$I$89,5,0)</f>
        <v>102.07860000000001</v>
      </c>
      <c r="DQ32" s="13">
        <f t="shared" si="43"/>
        <v>27.456600855552132</v>
      </c>
      <c r="DR32" s="20">
        <f t="shared" si="16"/>
        <v>225.60714149008663</v>
      </c>
      <c r="DS32" s="59">
        <f t="shared" si="17"/>
        <v>518.94047482341989</v>
      </c>
      <c r="DT32" s="59">
        <f ca="1">AVERAGE(OFFSET($DS$3,0,0,'Données projet'!$E$14+1,1))-AVERAGE(OFFSET($H$3,0,0,'Données projet'!$E$14+1,1))</f>
        <v>221.14988592347311</v>
      </c>
      <c r="DU32" s="59">
        <f t="shared" si="44"/>
        <v>179.09262081171607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14</v>
      </c>
      <c r="EJ32" s="12">
        <f>IF('Données projet'!$A$192&gt;35,EJ31+EI32-ER31,IF(A32&lt;'Données projet'!$A$192,$EG$205^A32,IF(A32='Données projet'!$A$192,'Données projet'!$B$192,EJ31+EI32-ER31)))</f>
        <v>206.00000000000003</v>
      </c>
      <c r="EK32" s="17">
        <f>EJ32*VLOOKUP('Données projet'!$B$15,Paramètres!$A$1:$I$89,3,0)*VLOOKUP('Données projet'!$B$15,Paramètres!$A$1:$I$89,5,0)</f>
        <v>112.47600000000001</v>
      </c>
      <c r="EL32" s="13">
        <f t="shared" si="45"/>
        <v>29.913591585896704</v>
      </c>
      <c r="EM32" s="20">
        <f t="shared" si="19"/>
        <v>247.99520534543674</v>
      </c>
      <c r="EN32" s="59">
        <f t="shared" si="20"/>
        <v>541.32853867877009</v>
      </c>
      <c r="EO32" s="59">
        <f ca="1">AVERAGE(OFFSET($EN$3,0,0,'Données projet'!$E$15+1,1))-AVERAGE(OFFSET($H$3,0,0,'Données projet'!$E$15+1,1))</f>
        <v>168.72306536277267</v>
      </c>
      <c r="EP32" s="59">
        <f t="shared" si="46"/>
        <v>203.35476578922339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9.6124247492022068</v>
      </c>
      <c r="EX32" s="21">
        <f>EXP(-LN(2)/2)*EX31+(1-EXP(-LN(2)/2))/(LN(2)/2)*ER32*EU32*VLOOKUP('Données projet'!$B$15,Paramètres!$A$1:$I$89,3,0)*0.475*44/12</f>
        <v>0.77864242230522185</v>
      </c>
      <c r="EY32" s="22">
        <f t="shared" si="21"/>
        <v>10.391067171507428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11.7</v>
      </c>
      <c r="FE32" s="12">
        <f>IF('Données projet'!$A$218&gt;35,FE31+FD32-FM31,IF(A32&lt;'Données projet'!$A$218,$FB$205^A32,IF(A32='Données projet'!$A$218,'Données projet'!$B$218,FE31+FD32-FM31)))</f>
        <v>169.29999999999998</v>
      </c>
      <c r="FF32" s="17">
        <f>FE32*VLOOKUP('Données projet'!$B$16,Paramètres!$A$1:$I$89,3,0)*VLOOKUP('Données projet'!$B$16,Paramètres!$A$1:$I$89,5,0)</f>
        <v>92.437799999999996</v>
      </c>
      <c r="FG32" s="13">
        <f t="shared" si="47"/>
        <v>25.152246010301447</v>
      </c>
      <c r="FH32" s="20">
        <f t="shared" si="22"/>
        <v>204.8026634679417</v>
      </c>
      <c r="FI32" s="59">
        <f t="shared" si="23"/>
        <v>498.13599680127504</v>
      </c>
      <c r="FJ32" s="59">
        <f ca="1">AVERAGE(OFFSET($FI$3,0,0,'Données projet'!$E$16+1,1))-AVERAGE(OFFSET($H$3,0,0,'Données projet'!$E$16+1,1))</f>
        <v>127.76128532861486</v>
      </c>
      <c r="FK32" s="59">
        <f t="shared" si="48"/>
        <v>157.52303491639736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5.5650880126960134</v>
      </c>
      <c r="FS32" s="21">
        <f>EXP(-LN(2)/2)*FS31+(1-EXP(-LN(2)/2))/(LN(2)/2)*FM32*FP32*VLOOKUP('Données projet'!$B$16,Paramètres!$A$1:$I$89,3,0)*0.475*44/12</f>
        <v>0.45079298133460238</v>
      </c>
      <c r="FT32" s="22">
        <f t="shared" si="24"/>
        <v>6.0158809940306162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87.705128205128204</v>
      </c>
      <c r="L33" s="12">
        <f>VLOOKUP(A33,'Données projet'!$A$35:$I$55,9,0)</f>
        <v>2.9235042735042733</v>
      </c>
      <c r="M33" s="12">
        <f t="array" ref="M33">INDEX(L:L,MIN(IF(ISNUMBER(L33:L229),ROW(L33:L229),"")))</f>
        <v>2.9235042735042733</v>
      </c>
      <c r="N33" s="13">
        <f>IF('Données projet'!$A$36&gt;35,N32+M33-V32,IF(A33&lt;'Données projet'!$A$36,$K$205^A33,IF(A33='Données projet'!$A$36,'Données projet'!$B$36,N32+M33-V32)))</f>
        <v>87.705128205128204</v>
      </c>
      <c r="O33" s="13">
        <f>N33*VLOOKUP('Données projet'!$B$9,Paramètres!$A$1:$I$89,3,0)*VLOOKUP('Données projet'!$B$9,Paramètres!$A$1:$I$89,5,0)</f>
        <v>79.355599999999995</v>
      </c>
      <c r="P33" s="13">
        <f t="shared" si="33"/>
        <v>21.979550892373382</v>
      </c>
      <c r="Q33" s="20">
        <f t="shared" si="2"/>
        <v>176.49205447088363</v>
      </c>
      <c r="R33" s="59">
        <f t="shared" si="0"/>
        <v>469.82538780421692</v>
      </c>
      <c r="S33" s="59">
        <f ca="1">AVERAGE(OFFSET($R$3,0,0,'Données projet'!$E$9+1,1))-AVERAGE(OFFSET($H$3,0,0,'Données projet'!$E$9+1,1))</f>
        <v>153.45079678708987</v>
      </c>
      <c r="T33" s="59">
        <f t="shared" si="34"/>
        <v>115.4217868409637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56.743589743589737</v>
      </c>
      <c r="AG33" s="12">
        <f>VLOOKUP(A33,'Données projet'!$A$61:$I$81,9,0)</f>
        <v>1.8914529914529912</v>
      </c>
      <c r="AH33" s="12">
        <f t="array" ref="AH33">INDEX(AG:AG,MIN(IF(ISNUMBER(AG33:AG229),ROW(AG33:AG229),"")))</f>
        <v>1.8914529914529912</v>
      </c>
      <c r="AI33" s="13">
        <f>IF('Données projet'!$A$62&gt;35,AI32+AH33-AQ32,IF(A33&lt;'Données projet'!$A$62,$AF$205^A33,IF(A33='Données projet'!$A$62,'Données projet'!$B$62,AI32+AH33-AQ32)))</f>
        <v>56.743589743589737</v>
      </c>
      <c r="AJ33" s="13">
        <f>AI33*VLOOKUP('Données projet'!$B$10,Paramètres!$A$1:$I$89,3,0)*VLOOKUP('Données projet'!$B$10,Paramètres!$A$1:$I$89,5,0)</f>
        <v>51.341599999999993</v>
      </c>
      <c r="AK33" s="13">
        <f t="shared" si="35"/>
        <v>14.959697979333351</v>
      </c>
      <c r="AL33" s="20">
        <f t="shared" si="4"/>
        <v>115.4747606473389</v>
      </c>
      <c r="AM33" s="59">
        <f t="shared" si="5"/>
        <v>408.8080939806722</v>
      </c>
      <c r="AN33" s="59">
        <f ca="1">AVERAGE(OFFSET($AM$3,0,0,'Données projet'!$E$10+1,1))-AVERAGE(OFFSET($H$3,0,0,'Données projet'!$E$10+1,1))</f>
        <v>123.92486590666675</v>
      </c>
      <c r="AO33" s="59">
        <f t="shared" si="36"/>
        <v>54.404493017418986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18.099999999999998</v>
      </c>
      <c r="BD33" s="12">
        <f>IF('Données projet'!$A$88&gt;35,BD32+BC33-BL32,IF(A33&lt;'Données projet'!$A$88,$BA$205^A33,IF(A33='Données projet'!$A$88,'Données projet'!$B$88,BD32+BC33-BL32)))</f>
        <v>214.99230769230766</v>
      </c>
      <c r="BE33" s="13">
        <f>BD33*VLOOKUP('Données projet'!$B$11,Paramètres!$A$1:$I$89,3,0)*VLOOKUP('Données projet'!$B$11,Paramètres!$A$1:$I$89,5,0)</f>
        <v>120.18069999999997</v>
      </c>
      <c r="BF33" s="13">
        <f t="shared" si="37"/>
        <v>31.717140910166616</v>
      </c>
      <c r="BG33" s="20">
        <f t="shared" si="7"/>
        <v>264.55540625187342</v>
      </c>
      <c r="BH33" s="59">
        <f t="shared" si="8"/>
        <v>557.88873958520674</v>
      </c>
      <c r="BI33" s="59">
        <f ca="1">AVERAGE(OFFSET($BH$3,0,0,'Données projet'!$E$11+1,1))-AVERAGE(OFFSET($H$3,0,0,'Données projet'!$E$11+1,1))</f>
        <v>224.7049802939942</v>
      </c>
      <c r="BJ33" s="59">
        <f t="shared" si="38"/>
        <v>203.48513862195352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2.2311605109343691</v>
      </c>
      <c r="BQ33" s="21">
        <f>EXP(-LN(2)/25)*BQ32+(1-EXP(-LN(2)/25))/(LN(2)/25)*Calculateur!BL33*Calculateur!BN33*VLOOKUP('Données projet'!$B$11,Paramètres!$A$1:$I$89,3,0)*0.475*44/12</f>
        <v>19.524527537320576</v>
      </c>
      <c r="BR33" s="21">
        <f>EXP(-LN(2)/2)*BR32+(1-EXP(-LN(2)/2))/(LN(2)/2)*BL33*BO33*VLOOKUP('Données projet'!$B$11,Paramètres!$A$1:$I$89,3,0)*0.475*44/12</f>
        <v>8.9606125910880046</v>
      </c>
      <c r="BS33" s="22">
        <f t="shared" si="9"/>
        <v>30.716300639342951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11.249572649572649</v>
      </c>
      <c r="BY33" s="12">
        <f>IF('Données projet'!$A$114&gt;35,BY32+BX33-CG32,IF(A33&lt;'Données projet'!$A$114,$BV$205^A33,IF(A33='Données projet'!$A$114,'Données projet'!$B$114,BY32+BX33-CG32)))</f>
        <v>195.90940170940175</v>
      </c>
      <c r="BZ33" s="13">
        <f>BY33*VLOOKUP('Données projet'!$B$12,Paramètres!$A$1:$I$89,3,0)*VLOOKUP('Données projet'!$B$12,Paramètres!$A$1:$I$89,5,0)</f>
        <v>109.51335555555558</v>
      </c>
      <c r="CA33" s="13">
        <f t="shared" si="39"/>
        <v>29.216297775199106</v>
      </c>
      <c r="CB33" s="20">
        <f t="shared" si="10"/>
        <v>241.62081288439774</v>
      </c>
      <c r="CC33" s="59">
        <f t="shared" si="11"/>
        <v>534.95414621773102</v>
      </c>
      <c r="CD33" s="59">
        <f ca="1">AVERAGE(OFFSET($CC$3,0,0,'Données projet'!$E$12+1,1))-AVERAGE(OFFSET($H$3,0,0,'Données projet'!$E$12+1,1))</f>
        <v>190.08613104982993</v>
      </c>
      <c r="CE33" s="59">
        <f t="shared" si="40"/>
        <v>180.55054525447781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200</v>
      </c>
      <c r="CR33" s="12">
        <f>VLOOKUP(A33,'Données projet'!$A$139:$I$159,9,0)</f>
        <v>13.3</v>
      </c>
      <c r="CS33" s="12">
        <f t="array" ref="CS33">INDEX(CR:CR,MIN(IF(ISNUMBER(CR33:CR229),ROW(CR33:CR229),"")))</f>
        <v>13.3</v>
      </c>
      <c r="CT33" s="12">
        <f>IF('Données projet'!$A$140&gt;35,CT32+CS33-DB32,IF(A33&lt;'Données projet'!$A$140,$CQ$205^A33,IF(A33='Données projet'!$A$140,'Données projet'!$B$140,CT32+CS33-DB32)))</f>
        <v>200.00000000000006</v>
      </c>
      <c r="CU33" s="17">
        <f>CT33*VLOOKUP('Données projet'!$B$13,Paramètres!$A$1:$I$89,3,0)*VLOOKUP('Données projet'!$B$13,Paramètres!$A$1:$I$89,5,0)</f>
        <v>119.60000000000004</v>
      </c>
      <c r="CV33" s="13">
        <f t="shared" si="41"/>
        <v>31.581687741452708</v>
      </c>
      <c r="CW33" s="20">
        <f t="shared" si="13"/>
        <v>263.30810614969687</v>
      </c>
      <c r="CX33" s="59">
        <f t="shared" si="14"/>
        <v>556.64143948303013</v>
      </c>
      <c r="CY33" s="59">
        <f ca="1">AVERAGE(OFFSET($CX$3,0,0,'Données projet'!$E$13+1,1))-AVERAGE(OFFSET($H$3,0,0,'Données projet'!$E$13+1,1))</f>
        <v>270.30888762640245</v>
      </c>
      <c r="CZ33" s="59">
        <f t="shared" si="42"/>
        <v>202.23783851977691</v>
      </c>
      <c r="DA33" s="15">
        <f>IF(ISNA(VLOOKUP(A33,'Données projet'!$A$139:$I$159,3,0)),0,VLOOKUP(A33,'Données projet'!$A$139:$I$159,3,0))</f>
        <v>2</v>
      </c>
      <c r="DB33" s="15">
        <f>IF(ISNA(VLOOKUP(A33,'Données projet'!$A$139:$I$159,4,0)),0,VLOOKUP(A33,'Données projet'!$A$139:$I$159,4,0))</f>
        <v>60</v>
      </c>
      <c r="DC33" s="16">
        <f>IF(ISNA(VLOOKUP(A33,'Données projet'!$A$139:$I$159,5,0)),0%,VLOOKUP(A33,'Données projet'!$A$139:$I$159,5,0)*VLOOKUP('Données projet'!$B$13,Paramètres!$A$1:$I$89,7,0))</f>
        <v>4.5000000000000005E-2</v>
      </c>
      <c r="DD33" s="16">
        <f>IF(ISNA(VLOOKUP(A33,'Données projet'!$A$139:$I$159,6,0)),0%,VLOOKUP(A33,'Données projet'!$A$139:$I$159,6,0)*VLOOKUP('Données projet'!$B$13,Paramètres!$A$1:$I$89,7,0))</f>
        <v>0.20250000000000001</v>
      </c>
      <c r="DE33" s="16">
        <f>IF(ISNA(VLOOKUP(A33,'Données projet'!$A$139:$I$159,7,0)),0%,VLOOKUP(A33,'Données projet'!$A$139:$I$159,7,0))</f>
        <v>0.45</v>
      </c>
      <c r="DF33" s="21">
        <f>EXP(-LN(2)/35)*DF32+(1-EXP(-LN(2)/35))/(LN(2)/35)*DB33*DC33*VLOOKUP('Données projet'!$B$13,Paramètres!$A$1:$I$89,3,0)*0.475*44/12</f>
        <v>2.1418709697526821</v>
      </c>
      <c r="DG33" s="21">
        <f>EXP(-LN(2)/25)*DG32+(1-EXP(-LN(2)/25))/(LN(2)/25)*Calculateur!DB33*Calculateur!DD33*VLOOKUP('Données projet'!$B$13,Paramètres!$A$1:$I$89,3,0)*0.475*44/12</f>
        <v>12.295208172240732</v>
      </c>
      <c r="DH33" s="21">
        <f>EXP(-LN(2)/2)*DH32+(1-EXP(-LN(2)/2))/(LN(2)/2)*DB33*DE33*VLOOKUP('Données projet'!$B$13,Paramètres!$A$1:$I$89,3,0)*0.475*44/12</f>
        <v>18.49260858646258</v>
      </c>
      <c r="DI33" s="22">
        <f t="shared" si="15"/>
        <v>32.929687728455995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>
        <f>VLOOKUP(A33,'Données projet'!$A$165:$I$185,2,0)</f>
        <v>182</v>
      </c>
      <c r="DM33" s="12">
        <f>VLOOKUP(A33,'Données projet'!$A$165:$I$185,9,0)</f>
        <v>11.3</v>
      </c>
      <c r="DN33" s="12">
        <f t="array" ref="DN33">INDEX(DM:DM,MIN(IF(ISNUMBER(DM33:DM229),ROW(DM33:DM229),"")))</f>
        <v>11.3</v>
      </c>
      <c r="DO33" s="12">
        <f>IF('Données projet'!$A$166&gt;35,DO32+DN33-DW32,IF(A33&lt;'Données projet'!$A$166,$DL$205^A33,IF(A33='Données projet'!$A$166,'Données projet'!$B$166,DO32+DN33-DW32)))</f>
        <v>182.00000000000003</v>
      </c>
      <c r="DP33" s="17">
        <f>DO33*VLOOKUP('Données projet'!$B$14,Paramètres!$A$1:$I$89,3,0)*VLOOKUP('Données projet'!$B$14,Paramètres!$A$1:$I$89,5,0)</f>
        <v>108.83600000000003</v>
      </c>
      <c r="DQ33" s="13">
        <f t="shared" si="43"/>
        <v>29.056567526298178</v>
      </c>
      <c r="DR33" s="20">
        <f t="shared" si="16"/>
        <v>240.162888441636</v>
      </c>
      <c r="DS33" s="59">
        <f t="shared" si="17"/>
        <v>533.49622177496929</v>
      </c>
      <c r="DT33" s="59">
        <f ca="1">AVERAGE(OFFSET($DS$3,0,0,'Données projet'!$E$14+1,1))-AVERAGE(OFFSET($H$3,0,0,'Données projet'!$E$14+1,1))</f>
        <v>221.14988592347311</v>
      </c>
      <c r="DU33" s="59">
        <f t="shared" si="44"/>
        <v>179.09262081171607</v>
      </c>
      <c r="DV33" s="15">
        <f>IF(ISNA(VLOOKUP(A33,'Données projet'!$A$165:$I$185,3,0)),0,VLOOKUP(A33,'Données projet'!$A$165:$I$185,3,0))</f>
        <v>1</v>
      </c>
      <c r="DW33" s="15">
        <f>IF(ISNA(VLOOKUP(A33,'Données projet'!$A$165:$I$185,4,0)),0,VLOOKUP(A33,'Données projet'!$A$165:$I$185,4,0))</f>
        <v>64</v>
      </c>
      <c r="DX33" s="16">
        <f>IF(ISNA(VLOOKUP(A33,'Données projet'!$A$165:$I$185,5,0)),0%,VLOOKUP(A33,'Données projet'!$A$165:$I$185,5,0)*VLOOKUP('Données projet'!$B$14,Paramètres!$A$1:$I$89,7,0))</f>
        <v>4.5000000000000005E-2</v>
      </c>
      <c r="DY33" s="16">
        <f>IF(ISNA(VLOOKUP(A33,'Données projet'!$A$165:$I$185,6,0)),0%,VLOOKUP(A33,'Données projet'!$A$165:$I$185,6,0)*VLOOKUP('Données projet'!$B$14,Paramètres!$A$1:$I$89,7,0))</f>
        <v>0.20250000000000001</v>
      </c>
      <c r="DZ33" s="16">
        <f>IF(ISNA(VLOOKUP(A33,'Données projet'!$A$165:$I$185,7,0)),0%,VLOOKUP(A33,'Données projet'!$A$165:$I$185,7,0))</f>
        <v>0.45</v>
      </c>
      <c r="EA33" s="21">
        <f>EXP(-LN(2)/35)*EA32+(1-EXP(-LN(2)/35))/(LN(2)/35)*DW33*DX33*VLOOKUP('Données projet'!$B$14,Paramètres!$A$1:$I$89,3,0)*0.475*44/12</f>
        <v>2.2846623677361939</v>
      </c>
      <c r="EB33" s="21">
        <f>EXP(-LN(2)/25)*EB32+(1-EXP(-LN(2)/25))/(LN(2)/25)*Calculateur!DW33*Calculateur!DY33*VLOOKUP('Données projet'!$B$14,Paramètres!$A$1:$I$89,3,0)*0.475*44/12</f>
        <v>10.24050051661413</v>
      </c>
      <c r="EC33" s="21">
        <f>EXP(-LN(2)/2)*EC32+(1-EXP(-LN(2)/2))/(LN(2)/2)*DW33*DZ33*VLOOKUP('Données projet'!$B$14,Paramètres!$A$1:$I$89,3,0)*0.475*44/12</f>
        <v>19.499757520919804</v>
      </c>
      <c r="ED33" s="22">
        <f t="shared" si="18"/>
        <v>32.02492040527013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>
        <f>VLOOKUP(A33,'Données projet'!$A$191:$I$211,2,0)</f>
        <v>220</v>
      </c>
      <c r="EH33" s="12">
        <f>VLOOKUP(A33,'Données projet'!$A$191:$I$211,9,0)</f>
        <v>14</v>
      </c>
      <c r="EI33" s="12">
        <f t="array" ref="EI33">INDEX(EH:EH,MIN(IF(ISNUMBER(EH33:EH229),ROW(EH33:EH229),"")))</f>
        <v>14</v>
      </c>
      <c r="EJ33" s="12">
        <f>IF('Données projet'!$A$192&gt;35,EJ32+EI33-ER32,IF(A33&lt;'Données projet'!$A$192,$EG$205^A33,IF(A33='Données projet'!$A$192,'Données projet'!$B$192,EJ32+EI33-ER32)))</f>
        <v>220.00000000000003</v>
      </c>
      <c r="EK33" s="17">
        <f>EJ33*VLOOKUP('Données projet'!$B$15,Paramètres!$A$1:$I$89,3,0)*VLOOKUP('Données projet'!$B$15,Paramètres!$A$1:$I$89,5,0)</f>
        <v>120.12</v>
      </c>
      <c r="EL33" s="13">
        <f t="shared" si="45"/>
        <v>31.702985695201871</v>
      </c>
      <c r="EM33" s="20">
        <f t="shared" si="19"/>
        <v>264.42503341914329</v>
      </c>
      <c r="EN33" s="59">
        <f t="shared" si="20"/>
        <v>557.7583667524766</v>
      </c>
      <c r="EO33" s="59">
        <f ca="1">AVERAGE(OFFSET($EN$3,0,0,'Données projet'!$E$15+1,1))-AVERAGE(OFFSET($H$3,0,0,'Données projet'!$E$15+1,1))</f>
        <v>168.72306536277267</v>
      </c>
      <c r="EP33" s="59">
        <f t="shared" si="46"/>
        <v>203.35476578922339</v>
      </c>
      <c r="EQ33" s="15">
        <f>IF(ISNA(VLOOKUP(A33,'Données projet'!$A$191:$I$211,3,0)),0,VLOOKUP(A33,'Données projet'!$A$191:$I$211,3,0))</f>
        <v>2</v>
      </c>
      <c r="ER33" s="15">
        <f>IF(ISNA(VLOOKUP(A33,'Données projet'!$A$191:$I$211,4,0)),0,VLOOKUP(A33,'Données projet'!$A$191:$I$211,4,0))</f>
        <v>70</v>
      </c>
      <c r="ES33" s="16">
        <f>IF(ISNA(VLOOKUP(A33,'Données projet'!$A$191:$I$211,5,0)),0%,VLOOKUP(A33,'Données projet'!$A$191:$I$211,5,0)*VLOOKUP('Données projet'!$B$15,Paramètres!$A$1:$I$89,7,0))</f>
        <v>0.06</v>
      </c>
      <c r="ET33" s="16">
        <f>IF(ISNA(VLOOKUP(A33,'Données projet'!$A$191:$I$211,6,0)),0%,VLOOKUP(A33,'Données projet'!$A$191:$I$211,6,0)*VLOOKUP('Données projet'!$B$15,Paramètres!$A$1:$I$89,7,0))</f>
        <v>0.27</v>
      </c>
      <c r="EU33" s="16">
        <f>IF(ISNA(VLOOKUP(A33,'Données projet'!$A$191:$I$211,7,0)),0%,VLOOKUP(A33,'Données projet'!$A$191:$I$211,7,0))</f>
        <v>0.45</v>
      </c>
      <c r="EV33" s="21">
        <f>EXP(-LN(2)/35)*EV32+(1-EXP(-LN(2)/35))/(LN(2)/35)*ER33*ES33*VLOOKUP('Données projet'!$B$15,Paramètres!$A$1:$I$89,3,0)*0.475*44/12</f>
        <v>3.0420776092139534</v>
      </c>
      <c r="EW33" s="21">
        <f>EXP(-LN(2)/25)*EW32+(1-EXP(-LN(2)/25))/(LN(2)/25)*Calculateur!ER33*Calculateur!ET33*VLOOKUP('Données projet'!$B$15,Paramètres!$A$1:$I$89,3,0)*0.475*44/12</f>
        <v>22.985021546387983</v>
      </c>
      <c r="EX33" s="21">
        <f>EXP(-LN(2)/2)*EX32+(1-EXP(-LN(2)/2))/(LN(2)/2)*ER33*EU33*VLOOKUP('Données projet'!$B$15,Paramètres!$A$1:$I$89,3,0)*0.475*44/12</f>
        <v>20.023846622089227</v>
      </c>
      <c r="EY33" s="22">
        <f t="shared" si="21"/>
        <v>46.050945777691169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>
        <f>VLOOKUP(A33,'Données projet'!$A$217:$I$237,2,0)</f>
        <v>181</v>
      </c>
      <c r="FC33" s="12">
        <f>VLOOKUP(A33,'Données projet'!$A$217:$I$237,9,0)</f>
        <v>11.7</v>
      </c>
      <c r="FD33" s="12">
        <f t="array" ref="FD33">INDEX(FC:FC,MIN(IF(ISNUMBER(FC33:FC229),ROW(FC33:FC229),"")))</f>
        <v>11.7</v>
      </c>
      <c r="FE33" s="12">
        <f>IF('Données projet'!$A$218&gt;35,FE32+FD33-FM32,IF(A33&lt;'Données projet'!$A$218,$FB$205^A33,IF(A33='Données projet'!$A$218,'Données projet'!$B$218,FE32+FD33-FM32)))</f>
        <v>180.99999999999997</v>
      </c>
      <c r="FF33" s="17">
        <f>FE33*VLOOKUP('Données projet'!$B$16,Paramètres!$A$1:$I$89,3,0)*VLOOKUP('Données projet'!$B$16,Paramètres!$A$1:$I$89,5,0)</f>
        <v>98.825999999999979</v>
      </c>
      <c r="FG33" s="13">
        <f t="shared" si="47"/>
        <v>26.682116294536247</v>
      </c>
      <c r="FH33" s="20">
        <f t="shared" si="22"/>
        <v>218.59330254631723</v>
      </c>
      <c r="FI33" s="59">
        <f t="shared" si="23"/>
        <v>511.92663587965058</v>
      </c>
      <c r="FJ33" s="59">
        <f ca="1">AVERAGE(OFFSET($FI$3,0,0,'Données projet'!$E$16+1,1))-AVERAGE(OFFSET($H$3,0,0,'Données projet'!$E$16+1,1))</f>
        <v>127.76128532861486</v>
      </c>
      <c r="FK33" s="59">
        <f t="shared" si="48"/>
        <v>157.52303491639736</v>
      </c>
      <c r="FL33" s="15">
        <f>IF(ISNA(VLOOKUP(A33,'Données projet'!$A$217:$I$237,3,0)),0,VLOOKUP(A33,'Données projet'!$A$217:$I$237,3,0))</f>
        <v>2</v>
      </c>
      <c r="FM33" s="15">
        <f>IF(ISNA(VLOOKUP(A33,'Données projet'!$A$217:$I$237,4,0)),0,VLOOKUP(A33,'Données projet'!$A$217:$I$237,4,0))</f>
        <v>56</v>
      </c>
      <c r="FN33" s="16">
        <f>IF(ISNA(VLOOKUP(A33,'Données projet'!$A$217:$I$237,5,0)),0%,VLOOKUP(A33,'Données projet'!$A$217:$I$237,5,0)*VLOOKUP('Données projet'!$B$16,Paramètres!$A$1:$I$89,7,0))</f>
        <v>0.06</v>
      </c>
      <c r="FO33" s="16">
        <f>IF(ISNA(VLOOKUP(A33,'Données projet'!$A$217:$I$237,6,0)),0%,VLOOKUP(A33,'Données projet'!$A$217:$I$237,6,0)*VLOOKUP('Données projet'!$B$16,Paramètres!$A$1:$I$89,7,0))</f>
        <v>0.27</v>
      </c>
      <c r="FP33" s="16">
        <f>IF(ISNA(VLOOKUP(A33,'Données projet'!$A$217:$I$237,7,0)),0%,VLOOKUP(A33,'Données projet'!$A$217:$I$237,7,0))</f>
        <v>0.45</v>
      </c>
      <c r="FQ33" s="21">
        <f>EXP(-LN(2)/35)*FQ32+(1-EXP(-LN(2)/35))/(LN(2)/35)*FM33*FN33*VLOOKUP('Données projet'!$B$16,Paramètres!$A$1:$I$89,3,0)*0.475*44/12</f>
        <v>2.4336620873711623</v>
      </c>
      <c r="FR33" s="21">
        <f>EXP(-LN(2)/25)*FR32+(1-EXP(-LN(2)/25))/(LN(2)/25)*Calculateur!FM33*Calculateur!FO33*VLOOKUP('Données projet'!$B$16,Paramètres!$A$1:$I$89,3,0)*0.475*44/12</f>
        <v>16.321269634292108</v>
      </c>
      <c r="FS33" s="21">
        <f>EXP(-LN(2)/2)*FS32+(1-EXP(-LN(2)/2))/(LN(2)/2)*FM33*FP33*VLOOKUP('Données projet'!$B$16,Paramètres!$A$1:$I$89,3,0)*0.475*44/12</f>
        <v>15.89736940213915</v>
      </c>
      <c r="FT33" s="22">
        <f t="shared" si="24"/>
        <v>34.652301123802417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5.3369963369963358</v>
      </c>
      <c r="N34" s="13">
        <f>IF('Données projet'!$A$36&gt;35,N33+M34-V33,IF(A34&lt;'Données projet'!$A$36,$K$205^A34,IF(A34='Données projet'!$A$36,'Données projet'!$B$36,N33+M34-V33)))</f>
        <v>93.04212454212454</v>
      </c>
      <c r="O34" s="13">
        <f>N34*VLOOKUP('Données projet'!$B$9,Paramètres!$A$1:$I$89,3,0)*VLOOKUP('Données projet'!$B$9,Paramètres!$A$1:$I$89,5,0)</f>
        <v>84.184514285714286</v>
      </c>
      <c r="P34" s="13">
        <f t="shared" si="33"/>
        <v>23.157263963315572</v>
      </c>
      <c r="Q34" s="20">
        <f t="shared" si="2"/>
        <v>186.95359711706033</v>
      </c>
      <c r="R34" s="59">
        <f t="shared" si="0"/>
        <v>480.28693045039364</v>
      </c>
      <c r="S34" s="59">
        <f ca="1">AVERAGE(OFFSET($R$3,0,0,'Données projet'!$E$9+1,1))-AVERAGE(OFFSET($H$3,0,0,'Données projet'!$E$9+1,1))</f>
        <v>153.45079678708987</v>
      </c>
      <c r="T34" s="59">
        <f t="shared" si="34"/>
        <v>115.4217868409637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3.5192307692307692</v>
      </c>
      <c r="AI34" s="13">
        <f>IF('Données projet'!$A$62&gt;35,AI33+AH34-AQ33,IF(A34&lt;'Données projet'!$A$62,$AF$205^A34,IF(A34='Données projet'!$A$62,'Données projet'!$B$62,AI33+AH34-AQ33)))</f>
        <v>60.262820512820504</v>
      </c>
      <c r="AJ34" s="13">
        <f>AI34*VLOOKUP('Données projet'!$B$10,Paramètres!$A$1:$I$89,3,0)*VLOOKUP('Données projet'!$B$10,Paramètres!$A$1:$I$89,5,0)</f>
        <v>54.52579999999999</v>
      </c>
      <c r="AK34" s="13">
        <f t="shared" si="35"/>
        <v>15.776607932515022</v>
      </c>
      <c r="AL34" s="20">
        <f t="shared" si="4"/>
        <v>122.44336048246366</v>
      </c>
      <c r="AM34" s="59">
        <f t="shared" si="5"/>
        <v>415.77669381579699</v>
      </c>
      <c r="AN34" s="59">
        <f ca="1">AVERAGE(OFFSET($AM$3,0,0,'Données projet'!$E$10+1,1))-AVERAGE(OFFSET($H$3,0,0,'Données projet'!$E$10+1,1))</f>
        <v>123.92486590666675</v>
      </c>
      <c r="AO34" s="59">
        <f t="shared" si="36"/>
        <v>54.404493017418986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18.099999999999998</v>
      </c>
      <c r="BD34" s="12">
        <f>IF('Données projet'!$A$88&gt;35,BD33+BC34-BL33,IF(A34&lt;'Données projet'!$A$88,$BA$205^A34,IF(A34='Données projet'!$A$88,'Données projet'!$B$88,BD33+BC34-BL33)))</f>
        <v>233.09230769230766</v>
      </c>
      <c r="BE34" s="13">
        <f>BD34*VLOOKUP('Données projet'!$B$11,Paramètres!$A$1:$I$89,3,0)*VLOOKUP('Données projet'!$B$11,Paramètres!$A$1:$I$89,5,0)</f>
        <v>130.29859999999999</v>
      </c>
      <c r="BF34" s="13">
        <f t="shared" si="37"/>
        <v>34.065347809437199</v>
      </c>
      <c r="BG34" s="20">
        <f t="shared" si="7"/>
        <v>286.26720910143649</v>
      </c>
      <c r="BH34" s="59">
        <f t="shared" si="8"/>
        <v>579.60054243476975</v>
      </c>
      <c r="BI34" s="59">
        <f ca="1">AVERAGE(OFFSET($BH$3,0,0,'Données projet'!$E$11+1,1))-AVERAGE(OFFSET($H$3,0,0,'Données projet'!$E$11+1,1))</f>
        <v>224.7049802939942</v>
      </c>
      <c r="BJ34" s="59">
        <f t="shared" si="38"/>
        <v>203.48513862195352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2.1874088141884829</v>
      </c>
      <c r="BQ34" s="21">
        <f>EXP(-LN(2)/25)*BQ33+(1-EXP(-LN(2)/25))/(LN(2)/25)*Calculateur!BL34*Calculateur!BN34*VLOOKUP('Données projet'!$B$11,Paramètres!$A$1:$I$89,3,0)*0.475*44/12</f>
        <v>18.990628305062266</v>
      </c>
      <c r="BR34" s="21">
        <f>EXP(-LN(2)/2)*BR33+(1-EXP(-LN(2)/2))/(LN(2)/2)*BL34*BO34*VLOOKUP('Données projet'!$B$11,Paramètres!$A$1:$I$89,3,0)*0.475*44/12</f>
        <v>6.3361099267438883</v>
      </c>
      <c r="BS34" s="22">
        <f t="shared" si="9"/>
        <v>27.514147045994637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11.249572649572649</v>
      </c>
      <c r="BY34" s="12">
        <f>IF('Données projet'!$A$114&gt;35,BY33+BX34-CG33,IF(A34&lt;'Données projet'!$A$114,$BV$205^A34,IF(A34='Données projet'!$A$114,'Données projet'!$B$114,BY33+BX34-CG33)))</f>
        <v>207.1589743589744</v>
      </c>
      <c r="BZ34" s="13">
        <f>BY34*VLOOKUP('Données projet'!$B$12,Paramètres!$A$1:$I$89,3,0)*VLOOKUP('Données projet'!$B$12,Paramètres!$A$1:$I$89,5,0)</f>
        <v>115.8018666666667</v>
      </c>
      <c r="CA34" s="13">
        <f t="shared" si="39"/>
        <v>30.693833556011569</v>
      </c>
      <c r="CB34" s="20">
        <f t="shared" si="10"/>
        <v>255.14667788783132</v>
      </c>
      <c r="CC34" s="59">
        <f t="shared" si="11"/>
        <v>548.48001122116466</v>
      </c>
      <c r="CD34" s="59">
        <f ca="1">AVERAGE(OFFSET($CC$3,0,0,'Données projet'!$E$12+1,1))-AVERAGE(OFFSET($H$3,0,0,'Données projet'!$E$12+1,1))</f>
        <v>190.08613104982993</v>
      </c>
      <c r="CE34" s="59">
        <f t="shared" si="40"/>
        <v>180.55054525447781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15.7</v>
      </c>
      <c r="CT34" s="12">
        <f>IF('Données projet'!$A$140&gt;35,CT33+CS34-DB33,IF(A34&lt;'Données projet'!$A$140,$CQ$205^A34,IF(A34='Données projet'!$A$140,'Données projet'!$B$140,CT33+CS34-DB33)))</f>
        <v>155.70000000000005</v>
      </c>
      <c r="CU34" s="17">
        <f>CT34*VLOOKUP('Données projet'!$B$13,Paramètres!$A$1:$I$89,3,0)*VLOOKUP('Données projet'!$B$13,Paramètres!$A$1:$I$89,5,0)</f>
        <v>93.108600000000038</v>
      </c>
      <c r="CV34" s="13">
        <f t="shared" si="41"/>
        <v>25.313456376926009</v>
      </c>
      <c r="CW34" s="20">
        <f t="shared" si="13"/>
        <v>206.25174818981284</v>
      </c>
      <c r="CX34" s="59">
        <f t="shared" si="14"/>
        <v>499.58508152314619</v>
      </c>
      <c r="CY34" s="59">
        <f ca="1">AVERAGE(OFFSET($CX$3,0,0,'Données projet'!$E$13+1,1))-AVERAGE(OFFSET($H$3,0,0,'Données projet'!$E$13+1,1))</f>
        <v>270.30888762640245</v>
      </c>
      <c r="CZ34" s="59">
        <f t="shared" si="42"/>
        <v>202.23783851977691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2.099870186448126</v>
      </c>
      <c r="DG34" s="21">
        <f>EXP(-LN(2)/25)*DG33+(1-EXP(-LN(2)/25))/(LN(2)/25)*Calculateur!DB34*Calculateur!DD34*VLOOKUP('Données projet'!$B$13,Paramètres!$A$1:$I$89,3,0)*0.475*44/12</f>
        <v>11.958995058193914</v>
      </c>
      <c r="DH34" s="21">
        <f>EXP(-LN(2)/2)*DH33+(1-EXP(-LN(2)/2))/(LN(2)/2)*DB34*DE34*VLOOKUP('Données projet'!$B$13,Paramètres!$A$1:$I$89,3,0)*0.475*44/12</f>
        <v>13.076248933316267</v>
      </c>
      <c r="DI34" s="22">
        <f t="shared" si="15"/>
        <v>27.135114177958307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13.1</v>
      </c>
      <c r="DO34" s="12">
        <f>IF('Données projet'!$A$166&gt;35,DO33+DN34-DW33,IF(A34&lt;'Données projet'!$A$166,$DL$205^A34,IF(A34='Données projet'!$A$166,'Données projet'!$B$166,DO33+DN34-DW33)))</f>
        <v>131.10000000000002</v>
      </c>
      <c r="DP34" s="17">
        <f>DO34*VLOOKUP('Données projet'!$B$14,Paramètres!$A$1:$I$89,3,0)*VLOOKUP('Données projet'!$B$14,Paramètres!$A$1:$I$89,5,0)</f>
        <v>78.397800000000018</v>
      </c>
      <c r="DQ34" s="13">
        <f t="shared" si="43"/>
        <v>21.744977840043354</v>
      </c>
      <c r="DR34" s="20">
        <f t="shared" si="16"/>
        <v>174.41533807140888</v>
      </c>
      <c r="DS34" s="59">
        <f t="shared" si="17"/>
        <v>467.7486714047422</v>
      </c>
      <c r="DT34" s="59">
        <f ca="1">AVERAGE(OFFSET($DS$3,0,0,'Données projet'!$E$14+1,1))-AVERAGE(OFFSET($H$3,0,0,'Données projet'!$E$14+1,1))</f>
        <v>221.14988592347311</v>
      </c>
      <c r="DU34" s="59">
        <f t="shared" si="44"/>
        <v>179.09262081171607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2.239861532211334</v>
      </c>
      <c r="EB34" s="21">
        <f>EXP(-LN(2)/25)*EB33+(1-EXP(-LN(2)/25))/(LN(2)/25)*Calculateur!DW34*Calculateur!DY34*VLOOKUP('Données projet'!$B$14,Paramètres!$A$1:$I$89,3,0)*0.475*44/12</f>
        <v>9.9604734914627997</v>
      </c>
      <c r="EC34" s="21">
        <f>EXP(-LN(2)/2)*EC33+(1-EXP(-LN(2)/2))/(LN(2)/2)*DW34*DZ34*VLOOKUP('Données projet'!$B$14,Paramètres!$A$1:$I$89,3,0)*0.475*44/12</f>
        <v>13.788410774535775</v>
      </c>
      <c r="ED34" s="22">
        <f t="shared" si="18"/>
        <v>25.988745798209909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12.1</v>
      </c>
      <c r="EJ34" s="12">
        <f>IF('Données projet'!$A$192&gt;35,EJ33+EI34-ER33,IF(A34&lt;'Données projet'!$A$192,$EG$205^A34,IF(A34='Données projet'!$A$192,'Données projet'!$B$192,EJ33+EI34-ER33)))</f>
        <v>162.10000000000002</v>
      </c>
      <c r="EK34" s="17">
        <f>EJ34*VLOOKUP('Données projet'!$B$15,Paramètres!$A$1:$I$89,3,0)*VLOOKUP('Données projet'!$B$15,Paramètres!$A$1:$I$89,5,0)</f>
        <v>88.50660000000002</v>
      </c>
      <c r="EL34" s="13">
        <f t="shared" si="45"/>
        <v>24.204702878284657</v>
      </c>
      <c r="EM34" s="20">
        <f t="shared" si="19"/>
        <v>196.30551917967912</v>
      </c>
      <c r="EN34" s="59">
        <f t="shared" si="20"/>
        <v>489.63885251301247</v>
      </c>
      <c r="EO34" s="59">
        <f ca="1">AVERAGE(OFFSET($EN$3,0,0,'Données projet'!$E$15+1,1))-AVERAGE(OFFSET($H$3,0,0,'Données projet'!$E$15+1,1))</f>
        <v>168.72306536277267</v>
      </c>
      <c r="EP34" s="59">
        <f t="shared" si="46"/>
        <v>203.35476578922339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2.9824243227813958</v>
      </c>
      <c r="EW34" s="21">
        <f>EXP(-LN(2)/25)*EW33+(1-EXP(-LN(2)/25))/(LN(2)/25)*Calculateur!ER34*Calculateur!ET34*VLOOKUP('Données projet'!$B$15,Paramètres!$A$1:$I$89,3,0)*0.475*44/12</f>
        <v>22.356494923472255</v>
      </c>
      <c r="EX34" s="21">
        <f>EXP(-LN(2)/2)*EX33+(1-EXP(-LN(2)/2))/(LN(2)/2)*ER34*EU34*VLOOKUP('Données projet'!$B$15,Paramètres!$A$1:$I$89,3,0)*0.475*44/12</f>
        <v>14.158997731918637</v>
      </c>
      <c r="EY34" s="22">
        <f t="shared" si="21"/>
        <v>39.497916978172285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10.3</v>
      </c>
      <c r="FE34" s="12">
        <f>IF('Données projet'!$A$218&gt;35,FE33+FD34-FM33,IF(A34&lt;'Données projet'!$A$218,$FB$205^A34,IF(A34='Données projet'!$A$218,'Données projet'!$B$218,FE33+FD34-FM33)))</f>
        <v>135.29999999999998</v>
      </c>
      <c r="FF34" s="17">
        <f>FE34*VLOOKUP('Données projet'!$B$16,Paramètres!$A$1:$I$89,3,0)*VLOOKUP('Données projet'!$B$16,Paramètres!$A$1:$I$89,5,0)</f>
        <v>73.873799999999989</v>
      </c>
      <c r="FG34" s="13">
        <f t="shared" si="47"/>
        <v>20.632422241557592</v>
      </c>
      <c r="FH34" s="20">
        <f t="shared" si="22"/>
        <v>164.59833707071277</v>
      </c>
      <c r="FI34" s="59">
        <f t="shared" si="23"/>
        <v>457.93167040404609</v>
      </c>
      <c r="FJ34" s="59">
        <f ca="1">AVERAGE(OFFSET($FI$3,0,0,'Données projet'!$E$16+1,1))-AVERAGE(OFFSET($H$3,0,0,'Données projet'!$E$16+1,1))</f>
        <v>127.76128532861486</v>
      </c>
      <c r="FK34" s="59">
        <f t="shared" si="48"/>
        <v>157.52303491639736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>
        <f>EXP(-LN(2)/35)*FQ33+(1-EXP(-LN(2)/35))/(LN(2)/35)*FM34*FN34*VLOOKUP('Données projet'!$B$16,Paramètres!$A$1:$I$89,3,0)*0.475*44/12</f>
        <v>2.3859394582251161</v>
      </c>
      <c r="FR34" s="21">
        <f>EXP(-LN(2)/25)*FR33+(1-EXP(-LN(2)/25))/(LN(2)/25)*Calculateur!FM34*Calculateur!FO34*VLOOKUP('Données projet'!$B$16,Paramètres!$A$1:$I$89,3,0)*0.475*44/12</f>
        <v>15.874963657844123</v>
      </c>
      <c r="FS34" s="21">
        <f>EXP(-LN(2)/2)*FS33+(1-EXP(-LN(2)/2))/(LN(2)/2)*FM34*FP34*VLOOKUP('Données projet'!$B$16,Paramètres!$A$1:$I$89,3,0)*0.475*44/12</f>
        <v>11.241137707280124</v>
      </c>
      <c r="FT34" s="22">
        <f t="shared" si="24"/>
        <v>29.502040823349365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5.3369963369963358</v>
      </c>
      <c r="N35" s="13">
        <f>IF('Données projet'!$A$36&gt;35,N34+M35-V34,IF(A35&lt;'Données projet'!$A$36,$K$205^A35,IF(A35='Données projet'!$A$36,'Données projet'!$B$36,N34+M35-V34)))</f>
        <v>98.379120879120876</v>
      </c>
      <c r="O35" s="13">
        <f>N35*VLOOKUP('Données projet'!$B$9,Paramètres!$A$1:$I$89,3,0)*VLOOKUP('Données projet'!$B$9,Paramètres!$A$1:$I$89,5,0)</f>
        <v>89.013428571428562</v>
      </c>
      <c r="P35" s="13">
        <f t="shared" si="33"/>
        <v>24.327135299174682</v>
      </c>
      <c r="Q35" s="20">
        <f t="shared" ref="Q35:Q66" si="53">(O35+P35)*0.475*44/12</f>
        <v>197.40148207463395</v>
      </c>
      <c r="R35" s="59">
        <f t="shared" si="0"/>
        <v>490.73481540796729</v>
      </c>
      <c r="S35" s="59">
        <f ca="1">AVERAGE(OFFSET($R$3,0,0,'Données projet'!$E$9+1,1))-AVERAGE(OFFSET($H$3,0,0,'Données projet'!$E$9+1,1))</f>
        <v>153.45079678708987</v>
      </c>
      <c r="T35" s="59">
        <f t="shared" si="34"/>
        <v>115.4217868409637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3.5192307692307692</v>
      </c>
      <c r="AI35" s="13">
        <f>IF('Données projet'!$A$62&gt;35,AI34+AH35-AQ34,IF(A35&lt;'Données projet'!$A$62,$AF$205^A35,IF(A35='Données projet'!$A$62,'Données projet'!$B$62,AI34+AH35-AQ34)))</f>
        <v>63.78205128205127</v>
      </c>
      <c r="AJ35" s="13">
        <f>AI35*VLOOKUP('Données projet'!$B$10,Paramètres!$A$1:$I$89,3,0)*VLOOKUP('Données projet'!$B$10,Paramètres!$A$1:$I$89,5,0)</f>
        <v>57.709999999999994</v>
      </c>
      <c r="AK35" s="13">
        <f t="shared" si="35"/>
        <v>16.587980422512199</v>
      </c>
      <c r="AL35" s="20">
        <f t="shared" si="4"/>
        <v>129.40231590254206</v>
      </c>
      <c r="AM35" s="59">
        <f t="shared" si="5"/>
        <v>422.73564923587537</v>
      </c>
      <c r="AN35" s="59">
        <f ca="1">AVERAGE(OFFSET($AM$3,0,0,'Données projet'!$E$10+1,1))-AVERAGE(OFFSET($H$3,0,0,'Données projet'!$E$10+1,1))</f>
        <v>123.92486590666675</v>
      </c>
      <c r="AO35" s="59">
        <f t="shared" si="36"/>
        <v>54.404493017418986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18.099999999999998</v>
      </c>
      <c r="BD35" s="12">
        <f>IF('Données projet'!$A$88&gt;35,BD34+BC35-BL34,IF(A35&lt;'Données projet'!$A$88,$BA$205^A35,IF(A35='Données projet'!$A$88,'Données projet'!$B$88,BD34+BC35-BL34)))</f>
        <v>251.19230769230765</v>
      </c>
      <c r="BE35" s="13">
        <f>BD35*VLOOKUP('Données projet'!$B$11,Paramètres!$A$1:$I$89,3,0)*VLOOKUP('Données projet'!$B$11,Paramètres!$A$1:$I$89,5,0)</f>
        <v>140.41649999999998</v>
      </c>
      <c r="BF35" s="13">
        <f t="shared" si="37"/>
        <v>36.392403294074647</v>
      </c>
      <c r="BG35" s="20">
        <f t="shared" si="7"/>
        <v>307.94217323717999</v>
      </c>
      <c r="BH35" s="59">
        <f t="shared" si="8"/>
        <v>601.27550657051324</v>
      </c>
      <c r="BI35" s="59">
        <f ca="1">AVERAGE(OFFSET($BH$3,0,0,'Données projet'!$E$11+1,1))-AVERAGE(OFFSET($H$3,0,0,'Données projet'!$E$11+1,1))</f>
        <v>224.7049802939942</v>
      </c>
      <c r="BJ35" s="59">
        <f t="shared" si="38"/>
        <v>203.48513862195352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2.1445150615298831</v>
      </c>
      <c r="BQ35" s="21">
        <f>EXP(-LN(2)/25)*BQ34+(1-EXP(-LN(2)/25))/(LN(2)/25)*Calculateur!BL35*Calculateur!BN35*VLOOKUP('Données projet'!$B$11,Paramètres!$A$1:$I$89,3,0)*0.475*44/12</f>
        <v>18.4713285753866</v>
      </c>
      <c r="BR35" s="21">
        <f>EXP(-LN(2)/2)*BR34+(1-EXP(-LN(2)/2))/(LN(2)/2)*BL35*BO35*VLOOKUP('Données projet'!$B$11,Paramètres!$A$1:$I$89,3,0)*0.475*44/12</f>
        <v>4.4803062955440023</v>
      </c>
      <c r="BS35" s="22">
        <f t="shared" si="9"/>
        <v>25.096149932460484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11.249572649572649</v>
      </c>
      <c r="BY35" s="12">
        <f>IF('Données projet'!$A$114&gt;35,BY34+BX35-CG34,IF(A35&lt;'Données projet'!$A$114,$BV$205^A35,IF(A35='Données projet'!$A$114,'Données projet'!$B$114,BY34+BX35-CG34)))</f>
        <v>218.40854700854706</v>
      </c>
      <c r="BZ35" s="13">
        <f>BY35*VLOOKUP('Données projet'!$B$12,Paramètres!$A$1:$I$89,3,0)*VLOOKUP('Données projet'!$B$12,Paramètres!$A$1:$I$89,5,0)</f>
        <v>122.0903777777778</v>
      </c>
      <c r="CA35" s="13">
        <f t="shared" si="39"/>
        <v>32.162054467284513</v>
      </c>
      <c r="CB35" s="20">
        <f t="shared" si="10"/>
        <v>268.65631949348352</v>
      </c>
      <c r="CC35" s="59">
        <f t="shared" si="11"/>
        <v>561.98965282681684</v>
      </c>
      <c r="CD35" s="59">
        <f ca="1">AVERAGE(OFFSET($CC$3,0,0,'Données projet'!$E$12+1,1))-AVERAGE(OFFSET($H$3,0,0,'Données projet'!$E$12+1,1))</f>
        <v>190.08613104982993</v>
      </c>
      <c r="CE35" s="59">
        <f t="shared" si="40"/>
        <v>180.55054525447781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15.7</v>
      </c>
      <c r="CT35" s="12">
        <f>IF('Données projet'!$A$140&gt;35,CT34+CS35-DB34,IF(A35&lt;'Données projet'!$A$140,$CQ$205^A35,IF(A35='Données projet'!$A$140,'Données projet'!$B$140,CT34+CS35-DB34)))</f>
        <v>171.40000000000003</v>
      </c>
      <c r="CU35" s="17">
        <f>CT35*VLOOKUP('Données projet'!$B$13,Paramètres!$A$1:$I$89,3,0)*VLOOKUP('Données projet'!$B$13,Paramètres!$A$1:$I$89,5,0)</f>
        <v>102.49720000000003</v>
      </c>
      <c r="CV35" s="13">
        <f t="shared" si="41"/>
        <v>27.556064299174871</v>
      </c>
      <c r="CW35" s="20">
        <f t="shared" si="13"/>
        <v>226.50943532106294</v>
      </c>
      <c r="CX35" s="59">
        <f t="shared" si="14"/>
        <v>519.8427686543962</v>
      </c>
      <c r="CY35" s="59">
        <f ca="1">AVERAGE(OFFSET($CX$3,0,0,'Données projet'!$E$13+1,1))-AVERAGE(OFFSET($H$3,0,0,'Données projet'!$E$13+1,1))</f>
        <v>270.30888762640245</v>
      </c>
      <c r="CZ35" s="59">
        <f t="shared" si="42"/>
        <v>202.23783851977691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2.058693012886224</v>
      </c>
      <c r="DG35" s="21">
        <f>EXP(-LN(2)/25)*DG34+(1-EXP(-LN(2)/25))/(LN(2)/25)*Calculateur!DB35*Calculateur!DD35*VLOOKUP('Données projet'!$B$13,Paramètres!$A$1:$I$89,3,0)*0.475*44/12</f>
        <v>11.631975709431384</v>
      </c>
      <c r="DH35" s="21">
        <f>EXP(-LN(2)/2)*DH34+(1-EXP(-LN(2)/2))/(LN(2)/2)*DB35*DE35*VLOOKUP('Données projet'!$B$13,Paramètres!$A$1:$I$89,3,0)*0.475*44/12</f>
        <v>9.246304293231292</v>
      </c>
      <c r="DI35" s="22">
        <f t="shared" si="15"/>
        <v>22.936973015548901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13.1</v>
      </c>
      <c r="DO35" s="12">
        <f>IF('Données projet'!$A$166&gt;35,DO34+DN35-DW34,IF(A35&lt;'Données projet'!$A$166,$DL$205^A35,IF(A35='Données projet'!$A$166,'Données projet'!$B$166,DO34+DN35-DW34)))</f>
        <v>144.20000000000002</v>
      </c>
      <c r="DP35" s="17">
        <f>DO35*VLOOKUP('Données projet'!$B$14,Paramètres!$A$1:$I$89,3,0)*VLOOKUP('Données projet'!$B$14,Paramètres!$A$1:$I$89,5,0)</f>
        <v>86.231600000000014</v>
      </c>
      <c r="DQ35" s="13">
        <f t="shared" si="43"/>
        <v>23.65412759312937</v>
      </c>
      <c r="DR35" s="20">
        <f t="shared" si="16"/>
        <v>191.38430889136703</v>
      </c>
      <c r="DS35" s="59">
        <f t="shared" si="17"/>
        <v>484.71764222470034</v>
      </c>
      <c r="DT35" s="59">
        <f ca="1">AVERAGE(OFFSET($DS$3,0,0,'Données projet'!$E$14+1,1))-AVERAGE(OFFSET($H$3,0,0,'Données projet'!$E$14+1,1))</f>
        <v>221.14988592347311</v>
      </c>
      <c r="DU35" s="59">
        <f t="shared" si="44"/>
        <v>179.09262081171607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2.1959392137453051</v>
      </c>
      <c r="EB35" s="21">
        <f>EXP(-LN(2)/25)*EB34+(1-EXP(-LN(2)/25))/(LN(2)/25)*Calculateur!DW35*Calculateur!DY35*VLOOKUP('Données projet'!$B$14,Paramètres!$A$1:$I$89,3,0)*0.475*44/12</f>
        <v>9.6881038200402134</v>
      </c>
      <c r="EC35" s="21">
        <f>EXP(-LN(2)/2)*EC34+(1-EXP(-LN(2)/2))/(LN(2)/2)*DW35*DZ35*VLOOKUP('Données projet'!$B$14,Paramètres!$A$1:$I$89,3,0)*0.475*44/12</f>
        <v>9.7498787604599038</v>
      </c>
      <c r="ED35" s="22">
        <f t="shared" si="18"/>
        <v>21.633921794245424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12.1</v>
      </c>
      <c r="EJ35" s="12">
        <f>IF('Données projet'!$A$192&gt;35,EJ34+EI35-ER34,IF(A35&lt;'Données projet'!$A$192,$EG$205^A35,IF(A35='Données projet'!$A$192,'Données projet'!$B$192,EJ34+EI35-ER34)))</f>
        <v>174.20000000000002</v>
      </c>
      <c r="EK35" s="17">
        <f>EJ35*VLOOKUP('Données projet'!$B$15,Paramètres!$A$1:$I$89,3,0)*VLOOKUP('Données projet'!$B$15,Paramètres!$A$1:$I$89,5,0)</f>
        <v>95.113200000000006</v>
      </c>
      <c r="EL35" s="13">
        <f t="shared" si="45"/>
        <v>25.794411857052886</v>
      </c>
      <c r="EM35" s="20">
        <f t="shared" si="19"/>
        <v>210.58075731770046</v>
      </c>
      <c r="EN35" s="59">
        <f t="shared" si="20"/>
        <v>503.9140906510338</v>
      </c>
      <c r="EO35" s="59">
        <f ca="1">AVERAGE(OFFSET($EN$3,0,0,'Données projet'!$E$15+1,1))-AVERAGE(OFFSET($H$3,0,0,'Données projet'!$E$15+1,1))</f>
        <v>168.72306536277267</v>
      </c>
      <c r="EP35" s="59">
        <f t="shared" si="46"/>
        <v>203.35476578922339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2.9239408009108683</v>
      </c>
      <c r="EW35" s="21">
        <f>EXP(-LN(2)/25)*EW34+(1-EXP(-LN(2)/25))/(LN(2)/25)*Calculateur!ER35*Calculateur!ET35*VLOOKUP('Données projet'!$B$15,Paramètres!$A$1:$I$89,3,0)*0.475*44/12</f>
        <v>21.745155394112935</v>
      </c>
      <c r="EX35" s="21">
        <f>EXP(-LN(2)/2)*EX34+(1-EXP(-LN(2)/2))/(LN(2)/2)*ER35*EU35*VLOOKUP('Données projet'!$B$15,Paramètres!$A$1:$I$89,3,0)*0.475*44/12</f>
        <v>10.011923311044615</v>
      </c>
      <c r="EY35" s="22">
        <f t="shared" si="21"/>
        <v>34.681019506068424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10.3</v>
      </c>
      <c r="FE35" s="12">
        <f>IF('Données projet'!$A$218&gt;35,FE34+FD35-FM34,IF(A35&lt;'Données projet'!$A$218,$FB$205^A35,IF(A35='Données projet'!$A$218,'Données projet'!$B$218,FE34+FD35-FM34)))</f>
        <v>145.6</v>
      </c>
      <c r="FF35" s="17">
        <f>FE35*VLOOKUP('Données projet'!$B$16,Paramètres!$A$1:$I$89,3,0)*VLOOKUP('Données projet'!$B$16,Paramètres!$A$1:$I$89,5,0)</f>
        <v>79.497599999999991</v>
      </c>
      <c r="FG35" s="13">
        <f t="shared" si="47"/>
        <v>22.014299714245357</v>
      </c>
      <c r="FH35" s="20">
        <f t="shared" si="22"/>
        <v>176.79989200231066</v>
      </c>
      <c r="FI35" s="59">
        <f t="shared" si="23"/>
        <v>470.13322533564394</v>
      </c>
      <c r="FJ35" s="59">
        <f ca="1">AVERAGE(OFFSET($FI$3,0,0,'Données projet'!$E$16+1,1))-AVERAGE(OFFSET($H$3,0,0,'Données projet'!$E$16+1,1))</f>
        <v>127.76128532861486</v>
      </c>
      <c r="FK35" s="59">
        <f t="shared" si="48"/>
        <v>157.52303491639736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>
        <f>EXP(-LN(2)/35)*FQ34+(1-EXP(-LN(2)/35))/(LN(2)/35)*FM35*FN35*VLOOKUP('Données projet'!$B$16,Paramètres!$A$1:$I$89,3,0)*0.475*44/12</f>
        <v>2.339152640728694</v>
      </c>
      <c r="FR35" s="21">
        <f>EXP(-LN(2)/25)*FR34+(1-EXP(-LN(2)/25))/(LN(2)/25)*Calculateur!FM35*Calculateur!FO35*VLOOKUP('Données projet'!$B$16,Paramètres!$A$1:$I$89,3,0)*0.475*44/12</f>
        <v>15.440861941792321</v>
      </c>
      <c r="FS35" s="21">
        <f>EXP(-LN(2)/2)*FS34+(1-EXP(-LN(2)/2))/(LN(2)/2)*FM35*FP35*VLOOKUP('Données projet'!$B$16,Paramètres!$A$1:$I$89,3,0)*0.475*44/12</f>
        <v>7.9486847010695758</v>
      </c>
      <c r="FT35" s="22">
        <f t="shared" si="24"/>
        <v>25.728699283590593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5.3369963369963358</v>
      </c>
      <c r="N36" s="13">
        <f>IF('Données projet'!$A$36&gt;35,N35+M36-V35,IF(A36&lt;'Données projet'!$A$36,$K$205^A36,IF(A36='Données projet'!$A$36,'Données projet'!$B$36,N35+M36-V35)))</f>
        <v>103.71611721611721</v>
      </c>
      <c r="O36" s="13">
        <f>N36*VLOOKUP('Données projet'!$B$9,Paramètres!$A$1:$I$89,3,0)*VLOOKUP('Données projet'!$B$9,Paramètres!$A$1:$I$89,5,0)</f>
        <v>93.842342857142853</v>
      </c>
      <c r="P36" s="13">
        <f t="shared" si="33"/>
        <v>25.489638806781517</v>
      </c>
      <c r="Q36" s="20">
        <f t="shared" si="53"/>
        <v>207.83653473133492</v>
      </c>
      <c r="R36" s="59">
        <f t="shared" si="0"/>
        <v>501.16986806466821</v>
      </c>
      <c r="S36" s="59">
        <f ca="1">AVERAGE(OFFSET($R$3,0,0,'Données projet'!$E$9+1,1))-AVERAGE(OFFSET($H$3,0,0,'Données projet'!$E$9+1,1))</f>
        <v>153.45079678708987</v>
      </c>
      <c r="T36" s="59">
        <f t="shared" si="34"/>
        <v>115.4217868409637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3.5192307692307692</v>
      </c>
      <c r="AI36" s="13">
        <f>IF('Données projet'!$A$62&gt;35,AI35+AH36-AQ35,IF(A36&lt;'Données projet'!$A$62,$AF$205^A36,IF(A36='Données projet'!$A$62,'Données projet'!$B$62,AI35+AH36-AQ35)))</f>
        <v>67.301282051282044</v>
      </c>
      <c r="AJ36" s="13">
        <f>AI36*VLOOKUP('Données projet'!$B$10,Paramètres!$A$1:$I$89,3,0)*VLOOKUP('Données projet'!$B$10,Paramètres!$A$1:$I$89,5,0)</f>
        <v>60.894199999999991</v>
      </c>
      <c r="AK36" s="13">
        <f t="shared" si="35"/>
        <v>17.39415580959038</v>
      </c>
      <c r="AL36" s="20">
        <f t="shared" si="4"/>
        <v>136.35221970170323</v>
      </c>
      <c r="AM36" s="59">
        <f t="shared" si="5"/>
        <v>429.68555303503655</v>
      </c>
      <c r="AN36" s="59">
        <f ca="1">AVERAGE(OFFSET($AM$3,0,0,'Données projet'!$E$10+1,1))-AVERAGE(OFFSET($H$3,0,0,'Données projet'!$E$10+1,1))</f>
        <v>123.92486590666675</v>
      </c>
      <c r="AO36" s="59">
        <f t="shared" si="36"/>
        <v>54.404493017418986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18.099999999999998</v>
      </c>
      <c r="BD36" s="12">
        <f>IF('Données projet'!$A$88&gt;35,BD35+BC36-BL35,IF(A36&lt;'Données projet'!$A$88,$BA$205^A36,IF(A36='Données projet'!$A$88,'Données projet'!$B$88,BD35+BC36-BL35)))</f>
        <v>269.29230769230765</v>
      </c>
      <c r="BE36" s="13">
        <f>BD36*VLOOKUP('Données projet'!$B$11,Paramètres!$A$1:$I$89,3,0)*VLOOKUP('Données projet'!$B$11,Paramètres!$A$1:$I$89,5,0)</f>
        <v>150.53439999999998</v>
      </c>
      <c r="BF36" s="13">
        <f t="shared" si="37"/>
        <v>38.700004790658191</v>
      </c>
      <c r="BG36" s="20">
        <f t="shared" si="7"/>
        <v>329.58325501039627</v>
      </c>
      <c r="BH36" s="59">
        <f t="shared" si="8"/>
        <v>622.91658834372959</v>
      </c>
      <c r="BI36" s="59">
        <f ca="1">AVERAGE(OFFSET($BH$3,0,0,'Données projet'!$E$11+1,1))-AVERAGE(OFFSET($H$3,0,0,'Données projet'!$E$11+1,1))</f>
        <v>224.7049802939942</v>
      </c>
      <c r="BJ36" s="59">
        <f t="shared" si="38"/>
        <v>203.48513862195352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2.1024624291983129</v>
      </c>
      <c r="BQ36" s="21">
        <f>EXP(-LN(2)/25)*BQ35+(1-EXP(-LN(2)/25))/(LN(2)/25)*Calculateur!BL36*Calculateur!BN36*VLOOKUP('Données projet'!$B$11,Paramètres!$A$1:$I$89,3,0)*0.475*44/12</f>
        <v>17.9662291241277</v>
      </c>
      <c r="BR36" s="21">
        <f>EXP(-LN(2)/2)*BR35+(1-EXP(-LN(2)/2))/(LN(2)/2)*BL36*BO36*VLOOKUP('Données projet'!$B$11,Paramètres!$A$1:$I$89,3,0)*0.475*44/12</f>
        <v>3.1680549633719441</v>
      </c>
      <c r="BS36" s="22">
        <f t="shared" si="9"/>
        <v>23.236746516697956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11.249572649572649</v>
      </c>
      <c r="BY36" s="12">
        <f>IF('Données projet'!$A$114&gt;35,BY35+BX36-CG35,IF(A36&lt;'Données projet'!$A$114,$BV$205^A36,IF(A36='Données projet'!$A$114,'Données projet'!$B$114,BY35+BX36-CG35)))</f>
        <v>229.65811965811972</v>
      </c>
      <c r="BZ36" s="13">
        <f>BY36*VLOOKUP('Données projet'!$B$12,Paramètres!$A$1:$I$89,3,0)*VLOOKUP('Données projet'!$B$12,Paramètres!$A$1:$I$89,5,0)</f>
        <v>128.37888888888892</v>
      </c>
      <c r="CA36" s="13">
        <f t="shared" si="39"/>
        <v>33.621495018676114</v>
      </c>
      <c r="CB36" s="20">
        <f t="shared" si="10"/>
        <v>282.1506686390091</v>
      </c>
      <c r="CC36" s="59">
        <f t="shared" si="11"/>
        <v>575.48400197234241</v>
      </c>
      <c r="CD36" s="59">
        <f ca="1">AVERAGE(OFFSET($CC$3,0,0,'Données projet'!$E$12+1,1))-AVERAGE(OFFSET($H$3,0,0,'Données projet'!$E$12+1,1))</f>
        <v>190.08613104982993</v>
      </c>
      <c r="CE36" s="59">
        <f t="shared" si="40"/>
        <v>180.55054525447781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15.7</v>
      </c>
      <c r="CT36" s="12">
        <f>IF('Données projet'!$A$140&gt;35,CT35+CS36-DB35,IF(A36&lt;'Données projet'!$A$140,$CQ$205^A36,IF(A36='Données projet'!$A$140,'Données projet'!$B$140,CT35+CS36-DB35)))</f>
        <v>187.10000000000002</v>
      </c>
      <c r="CU36" s="17">
        <f>CT36*VLOOKUP('Données projet'!$B$13,Paramètres!$A$1:$I$89,3,0)*VLOOKUP('Données projet'!$B$13,Paramètres!$A$1:$I$89,5,0)</f>
        <v>111.88580000000003</v>
      </c>
      <c r="CV36" s="13">
        <f t="shared" si="41"/>
        <v>29.774853250315406</v>
      </c>
      <c r="CW36" s="20">
        <f t="shared" si="13"/>
        <v>246.72563774429935</v>
      </c>
      <c r="CX36" s="59">
        <f t="shared" si="14"/>
        <v>540.05897107763269</v>
      </c>
      <c r="CY36" s="59">
        <f ca="1">AVERAGE(OFFSET($CX$3,0,0,'Données projet'!$E$13+1,1))-AVERAGE(OFFSET($H$3,0,0,'Données projet'!$E$13+1,1))</f>
        <v>270.30888762640245</v>
      </c>
      <c r="CZ36" s="59">
        <f t="shared" si="42"/>
        <v>202.23783851977691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2.018323298582275</v>
      </c>
      <c r="DG36" s="21">
        <f>EXP(-LN(2)/25)*DG35+(1-EXP(-LN(2)/25))/(LN(2)/25)*Calculateur!DB36*Calculateur!DD36*VLOOKUP('Données projet'!$B$13,Paramètres!$A$1:$I$89,3,0)*0.475*44/12</f>
        <v>11.313898721957965</v>
      </c>
      <c r="DH36" s="21">
        <f>EXP(-LN(2)/2)*DH35+(1-EXP(-LN(2)/2))/(LN(2)/2)*DB36*DE36*VLOOKUP('Données projet'!$B$13,Paramètres!$A$1:$I$89,3,0)*0.475*44/12</f>
        <v>6.5381244666581342</v>
      </c>
      <c r="DI36" s="22">
        <f t="shared" si="15"/>
        <v>19.870346487198375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13.1</v>
      </c>
      <c r="DO36" s="12">
        <f>IF('Données projet'!$A$166&gt;35,DO35+DN36-DW35,IF(A36&lt;'Données projet'!$A$166,$DL$205^A36,IF(A36='Données projet'!$A$166,'Données projet'!$B$166,DO35+DN36-DW35)))</f>
        <v>157.30000000000001</v>
      </c>
      <c r="DP36" s="17">
        <f>DO36*VLOOKUP('Données projet'!$B$14,Paramètres!$A$1:$I$89,3,0)*VLOOKUP('Données projet'!$B$14,Paramètres!$A$1:$I$89,5,0)</f>
        <v>94.065400000000011</v>
      </c>
      <c r="DQ36" s="13">
        <f t="shared" si="43"/>
        <v>25.543166268747999</v>
      </c>
      <c r="DR36" s="20">
        <f t="shared" si="16"/>
        <v>208.31825291806945</v>
      </c>
      <c r="DS36" s="59">
        <f t="shared" si="17"/>
        <v>501.65158625140276</v>
      </c>
      <c r="DT36" s="59">
        <f ca="1">AVERAGE(OFFSET($DS$3,0,0,'Données projet'!$E$14+1,1))-AVERAGE(OFFSET($H$3,0,0,'Données projet'!$E$14+1,1))</f>
        <v>221.14988592347311</v>
      </c>
      <c r="DU36" s="59">
        <f t="shared" si="44"/>
        <v>179.09262081171607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2.1528781851544263</v>
      </c>
      <c r="EB36" s="21">
        <f>EXP(-LN(2)/25)*EB35+(1-EXP(-LN(2)/25))/(LN(2)/25)*Calculateur!DW36*Calculateur!DY36*VLOOKUP('Données projet'!$B$14,Paramètres!$A$1:$I$89,3,0)*0.475*44/12</f>
        <v>9.4231821116059766</v>
      </c>
      <c r="EC36" s="21">
        <f>EXP(-LN(2)/2)*EC35+(1-EXP(-LN(2)/2))/(LN(2)/2)*DW36*DZ36*VLOOKUP('Données projet'!$B$14,Paramètres!$A$1:$I$89,3,0)*0.475*44/12</f>
        <v>6.8942053872678892</v>
      </c>
      <c r="ED36" s="22">
        <f t="shared" si="18"/>
        <v>18.470265684028291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12.1</v>
      </c>
      <c r="EJ36" s="12">
        <f>IF('Données projet'!$A$192&gt;35,EJ35+EI36-ER35,IF(A36&lt;'Données projet'!$A$192,$EG$205^A36,IF(A36='Données projet'!$A$192,'Données projet'!$B$192,EJ35+EI36-ER35)))</f>
        <v>186.3</v>
      </c>
      <c r="EK36" s="17">
        <f>EJ36*VLOOKUP('Données projet'!$B$15,Paramètres!$A$1:$I$89,3,0)*VLOOKUP('Données projet'!$B$15,Paramètres!$A$1:$I$89,5,0)</f>
        <v>101.71979999999999</v>
      </c>
      <c r="EL36" s="13">
        <f t="shared" si="45"/>
        <v>27.37130868680908</v>
      </c>
      <c r="EM36" s="20">
        <f t="shared" si="19"/>
        <v>224.83368096285912</v>
      </c>
      <c r="EN36" s="59">
        <f t="shared" si="20"/>
        <v>518.16701429619241</v>
      </c>
      <c r="EO36" s="59">
        <f ca="1">AVERAGE(OFFSET($EN$3,0,0,'Données projet'!$E$15+1,1))-AVERAGE(OFFSET($H$3,0,0,'Données projet'!$E$15+1,1))</f>
        <v>168.72306536277267</v>
      </c>
      <c r="EP36" s="59">
        <f t="shared" si="46"/>
        <v>203.35476578922339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2.866604105232796</v>
      </c>
      <c r="EW36" s="21">
        <f>EXP(-LN(2)/25)*EW35+(1-EXP(-LN(2)/25))/(LN(2)/25)*Calculateur!ER36*Calculateur!ET36*VLOOKUP('Données projet'!$B$15,Paramètres!$A$1:$I$89,3,0)*0.475*44/12</f>
        <v>21.150532976332894</v>
      </c>
      <c r="EX36" s="21">
        <f>EXP(-LN(2)/2)*EX35+(1-EXP(-LN(2)/2))/(LN(2)/2)*ER36*EU36*VLOOKUP('Données projet'!$B$15,Paramètres!$A$1:$I$89,3,0)*0.475*44/12</f>
        <v>7.0794988659593194</v>
      </c>
      <c r="EY36" s="22">
        <f t="shared" si="21"/>
        <v>31.096635947525009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10.3</v>
      </c>
      <c r="FE36" s="12">
        <f>IF('Données projet'!$A$218&gt;35,FE35+FD36-FM35,IF(A36&lt;'Données projet'!$A$218,$FB$205^A36,IF(A36='Données projet'!$A$218,'Données projet'!$B$218,FE35+FD36-FM35)))</f>
        <v>155.9</v>
      </c>
      <c r="FF36" s="17">
        <f>FE36*VLOOKUP('Données projet'!$B$16,Paramètres!$A$1:$I$89,3,0)*VLOOKUP('Données projet'!$B$16,Paramètres!$A$1:$I$89,5,0)</f>
        <v>85.121399999999994</v>
      </c>
      <c r="FG36" s="13">
        <f t="shared" si="47"/>
        <v>23.384835075802897</v>
      </c>
      <c r="FH36" s="20">
        <f t="shared" si="22"/>
        <v>188.98169275702335</v>
      </c>
      <c r="FI36" s="59">
        <f t="shared" si="23"/>
        <v>482.3150260903567</v>
      </c>
      <c r="FJ36" s="59">
        <f ca="1">AVERAGE(OFFSET($FI$3,0,0,'Données projet'!$E$16+1,1))-AVERAGE(OFFSET($H$3,0,0,'Données projet'!$E$16+1,1))</f>
        <v>127.76128532861486</v>
      </c>
      <c r="FK36" s="59">
        <f t="shared" si="48"/>
        <v>157.52303491639736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>
        <f>EXP(-LN(2)/35)*FQ35+(1-EXP(-LN(2)/35))/(LN(2)/35)*FM36*FN36*VLOOKUP('Données projet'!$B$16,Paramètres!$A$1:$I$89,3,0)*0.475*44/12</f>
        <v>2.2932832841862361</v>
      </c>
      <c r="FR36" s="21">
        <f>EXP(-LN(2)/25)*FR35+(1-EXP(-LN(2)/25))/(LN(2)/25)*Calculateur!FM36*Calculateur!FO36*VLOOKUP('Données projet'!$B$16,Paramètres!$A$1:$I$89,3,0)*0.475*44/12</f>
        <v>15.018630759994371</v>
      </c>
      <c r="FS36" s="21">
        <f>EXP(-LN(2)/2)*FS35+(1-EXP(-LN(2)/2))/(LN(2)/2)*FM36*FP36*VLOOKUP('Données projet'!$B$16,Paramètres!$A$1:$I$89,3,0)*0.475*44/12</f>
        <v>5.6205688536400631</v>
      </c>
      <c r="FT36" s="22">
        <f t="shared" si="24"/>
        <v>22.93248289782067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5.3369963369963358</v>
      </c>
      <c r="N37" s="13">
        <f>IF('Données projet'!$A$36&gt;35,N36+M37-V36,IF(A37&lt;'Données projet'!$A$36,$K$205^A37,IF(A37='Données projet'!$A$36,'Données projet'!$B$36,N36+M37-V36)))</f>
        <v>109.05311355311355</v>
      </c>
      <c r="O37" s="13">
        <f>N37*VLOOKUP('Données projet'!$B$9,Paramètres!$A$1:$I$89,3,0)*VLOOKUP('Données projet'!$B$9,Paramètres!$A$1:$I$89,5,0)</f>
        <v>98.671257142857144</v>
      </c>
      <c r="P37" s="13">
        <f t="shared" si="33"/>
        <v>26.645196865813876</v>
      </c>
      <c r="Q37" s="20">
        <f t="shared" si="53"/>
        <v>218.25949073176866</v>
      </c>
      <c r="R37" s="59">
        <f t="shared" si="0"/>
        <v>511.59282406510198</v>
      </c>
      <c r="S37" s="59">
        <f ca="1">AVERAGE(OFFSET($R$3,0,0,'Données projet'!$E$9+1,1))-AVERAGE(OFFSET($H$3,0,0,'Données projet'!$E$9+1,1))</f>
        <v>153.45079678708987</v>
      </c>
      <c r="T37" s="59">
        <f t="shared" si="34"/>
        <v>115.4217868409637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3.5192307692307692</v>
      </c>
      <c r="AI37" s="13">
        <f>IF('Données projet'!$A$62&gt;35,AI36+AH37-AQ36,IF(A37&lt;'Données projet'!$A$62,$AF$205^A37,IF(A37='Données projet'!$A$62,'Données projet'!$B$62,AI36+AH37-AQ36)))</f>
        <v>70.820512820512818</v>
      </c>
      <c r="AJ37" s="13">
        <f>AI37*VLOOKUP('Données projet'!$B$10,Paramètres!$A$1:$I$89,3,0)*VLOOKUP('Données projet'!$B$10,Paramètres!$A$1:$I$89,5,0)</f>
        <v>64.078400000000002</v>
      </c>
      <c r="AK37" s="13">
        <f t="shared" si="35"/>
        <v>18.195436848222041</v>
      </c>
      <c r="AL37" s="20">
        <f t="shared" si="4"/>
        <v>143.29359917732006</v>
      </c>
      <c r="AM37" s="59">
        <f t="shared" si="5"/>
        <v>436.62693251065338</v>
      </c>
      <c r="AN37" s="59">
        <f ca="1">AVERAGE(OFFSET($AM$3,0,0,'Données projet'!$E$10+1,1))-AVERAGE(OFFSET($H$3,0,0,'Données projet'!$E$10+1,1))</f>
        <v>123.92486590666675</v>
      </c>
      <c r="AO37" s="59">
        <f t="shared" si="36"/>
        <v>54.404493017418986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18.099999999999998</v>
      </c>
      <c r="BD37" s="12">
        <f>IF('Données projet'!$A$88&gt;35,BD36+BC37-BL36,IF(A37&lt;'Données projet'!$A$88,$BA$205^A37,IF(A37='Données projet'!$A$88,'Données projet'!$B$88,BD36+BC37-BL36)))</f>
        <v>287.39230769230767</v>
      </c>
      <c r="BE37" s="13">
        <f>BD37*VLOOKUP('Données projet'!$B$11,Paramètres!$A$1:$I$89,3,0)*VLOOKUP('Données projet'!$B$11,Paramètres!$A$1:$I$89,5,0)</f>
        <v>160.6523</v>
      </c>
      <c r="BF37" s="13">
        <f t="shared" si="37"/>
        <v>40.989608635643826</v>
      </c>
      <c r="BG37" s="20">
        <f t="shared" si="7"/>
        <v>351.19299087374634</v>
      </c>
      <c r="BH37" s="59">
        <f t="shared" si="8"/>
        <v>644.5263242070796</v>
      </c>
      <c r="BI37" s="59">
        <f ca="1">AVERAGE(OFFSET($BH$3,0,0,'Données projet'!$E$11+1,1))-AVERAGE(OFFSET($H$3,0,0,'Données projet'!$E$11+1,1))</f>
        <v>224.7049802939942</v>
      </c>
      <c r="BJ37" s="59">
        <f t="shared" si="38"/>
        <v>203.48513862195352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2.0612344233371918</v>
      </c>
      <c r="BQ37" s="21">
        <f>EXP(-LN(2)/25)*BQ36+(1-EXP(-LN(2)/25))/(LN(2)/25)*Calculateur!BL37*Calculateur!BN37*VLOOKUP('Données projet'!$B$11,Paramètres!$A$1:$I$89,3,0)*0.475*44/12</f>
        <v>17.474941643925501</v>
      </c>
      <c r="BR37" s="21">
        <f>EXP(-LN(2)/2)*BR36+(1-EXP(-LN(2)/2))/(LN(2)/2)*BL37*BO37*VLOOKUP('Données projet'!$B$11,Paramètres!$A$1:$I$89,3,0)*0.475*44/12</f>
        <v>2.2401531477720011</v>
      </c>
      <c r="BS37" s="22">
        <f t="shared" si="9"/>
        <v>21.776329215034696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>
        <f>VLOOKUP(A37,'Données projet'!$A$113:$I$133,2,0)</f>
        <v>240.90769230769232</v>
      </c>
      <c r="BW37" s="12">
        <f>VLOOKUP(A37,'Données projet'!$A$113:$I$133,9,0)</f>
        <v>11.249572649572649</v>
      </c>
      <c r="BX37" s="12">
        <f t="array" ref="BX37">INDEX(BW:BW,MIN(IF(ISNUMBER(BW37:BW233),ROW(BW37:BW233),"")))</f>
        <v>11.249572649572649</v>
      </c>
      <c r="BY37" s="12">
        <f>IF('Données projet'!$A$114&gt;35,BY36+BX37-CG36,IF(A37&lt;'Données projet'!$A$114,$BV$205^A37,IF(A37='Données projet'!$A$114,'Données projet'!$B$114,BY36+BX37-CG36)))</f>
        <v>240.90769230769237</v>
      </c>
      <c r="BZ37" s="13">
        <f>BY37*VLOOKUP('Données projet'!$B$12,Paramètres!$A$1:$I$89,3,0)*VLOOKUP('Données projet'!$B$12,Paramètres!$A$1:$I$89,5,0)</f>
        <v>134.66740000000004</v>
      </c>
      <c r="CA37" s="13">
        <f t="shared" si="39"/>
        <v>35.072634396625773</v>
      </c>
      <c r="CB37" s="20">
        <f t="shared" si="10"/>
        <v>295.63055990745659</v>
      </c>
      <c r="CC37" s="59">
        <f t="shared" si="11"/>
        <v>588.96389324078996</v>
      </c>
      <c r="CD37" s="59">
        <f ca="1">AVERAGE(OFFSET($CC$3,0,0,'Données projet'!$E$12+1,1))-AVERAGE(OFFSET($H$3,0,0,'Données projet'!$E$12+1,1))</f>
        <v>190.08613104982993</v>
      </c>
      <c r="CE37" s="59">
        <f t="shared" si="40"/>
        <v>180.55054525447781</v>
      </c>
      <c r="CF37" s="15">
        <f>IF(ISNA(VLOOKUP(A37,'Données projet'!$A$113:$I$133,3,0)),0,VLOOKUP(A37,'Données projet'!$A$113:$I$133,3,0))</f>
        <v>1</v>
      </c>
      <c r="CG37" s="15">
        <f>IF(ISNA(VLOOKUP(A37,'Données projet'!$A$113:$I$133,4,0)),0,VLOOKUP(A37,'Données projet'!$A$113:$I$133,4,0))</f>
        <v>83.969230769230762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15.7</v>
      </c>
      <c r="CT37" s="12">
        <f>IF('Données projet'!$A$140&gt;35,CT36+CS37-DB36,IF(A37&lt;'Données projet'!$A$140,$CQ$205^A37,IF(A37='Données projet'!$A$140,'Données projet'!$B$140,CT36+CS37-DB36)))</f>
        <v>202.8</v>
      </c>
      <c r="CU37" s="17">
        <f>CT37*VLOOKUP('Données projet'!$B$13,Paramètres!$A$1:$I$89,3,0)*VLOOKUP('Données projet'!$B$13,Paramètres!$A$1:$I$89,5,0)</f>
        <v>121.27440000000001</v>
      </c>
      <c r="CV37" s="13">
        <f t="shared" si="41"/>
        <v>31.972049173215385</v>
      </c>
      <c r="CW37" s="20">
        <f t="shared" si="13"/>
        <v>266.90423231001682</v>
      </c>
      <c r="CX37" s="59">
        <f t="shared" si="14"/>
        <v>560.23756564335008</v>
      </c>
      <c r="CY37" s="59">
        <f ca="1">AVERAGE(OFFSET($CX$3,0,0,'Données projet'!$E$13+1,1))-AVERAGE(OFFSET($H$3,0,0,'Données projet'!$E$13+1,1))</f>
        <v>270.30888762640245</v>
      </c>
      <c r="CZ37" s="59">
        <f t="shared" si="42"/>
        <v>202.23783851977691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1.978745209752732</v>
      </c>
      <c r="DG37" s="21">
        <f>EXP(-LN(2)/25)*DG36+(1-EXP(-LN(2)/25))/(LN(2)/25)*Calculateur!DB37*Calculateur!DD37*VLOOKUP('Données projet'!$B$13,Paramètres!$A$1:$I$89,3,0)*0.475*44/12</f>
        <v>11.004519566433949</v>
      </c>
      <c r="DH37" s="21">
        <f>EXP(-LN(2)/2)*DH36+(1-EXP(-LN(2)/2))/(LN(2)/2)*DB37*DE37*VLOOKUP('Données projet'!$B$13,Paramètres!$A$1:$I$89,3,0)*0.475*44/12</f>
        <v>4.623152146615646</v>
      </c>
      <c r="DI37" s="22">
        <f t="shared" si="15"/>
        <v>17.606416922802328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13.1</v>
      </c>
      <c r="DO37" s="12">
        <f>IF('Données projet'!$A$166&gt;35,DO36+DN37-DW36,IF(A37&lt;'Données projet'!$A$166,$DL$205^A37,IF(A37='Données projet'!$A$166,'Données projet'!$B$166,DO36+DN37-DW36)))</f>
        <v>170.4</v>
      </c>
      <c r="DP37" s="17">
        <f>DO37*VLOOKUP('Données projet'!$B$14,Paramètres!$A$1:$I$89,3,0)*VLOOKUP('Données projet'!$B$14,Paramètres!$A$1:$I$89,5,0)</f>
        <v>101.89920000000001</v>
      </c>
      <c r="DQ37" s="13">
        <f t="shared" si="43"/>
        <v>27.413959140905018</v>
      </c>
      <c r="DR37" s="20">
        <f t="shared" si="16"/>
        <v>225.22041883707621</v>
      </c>
      <c r="DS37" s="59">
        <f t="shared" si="17"/>
        <v>518.55375217040955</v>
      </c>
      <c r="DT37" s="59">
        <f ca="1">AVERAGE(OFFSET($DS$3,0,0,'Données projet'!$E$14+1,1))-AVERAGE(OFFSET($H$3,0,0,'Données projet'!$E$14+1,1))</f>
        <v>221.14988592347311</v>
      </c>
      <c r="DU37" s="59">
        <f t="shared" si="44"/>
        <v>179.09262081171607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2.1106615570695806</v>
      </c>
      <c r="EB37" s="21">
        <f>EXP(-LN(2)/25)*EB36+(1-EXP(-LN(2)/25))/(LN(2)/25)*Calculateur!DW37*Calculateur!DY37*VLOOKUP('Données projet'!$B$14,Paramètres!$A$1:$I$89,3,0)*0.475*44/12</f>
        <v>9.1655047012205006</v>
      </c>
      <c r="EC37" s="21">
        <f>EXP(-LN(2)/2)*EC36+(1-EXP(-LN(2)/2))/(LN(2)/2)*DW37*DZ37*VLOOKUP('Données projet'!$B$14,Paramètres!$A$1:$I$89,3,0)*0.475*44/12</f>
        <v>4.8749393802299528</v>
      </c>
      <c r="ED37" s="22">
        <f t="shared" si="18"/>
        <v>16.151105638520033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12.1</v>
      </c>
      <c r="EJ37" s="12">
        <f>IF('Données projet'!$A$192&gt;35,EJ36+EI37-ER36,IF(A37&lt;'Données projet'!$A$192,$EG$205^A37,IF(A37='Données projet'!$A$192,'Données projet'!$B$192,EJ36+EI37-ER36)))</f>
        <v>198.4</v>
      </c>
      <c r="EK37" s="17">
        <f>EJ37*VLOOKUP('Données projet'!$B$15,Paramètres!$A$1:$I$89,3,0)*VLOOKUP('Données projet'!$B$15,Paramètres!$A$1:$I$89,5,0)</f>
        <v>108.32640000000001</v>
      </c>
      <c r="EL37" s="13">
        <f t="shared" si="45"/>
        <v>28.936320206966883</v>
      </c>
      <c r="EM37" s="20">
        <f t="shared" si="19"/>
        <v>239.06590436046736</v>
      </c>
      <c r="EN37" s="59">
        <f t="shared" si="20"/>
        <v>532.39923769380061</v>
      </c>
      <c r="EO37" s="59">
        <f ca="1">AVERAGE(OFFSET($EN$3,0,0,'Données projet'!$E$15+1,1))-AVERAGE(OFFSET($H$3,0,0,'Données projet'!$E$15+1,1))</f>
        <v>168.72306536277267</v>
      </c>
      <c r="EP37" s="59">
        <f t="shared" si="46"/>
        <v>203.35476578922339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2.8103917471850393</v>
      </c>
      <c r="EW37" s="21">
        <f>EXP(-LN(2)/25)*EW36+(1-EXP(-LN(2)/25))/(LN(2)/25)*Calculateur!ER37*Calculateur!ET37*VLOOKUP('Données projet'!$B$15,Paramètres!$A$1:$I$89,3,0)*0.475*44/12</f>
        <v>20.572170539836883</v>
      </c>
      <c r="EX37" s="21">
        <f>EXP(-LN(2)/2)*EX36+(1-EXP(-LN(2)/2))/(LN(2)/2)*ER37*EU37*VLOOKUP('Données projet'!$B$15,Paramètres!$A$1:$I$89,3,0)*0.475*44/12</f>
        <v>5.0059616555223085</v>
      </c>
      <c r="EY37" s="22">
        <f t="shared" si="21"/>
        <v>28.388523942544232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10.3</v>
      </c>
      <c r="FE37" s="12">
        <f>IF('Données projet'!$A$218&gt;35,FE36+FD37-FM36,IF(A37&lt;'Données projet'!$A$218,$FB$205^A37,IF(A37='Données projet'!$A$218,'Données projet'!$B$218,FE36+FD37-FM36)))</f>
        <v>166.20000000000002</v>
      </c>
      <c r="FF37" s="17">
        <f>FE37*VLOOKUP('Données projet'!$B$16,Paramètres!$A$1:$I$89,3,0)*VLOOKUP('Données projet'!$B$16,Paramètres!$A$1:$I$89,5,0)</f>
        <v>90.745200000000011</v>
      </c>
      <c r="FG37" s="13">
        <f t="shared" si="47"/>
        <v>24.744862946812823</v>
      </c>
      <c r="FH37" s="20">
        <f t="shared" si="22"/>
        <v>201.14519296569901</v>
      </c>
      <c r="FI37" s="59">
        <f t="shared" si="23"/>
        <v>494.4785262990323</v>
      </c>
      <c r="FJ37" s="59">
        <f ca="1">AVERAGE(OFFSET($FI$3,0,0,'Données projet'!$E$16+1,1))-AVERAGE(OFFSET($H$3,0,0,'Données projet'!$E$16+1,1))</f>
        <v>127.76128532861486</v>
      </c>
      <c r="FK37" s="59">
        <f t="shared" si="48"/>
        <v>157.52303491639736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>
        <f>EXP(-LN(2)/35)*FQ36+(1-EXP(-LN(2)/35))/(LN(2)/35)*FM37*FN37*VLOOKUP('Données projet'!$B$16,Paramètres!$A$1:$I$89,3,0)*0.475*44/12</f>
        <v>2.248313397748031</v>
      </c>
      <c r="FR37" s="21">
        <f>EXP(-LN(2)/25)*FR36+(1-EXP(-LN(2)/25))/(LN(2)/25)*Calculateur!FM37*Calculateur!FO37*VLOOKUP('Données projet'!$B$16,Paramètres!$A$1:$I$89,3,0)*0.475*44/12</f>
        <v>14.607945512066859</v>
      </c>
      <c r="FS37" s="21">
        <f>EXP(-LN(2)/2)*FS36+(1-EXP(-LN(2)/2))/(LN(2)/2)*FM37*FP37*VLOOKUP('Données projet'!$B$16,Paramètres!$A$1:$I$89,3,0)*0.475*44/12</f>
        <v>3.9743423505347888</v>
      </c>
      <c r="FT37" s="22">
        <f t="shared" si="24"/>
        <v>20.830601260349681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5.3369963369963358</v>
      </c>
      <c r="N38" s="13">
        <f>IF('Données projet'!$A$36&gt;35,N37+M38-V37,IF(A38&lt;'Données projet'!$A$36,$K$205^A38,IF(A38='Données projet'!$A$36,'Données projet'!$B$36,N37+M38-V37)))</f>
        <v>114.39010989010988</v>
      </c>
      <c r="O38" s="13">
        <f>N38*VLOOKUP('Données projet'!$B$9,Paramètres!$A$1:$I$89,3,0)*VLOOKUP('Données projet'!$B$9,Paramètres!$A$1:$I$89,5,0)</f>
        <v>103.50017142857141</v>
      </c>
      <c r="P38" s="13">
        <f t="shared" si="33"/>
        <v>27.794188178262466</v>
      </c>
      <c r="Q38" s="20">
        <f t="shared" si="53"/>
        <v>228.67100964856897</v>
      </c>
      <c r="R38" s="59">
        <f t="shared" si="0"/>
        <v>522.00434298190225</v>
      </c>
      <c r="S38" s="59">
        <f ca="1">AVERAGE(OFFSET($R$3,0,0,'Données projet'!$E$9+1,1))-AVERAGE(OFFSET($H$3,0,0,'Données projet'!$E$9+1,1))</f>
        <v>153.45079678708987</v>
      </c>
      <c r="T38" s="59">
        <f t="shared" si="34"/>
        <v>115.4217868409637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3.5192307692307692</v>
      </c>
      <c r="AI38" s="13">
        <f>IF('Données projet'!$A$62&gt;35,AI37+AH38-AQ37,IF(A38&lt;'Données projet'!$A$62,$AF$205^A38,IF(A38='Données projet'!$A$62,'Données projet'!$B$62,AI37+AH38-AQ37)))</f>
        <v>74.339743589743591</v>
      </c>
      <c r="AJ38" s="13">
        <f>AI38*VLOOKUP('Données projet'!$B$10,Paramètres!$A$1:$I$89,3,0)*VLOOKUP('Données projet'!$B$10,Paramètres!$A$1:$I$89,5,0)</f>
        <v>67.262599999999992</v>
      </c>
      <c r="AK38" s="13">
        <f t="shared" si="35"/>
        <v>18.992094504007238</v>
      </c>
      <c r="AL38" s="20">
        <f t="shared" si="4"/>
        <v>150.22692626114591</v>
      </c>
      <c r="AM38" s="59">
        <f t="shared" si="5"/>
        <v>443.56025959447925</v>
      </c>
      <c r="AN38" s="59">
        <f ca="1">AVERAGE(OFFSET($AM$3,0,0,'Données projet'!$E$10+1,1))-AVERAGE(OFFSET($H$3,0,0,'Données projet'!$E$10+1,1))</f>
        <v>123.92486590666675</v>
      </c>
      <c r="AO38" s="59">
        <f t="shared" si="36"/>
        <v>54.404493017418986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305.49230769230769</v>
      </c>
      <c r="BB38" s="12">
        <f>VLOOKUP(A38,'Données projet'!$A$87:$I$107,9,0)</f>
        <v>18.099999999999998</v>
      </c>
      <c r="BC38" s="12">
        <f t="array" ref="BC38">INDEX(BB:BB,MIN(IF(ISNUMBER(BB38:BB234),ROW(BB38:BB234),"")))</f>
        <v>18.099999999999998</v>
      </c>
      <c r="BD38" s="12">
        <f>IF('Données projet'!$A$88&gt;35,BD37+BC38-BL37,IF(A38&lt;'Données projet'!$A$88,$BA$205^A38,IF(A38='Données projet'!$A$88,'Données projet'!$B$88,BD37+BC38-BL37)))</f>
        <v>305.49230769230769</v>
      </c>
      <c r="BE38" s="13">
        <f>BD38*VLOOKUP('Données projet'!$B$11,Paramètres!$A$1:$I$89,3,0)*VLOOKUP('Données projet'!$B$11,Paramètres!$A$1:$I$89,5,0)</f>
        <v>170.77019999999999</v>
      </c>
      <c r="BF38" s="13">
        <f t="shared" si="37"/>
        <v>43.26247735598961</v>
      </c>
      <c r="BG38" s="20">
        <f t="shared" si="7"/>
        <v>372.77357972834852</v>
      </c>
      <c r="BH38" s="59">
        <f t="shared" si="8"/>
        <v>666.10691306168178</v>
      </c>
      <c r="BI38" s="59">
        <f ca="1">AVERAGE(OFFSET($BH$3,0,0,'Données projet'!$E$11+1,1))-AVERAGE(OFFSET($H$3,0,0,'Données projet'!$E$11+1,1))</f>
        <v>224.7049802939942</v>
      </c>
      <c r="BJ38" s="59">
        <f t="shared" si="38"/>
        <v>203.48513862195352</v>
      </c>
      <c r="BK38" s="15">
        <f>IF(ISNA(VLOOKUP(A38,'Données projet'!$A$87:$I$107,3,0)),0,VLOOKUP(A38,'Données projet'!$A$87:$I$107,3,0))</f>
        <v>3</v>
      </c>
      <c r="BL38" s="15">
        <f>IF(ISNA(VLOOKUP(A38,'Données projet'!$A$87:$I$107,4,0)),0,VLOOKUP(A38,'Données projet'!$A$87:$I$107,4,0))</f>
        <v>70.5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2.0208148735244067</v>
      </c>
      <c r="BQ38" s="21">
        <f>EXP(-LN(2)/25)*BQ37+(1-EXP(-LN(2)/25))/(LN(2)/25)*Calculateur!BL38*Calculateur!BN38*VLOOKUP('Données projet'!$B$11,Paramètres!$A$1:$I$89,3,0)*0.475*44/12</f>
        <v>16.997088445705117</v>
      </c>
      <c r="BR38" s="21">
        <f>EXP(-LN(2)/2)*BR37+(1-EXP(-LN(2)/2))/(LN(2)/2)*BL38*BO38*VLOOKUP('Données projet'!$B$11,Paramètres!$A$1:$I$89,3,0)*0.475*44/12</f>
        <v>1.5840274816859721</v>
      </c>
      <c r="BS38" s="22">
        <f t="shared" si="9"/>
        <v>20.601930800915497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10.952991452991451</v>
      </c>
      <c r="BY38" s="12">
        <f>IF('Données projet'!$A$114&gt;35,BY37+BX38-CG37,IF(A38&lt;'Données projet'!$A$114,$BV$205^A38,IF(A38='Données projet'!$A$114,'Données projet'!$B$114,BY37+BX38-CG37)))</f>
        <v>167.89145299145306</v>
      </c>
      <c r="BZ38" s="13">
        <f>BY38*VLOOKUP('Données projet'!$B$12,Paramètres!$A$1:$I$89,3,0)*VLOOKUP('Données projet'!$B$12,Paramètres!$A$1:$I$89,5,0)</f>
        <v>93.851322222222279</v>
      </c>
      <c r="CA38" s="13">
        <f t="shared" si="39"/>
        <v>25.491793888573941</v>
      </c>
      <c r="CB38" s="20">
        <f t="shared" si="10"/>
        <v>207.85592722630341</v>
      </c>
      <c r="CC38" s="59">
        <f t="shared" si="11"/>
        <v>501.18926055963675</v>
      </c>
      <c r="CD38" s="59">
        <f ca="1">AVERAGE(OFFSET($CC$3,0,0,'Données projet'!$E$12+1,1))-AVERAGE(OFFSET($H$3,0,0,'Données projet'!$E$12+1,1))</f>
        <v>190.08613104982993</v>
      </c>
      <c r="CE38" s="59">
        <f t="shared" si="40"/>
        <v>180.55054525447781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15.7</v>
      </c>
      <c r="CT38" s="12">
        <f>IF('Données projet'!$A$140&gt;35,CT37+CS38-DB37,IF(A38&lt;'Données projet'!$A$140,$CQ$205^A38,IF(A38='Données projet'!$A$140,'Données projet'!$B$140,CT37+CS38-DB37)))</f>
        <v>218.5</v>
      </c>
      <c r="CU38" s="17">
        <f>CT38*VLOOKUP('Données projet'!$B$13,Paramètres!$A$1:$I$89,3,0)*VLOOKUP('Données projet'!$B$13,Paramètres!$A$1:$I$89,5,0)</f>
        <v>130.66300000000001</v>
      </c>
      <c r="CV38" s="13">
        <f t="shared" si="41"/>
        <v>34.149513779485744</v>
      </c>
      <c r="CW38" s="20">
        <f t="shared" si="13"/>
        <v>287.04846149927101</v>
      </c>
      <c r="CX38" s="59">
        <f t="shared" si="14"/>
        <v>580.38179483260433</v>
      </c>
      <c r="CY38" s="59">
        <f ca="1">AVERAGE(OFFSET($CX$3,0,0,'Données projet'!$E$13+1,1))-AVERAGE(OFFSET($H$3,0,0,'Données projet'!$E$13+1,1))</f>
        <v>270.30888762640245</v>
      </c>
      <c r="CZ38" s="59">
        <f t="shared" si="42"/>
        <v>202.23783851977691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1.9399432231048859</v>
      </c>
      <c r="DG38" s="21">
        <f>EXP(-LN(2)/25)*DG37+(1-EXP(-LN(2)/25))/(LN(2)/25)*Calculateur!DB38*Calculateur!DD38*VLOOKUP('Données projet'!$B$13,Paramètres!$A$1:$I$89,3,0)*0.475*44/12</f>
        <v>10.70360040018728</v>
      </c>
      <c r="DH38" s="21">
        <f>EXP(-LN(2)/2)*DH37+(1-EXP(-LN(2)/2))/(LN(2)/2)*DB38*DE38*VLOOKUP('Données projet'!$B$13,Paramètres!$A$1:$I$89,3,0)*0.475*44/12</f>
        <v>3.2690622333290671</v>
      </c>
      <c r="DI38" s="22">
        <f t="shared" si="15"/>
        <v>15.912605856621234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13.1</v>
      </c>
      <c r="DO38" s="12">
        <f>IF('Données projet'!$A$166&gt;35,DO37+DN38-DW37,IF(A38&lt;'Données projet'!$A$166,$DL$205^A38,IF(A38='Données projet'!$A$166,'Données projet'!$B$166,DO37+DN38-DW37)))</f>
        <v>183.5</v>
      </c>
      <c r="DP38" s="17">
        <f>DO38*VLOOKUP('Données projet'!$B$14,Paramètres!$A$1:$I$89,3,0)*VLOOKUP('Données projet'!$B$14,Paramètres!$A$1:$I$89,5,0)</f>
        <v>109.733</v>
      </c>
      <c r="DQ38" s="13">
        <f t="shared" si="43"/>
        <v>29.268068395258268</v>
      </c>
      <c r="DR38" s="20">
        <f t="shared" si="16"/>
        <v>242.09352745507479</v>
      </c>
      <c r="DS38" s="59">
        <f t="shared" si="17"/>
        <v>535.42686078840813</v>
      </c>
      <c r="DT38" s="59">
        <f ca="1">AVERAGE(OFFSET($DS$3,0,0,'Données projet'!$E$14+1,1))-AVERAGE(OFFSET($H$3,0,0,'Données projet'!$E$14+1,1))</f>
        <v>221.14988592347311</v>
      </c>
      <c r="DU38" s="59">
        <f t="shared" si="44"/>
        <v>179.09262081171607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2.0692727713118781</v>
      </c>
      <c r="EB38" s="21">
        <f>EXP(-LN(2)/25)*EB37+(1-EXP(-LN(2)/25))/(LN(2)/25)*Calculateur!DW38*Calculateur!DY38*VLOOKUP('Données projet'!$B$14,Paramètres!$A$1:$I$89,3,0)*0.475*44/12</f>
        <v>8.9148734931726814</v>
      </c>
      <c r="EC38" s="21">
        <f>EXP(-LN(2)/2)*EC37+(1-EXP(-LN(2)/2))/(LN(2)/2)*DW38*DZ38*VLOOKUP('Données projet'!$B$14,Paramètres!$A$1:$I$89,3,0)*0.475*44/12</f>
        <v>3.4471026936339451</v>
      </c>
      <c r="ED38" s="22">
        <f t="shared" si="18"/>
        <v>14.431248958118505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12.1</v>
      </c>
      <c r="EJ38" s="12">
        <f>IF('Données projet'!$A$192&gt;35,EJ37+EI38-ER37,IF(A38&lt;'Données projet'!$A$192,$EG$205^A38,IF(A38='Données projet'!$A$192,'Données projet'!$B$192,EJ37+EI38-ER37)))</f>
        <v>210.5</v>
      </c>
      <c r="EK38" s="17">
        <f>EJ38*VLOOKUP('Données projet'!$B$15,Paramètres!$A$1:$I$89,3,0)*VLOOKUP('Données projet'!$B$15,Paramètres!$A$1:$I$89,5,0)</f>
        <v>114.93299999999999</v>
      </c>
      <c r="EL38" s="13">
        <f t="shared" si="45"/>
        <v>30.490253816842159</v>
      </c>
      <c r="EM38" s="20">
        <f t="shared" si="19"/>
        <v>253.27883373100008</v>
      </c>
      <c r="EN38" s="59">
        <f t="shared" si="20"/>
        <v>546.61216706433333</v>
      </c>
      <c r="EO38" s="59">
        <f ca="1">AVERAGE(OFFSET($EN$3,0,0,'Données projet'!$E$15+1,1))-AVERAGE(OFFSET($H$3,0,0,'Données projet'!$E$15+1,1))</f>
        <v>168.72306536277267</v>
      </c>
      <c r="EP38" s="59">
        <f t="shared" si="46"/>
        <v>203.35476578922339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2.7552816791924464</v>
      </c>
      <c r="EW38" s="21">
        <f>EXP(-LN(2)/25)*EW37+(1-EXP(-LN(2)/25))/(LN(2)/25)*Calculateur!ER38*Calculateur!ET38*VLOOKUP('Données projet'!$B$15,Paramètres!$A$1:$I$89,3,0)*0.475*44/12</f>
        <v>20.009623454581611</v>
      </c>
      <c r="EX38" s="21">
        <f>EXP(-LN(2)/2)*EX37+(1-EXP(-LN(2)/2))/(LN(2)/2)*ER38*EU38*VLOOKUP('Données projet'!$B$15,Paramètres!$A$1:$I$89,3,0)*0.475*44/12</f>
        <v>3.5397494329796606</v>
      </c>
      <c r="EY38" s="22">
        <f t="shared" si="21"/>
        <v>26.304654566753719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10.3</v>
      </c>
      <c r="FE38" s="12">
        <f>IF('Données projet'!$A$218&gt;35,FE37+FD38-FM37,IF(A38&lt;'Données projet'!$A$218,$FB$205^A38,IF(A38='Données projet'!$A$218,'Données projet'!$B$218,FE37+FD38-FM37)))</f>
        <v>176.50000000000003</v>
      </c>
      <c r="FF38" s="17">
        <f>FE38*VLOOKUP('Données projet'!$B$16,Paramètres!$A$1:$I$89,3,0)*VLOOKUP('Données projet'!$B$16,Paramètres!$A$1:$I$89,5,0)</f>
        <v>96.369000000000014</v>
      </c>
      <c r="FG38" s="13">
        <f t="shared" si="47"/>
        <v>26.0951086527005</v>
      </c>
      <c r="FH38" s="20">
        <f t="shared" si="22"/>
        <v>213.29165590345337</v>
      </c>
      <c r="FI38" s="59">
        <f t="shared" si="23"/>
        <v>506.62498923678669</v>
      </c>
      <c r="FJ38" s="59">
        <f ca="1">AVERAGE(OFFSET($FI$3,0,0,'Données projet'!$E$16+1,1))-AVERAGE(OFFSET($H$3,0,0,'Données projet'!$E$16+1,1))</f>
        <v>127.76128532861486</v>
      </c>
      <c r="FK38" s="59">
        <f t="shared" si="48"/>
        <v>157.52303491639736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>
        <f>EXP(-LN(2)/35)*FQ37+(1-EXP(-LN(2)/35))/(LN(2)/35)*FM38*FN38*VLOOKUP('Données projet'!$B$16,Paramètres!$A$1:$I$89,3,0)*0.475*44/12</f>
        <v>2.2042253433539565</v>
      </c>
      <c r="FR38" s="21">
        <f>EXP(-LN(2)/25)*FR37+(1-EXP(-LN(2)/25))/(LN(2)/25)*Calculateur!FM38*Calculateur!FO38*VLOOKUP('Données projet'!$B$16,Paramètres!$A$1:$I$89,3,0)*0.475*44/12</f>
        <v>14.208490473840923</v>
      </c>
      <c r="FS38" s="21">
        <f>EXP(-LN(2)/2)*FS37+(1-EXP(-LN(2)/2))/(LN(2)/2)*FM38*FP38*VLOOKUP('Données projet'!$B$16,Paramètres!$A$1:$I$89,3,0)*0.475*44/12</f>
        <v>2.810284426820032</v>
      </c>
      <c r="FT38" s="22">
        <f t="shared" si="24"/>
        <v>19.223000244014912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5.3369963369963358</v>
      </c>
      <c r="N39" s="13">
        <f>IF('Données projet'!$A$36&gt;35,N38+M39-V38,IF(A39&lt;'Données projet'!$A$36,$K$205^A39,IF(A39='Données projet'!$A$36,'Données projet'!$B$36,N38+M39-V38)))</f>
        <v>119.72710622710622</v>
      </c>
      <c r="O39" s="13">
        <f>N39*VLOOKUP('Données projet'!$B$9,Paramètres!$A$1:$I$89,3,0)*VLOOKUP('Données projet'!$B$9,Paramètres!$A$1:$I$89,5,0)</f>
        <v>108.32908571428571</v>
      </c>
      <c r="P39" s="13">
        <f t="shared" si="33"/>
        <v>28.936954111534238</v>
      </c>
      <c r="Q39" s="20">
        <f t="shared" si="53"/>
        <v>239.07168602996975</v>
      </c>
      <c r="R39" s="59">
        <f t="shared" si="0"/>
        <v>532.40501936330304</v>
      </c>
      <c r="S39" s="59">
        <f ca="1">AVERAGE(OFFSET($R$3,0,0,'Données projet'!$E$9+1,1))-AVERAGE(OFFSET($H$3,0,0,'Données projet'!$E$9+1,1))</f>
        <v>153.45079678708987</v>
      </c>
      <c r="T39" s="59">
        <f t="shared" si="34"/>
        <v>115.4217868409637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3.5192307692307692</v>
      </c>
      <c r="AI39" s="13">
        <f>IF('Données projet'!$A$62&gt;35,AI38+AH39-AQ38,IF(A39&lt;'Données projet'!$A$62,$AF$205^A39,IF(A39='Données projet'!$A$62,'Données projet'!$B$62,AI38+AH39-AQ38)))</f>
        <v>77.858974358974365</v>
      </c>
      <c r="AJ39" s="13">
        <f>AI39*VLOOKUP('Données projet'!$B$10,Paramètres!$A$1:$I$89,3,0)*VLOOKUP('Données projet'!$B$10,Paramètres!$A$1:$I$89,5,0)</f>
        <v>70.446799999999996</v>
      </c>
      <c r="AK39" s="13">
        <f t="shared" si="35"/>
        <v>19.784372637907456</v>
      </c>
      <c r="AL39" s="20">
        <f t="shared" si="4"/>
        <v>157.1526256776888</v>
      </c>
      <c r="AM39" s="59">
        <f t="shared" si="5"/>
        <v>450.48595901102215</v>
      </c>
      <c r="AN39" s="59">
        <f ca="1">AVERAGE(OFFSET($AM$3,0,0,'Données projet'!$E$10+1,1))-AVERAGE(OFFSET($H$3,0,0,'Données projet'!$E$10+1,1))</f>
        <v>123.92486590666675</v>
      </c>
      <c r="AO39" s="59">
        <f t="shared" si="36"/>
        <v>54.404493017418986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18.229670329670324</v>
      </c>
      <c r="BD39" s="12">
        <f>IF('Données projet'!$A$88&gt;35,BD38+BC39-BL38,IF(A39&lt;'Données projet'!$A$88,$BA$205^A39,IF(A39='Données projet'!$A$88,'Données projet'!$B$88,BD38+BC39-BL38)))</f>
        <v>253.22197802197803</v>
      </c>
      <c r="BE39" s="13">
        <f>BD39*VLOOKUP('Données projet'!$B$11,Paramètres!$A$1:$I$89,3,0)*VLOOKUP('Données projet'!$B$11,Paramètres!$A$1:$I$89,5,0)</f>
        <v>141.55108571428573</v>
      </c>
      <c r="BF39" s="13">
        <f t="shared" si="37"/>
        <v>36.652109269178766</v>
      </c>
      <c r="BG39" s="20">
        <f t="shared" si="7"/>
        <v>310.37056459620067</v>
      </c>
      <c r="BH39" s="59">
        <f t="shared" si="8"/>
        <v>603.70389792953392</v>
      </c>
      <c r="BI39" s="59">
        <f ca="1">AVERAGE(OFFSET($BH$3,0,0,'Données projet'!$E$11+1,1))-AVERAGE(OFFSET($H$3,0,0,'Données projet'!$E$11+1,1))</f>
        <v>224.7049802939942</v>
      </c>
      <c r="BJ39" s="59">
        <f t="shared" si="38"/>
        <v>203.48513862195352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1.9811879264299592</v>
      </c>
      <c r="BQ39" s="21">
        <f>EXP(-LN(2)/25)*BQ38+(1-EXP(-LN(2)/25))/(LN(2)/25)*Calculateur!BL39*Calculateur!BN39*VLOOKUP('Données projet'!$B$11,Paramètres!$A$1:$I$89,3,0)*0.475*44/12</f>
        <v>16.532302168319276</v>
      </c>
      <c r="BR39" s="21">
        <f>EXP(-LN(2)/2)*BR38+(1-EXP(-LN(2)/2))/(LN(2)/2)*BL39*BO39*VLOOKUP('Données projet'!$B$11,Paramètres!$A$1:$I$89,3,0)*0.475*44/12</f>
        <v>1.1200765738860006</v>
      </c>
      <c r="BS39" s="22">
        <f t="shared" si="9"/>
        <v>19.633566668635236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10.952991452991451</v>
      </c>
      <c r="BY39" s="12">
        <f>IF('Données projet'!$A$114&gt;35,BY38+BX39-CG38,IF(A39&lt;'Données projet'!$A$114,$BV$205^A39,IF(A39='Données projet'!$A$114,'Données projet'!$B$114,BY38+BX39-CG38)))</f>
        <v>178.84444444444452</v>
      </c>
      <c r="BZ39" s="13">
        <f>BY39*VLOOKUP('Données projet'!$B$12,Paramètres!$A$1:$I$89,3,0)*VLOOKUP('Données projet'!$B$12,Paramètres!$A$1:$I$89,5,0)</f>
        <v>99.974044444444488</v>
      </c>
      <c r="CA39" s="13">
        <f t="shared" si="39"/>
        <v>26.955813901739653</v>
      </c>
      <c r="CB39" s="20">
        <f t="shared" si="10"/>
        <v>221.0695032862707</v>
      </c>
      <c r="CC39" s="59">
        <f t="shared" si="11"/>
        <v>514.40283661960405</v>
      </c>
      <c r="CD39" s="59">
        <f ca="1">AVERAGE(OFFSET($CC$3,0,0,'Données projet'!$E$12+1,1))-AVERAGE(OFFSET($H$3,0,0,'Données projet'!$E$12+1,1))</f>
        <v>190.08613104982993</v>
      </c>
      <c r="CE39" s="59">
        <f t="shared" si="40"/>
        <v>180.55054525447781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15.7</v>
      </c>
      <c r="CT39" s="12">
        <f>IF('Données projet'!$A$140&gt;35,CT38+CS39-DB38,IF(A39&lt;'Données projet'!$A$140,$CQ$205^A39,IF(A39='Données projet'!$A$140,'Données projet'!$B$140,CT38+CS39-DB38)))</f>
        <v>234.2</v>
      </c>
      <c r="CU39" s="17">
        <f>CT39*VLOOKUP('Données projet'!$B$13,Paramètres!$A$1:$I$89,3,0)*VLOOKUP('Données projet'!$B$13,Paramètres!$A$1:$I$89,5,0)</f>
        <v>140.05160000000001</v>
      </c>
      <c r="CV39" s="13">
        <f t="shared" si="41"/>
        <v>36.308826076884721</v>
      </c>
      <c r="CW39" s="20">
        <f t="shared" si="13"/>
        <v>307.16107541724091</v>
      </c>
      <c r="CX39" s="59">
        <f t="shared" si="14"/>
        <v>600.49440875057417</v>
      </c>
      <c r="CY39" s="59">
        <f ca="1">AVERAGE(OFFSET($CX$3,0,0,'Données projet'!$E$13+1,1))-AVERAGE(OFFSET($H$3,0,0,'Données projet'!$E$13+1,1))</f>
        <v>270.30888762640245</v>
      </c>
      <c r="CZ39" s="59">
        <f t="shared" si="42"/>
        <v>202.23783851977691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1.901902119748329</v>
      </c>
      <c r="DG39" s="21">
        <f>EXP(-LN(2)/25)*DG38+(1-EXP(-LN(2)/25))/(LN(2)/25)*Calculateur!DB39*Calculateur!DD39*VLOOKUP('Données projet'!$B$13,Paramètres!$A$1:$I$89,3,0)*0.475*44/12</f>
        <v>10.410909884366278</v>
      </c>
      <c r="DH39" s="21">
        <f>EXP(-LN(2)/2)*DH38+(1-EXP(-LN(2)/2))/(LN(2)/2)*DB39*DE39*VLOOKUP('Données projet'!$B$13,Paramètres!$A$1:$I$89,3,0)*0.475*44/12</f>
        <v>2.311576073307823</v>
      </c>
      <c r="DI39" s="22">
        <f t="shared" si="15"/>
        <v>14.624388077422429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13.1</v>
      </c>
      <c r="DO39" s="12">
        <f>IF('Données projet'!$A$166&gt;35,DO38+DN39-DW38,IF(A39&lt;'Données projet'!$A$166,$DL$205^A39,IF(A39='Données projet'!$A$166,'Données projet'!$B$166,DO38+DN39-DW38)))</f>
        <v>196.6</v>
      </c>
      <c r="DP39" s="17">
        <f>DO39*VLOOKUP('Données projet'!$B$14,Paramètres!$A$1:$I$89,3,0)*VLOOKUP('Données projet'!$B$14,Paramètres!$A$1:$I$89,5,0)</f>
        <v>117.56680000000001</v>
      </c>
      <c r="DQ39" s="13">
        <f t="shared" si="43"/>
        <v>31.106820530957542</v>
      </c>
      <c r="DR39" s="20">
        <f t="shared" si="16"/>
        <v>258.93988909141774</v>
      </c>
      <c r="DS39" s="59">
        <f t="shared" si="17"/>
        <v>552.27322242475111</v>
      </c>
      <c r="DT39" s="59">
        <f ca="1">AVERAGE(OFFSET($DS$3,0,0,'Données projet'!$E$14+1,1))-AVERAGE(OFFSET($H$3,0,0,'Données projet'!$E$14+1,1))</f>
        <v>221.14988592347311</v>
      </c>
      <c r="DU39" s="59">
        <f t="shared" si="44"/>
        <v>179.09262081171607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2.0286955943982177</v>
      </c>
      <c r="EB39" s="21">
        <f>EXP(-LN(2)/25)*EB38+(1-EXP(-LN(2)/25))/(LN(2)/25)*Calculateur!DW39*Calculateur!DY39*VLOOKUP('Données projet'!$B$14,Paramètres!$A$1:$I$89,3,0)*0.475*44/12</f>
        <v>8.6710958086890528</v>
      </c>
      <c r="EC39" s="21">
        <f>EXP(-LN(2)/2)*EC38+(1-EXP(-LN(2)/2))/(LN(2)/2)*DW39*DZ39*VLOOKUP('Données projet'!$B$14,Paramètres!$A$1:$I$89,3,0)*0.475*44/12</f>
        <v>2.4374696901149768</v>
      </c>
      <c r="ED39" s="22">
        <f t="shared" si="18"/>
        <v>13.137261093202248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12.1</v>
      </c>
      <c r="EJ39" s="12">
        <f>IF('Données projet'!$A$192&gt;35,EJ38+EI39-ER38,IF(A39&lt;'Données projet'!$A$192,$EG$205^A39,IF(A39='Données projet'!$A$192,'Données projet'!$B$192,EJ38+EI39-ER38)))</f>
        <v>222.6</v>
      </c>
      <c r="EK39" s="17">
        <f>EJ39*VLOOKUP('Données projet'!$B$15,Paramètres!$A$1:$I$89,3,0)*VLOOKUP('Données projet'!$B$15,Paramètres!$A$1:$I$89,5,0)</f>
        <v>121.53959999999999</v>
      </c>
      <c r="EL39" s="13">
        <f t="shared" si="45"/>
        <v>32.03381885060562</v>
      </c>
      <c r="EM39" s="20">
        <f t="shared" si="19"/>
        <v>267.47370449813809</v>
      </c>
      <c r="EN39" s="59">
        <f t="shared" si="20"/>
        <v>560.80703783147146</v>
      </c>
      <c r="EO39" s="59">
        <f ca="1">AVERAGE(OFFSET($EN$3,0,0,'Données projet'!$E$15+1,1))-AVERAGE(OFFSET($H$3,0,0,'Données projet'!$E$15+1,1))</f>
        <v>168.72306536277267</v>
      </c>
      <c r="EP39" s="59">
        <f t="shared" si="46"/>
        <v>203.35476578922339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2.7012522860193657</v>
      </c>
      <c r="EW39" s="21">
        <f>EXP(-LN(2)/25)*EW38+(1-EXP(-LN(2)/25))/(LN(2)/25)*Calculateur!ER39*Calculateur!ET39*VLOOKUP('Données projet'!$B$15,Paramètres!$A$1:$I$89,3,0)*0.475*44/12</f>
        <v>19.46245924895571</v>
      </c>
      <c r="EX39" s="21">
        <f>EXP(-LN(2)/2)*EX38+(1-EXP(-LN(2)/2))/(LN(2)/2)*ER39*EU39*VLOOKUP('Données projet'!$B$15,Paramètres!$A$1:$I$89,3,0)*0.475*44/12</f>
        <v>2.5029808277611547</v>
      </c>
      <c r="EY39" s="22">
        <f t="shared" si="21"/>
        <v>24.666692362736228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10.3</v>
      </c>
      <c r="FE39" s="12">
        <f>IF('Données projet'!$A$218&gt;35,FE38+FD39-FM38,IF(A39&lt;'Données projet'!$A$218,$FB$205^A39,IF(A39='Données projet'!$A$218,'Données projet'!$B$218,FE38+FD39-FM38)))</f>
        <v>186.80000000000004</v>
      </c>
      <c r="FF39" s="17">
        <f>FE39*VLOOKUP('Données projet'!$B$16,Paramètres!$A$1:$I$89,3,0)*VLOOKUP('Données projet'!$B$16,Paramètres!$A$1:$I$89,5,0)</f>
        <v>101.99280000000003</v>
      </c>
      <c r="FG39" s="13">
        <f t="shared" si="47"/>
        <v>27.436208081304709</v>
      </c>
      <c r="FH39" s="20">
        <f t="shared" si="22"/>
        <v>225.4221890749391</v>
      </c>
      <c r="FI39" s="59">
        <f t="shared" si="23"/>
        <v>518.75552240827244</v>
      </c>
      <c r="FJ39" s="59">
        <f ca="1">AVERAGE(OFFSET($FI$3,0,0,'Données projet'!$E$16+1,1))-AVERAGE(OFFSET($H$3,0,0,'Données projet'!$E$16+1,1))</f>
        <v>127.76128532861486</v>
      </c>
      <c r="FK39" s="59">
        <f t="shared" si="48"/>
        <v>157.52303491639736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>
        <f>EXP(-LN(2)/35)*FQ38+(1-EXP(-LN(2)/35))/(LN(2)/35)*FM39*FN39*VLOOKUP('Données projet'!$B$16,Paramètres!$A$1:$I$89,3,0)*0.475*44/12</f>
        <v>2.161001828815492</v>
      </c>
      <c r="FR39" s="21">
        <f>EXP(-LN(2)/25)*FR38+(1-EXP(-LN(2)/25))/(LN(2)/25)*Calculateur!FM39*Calculateur!FO39*VLOOKUP('Données projet'!$B$16,Paramètres!$A$1:$I$89,3,0)*0.475*44/12</f>
        <v>13.819958554641703</v>
      </c>
      <c r="FS39" s="21">
        <f>EXP(-LN(2)/2)*FS38+(1-EXP(-LN(2)/2))/(LN(2)/2)*FM39*FP39*VLOOKUP('Données projet'!$B$16,Paramètres!$A$1:$I$89,3,0)*0.475*44/12</f>
        <v>1.9871711752673946</v>
      </c>
      <c r="FT39" s="22">
        <f t="shared" si="24"/>
        <v>17.96813155872459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5.3369963369963358</v>
      </c>
      <c r="N40" s="13">
        <f>IF('Données projet'!$A$36&gt;35,N39+M40-V39,IF(A40&lt;'Données projet'!$A$36,$K$205^A40,IF(A40='Données projet'!$A$36,'Données projet'!$B$36,N39+M40-V39)))</f>
        <v>125.06410256410255</v>
      </c>
      <c r="O40" s="13">
        <f>N40*VLOOKUP('Données projet'!$B$9,Paramètres!$A$1:$I$89,3,0)*VLOOKUP('Données projet'!$B$9,Paramètres!$A$1:$I$89,5,0)</f>
        <v>113.15799999999999</v>
      </c>
      <c r="P40" s="13">
        <f t="shared" si="33"/>
        <v>30.073803878601733</v>
      </c>
      <c r="Q40" s="20">
        <f t="shared" si="53"/>
        <v>249.46205842189795</v>
      </c>
      <c r="R40" s="59">
        <f t="shared" si="0"/>
        <v>542.79539175523132</v>
      </c>
      <c r="S40" s="59">
        <f ca="1">AVERAGE(OFFSET($R$3,0,0,'Données projet'!$E$9+1,1))-AVERAGE(OFFSET($H$3,0,0,'Données projet'!$E$9+1,1))</f>
        <v>153.45079678708987</v>
      </c>
      <c r="T40" s="59">
        <f t="shared" si="34"/>
        <v>115.4217868409637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3.5192307692307692</v>
      </c>
      <c r="AI40" s="13">
        <f>IF('Données projet'!$A$62&gt;35,AI39+AH40-AQ39,IF(A40&lt;'Données projet'!$A$62,$AF$205^A40,IF(A40='Données projet'!$A$62,'Données projet'!$B$62,AI39+AH40-AQ39)))</f>
        <v>81.378205128205138</v>
      </c>
      <c r="AJ40" s="13">
        <f>AI40*VLOOKUP('Données projet'!$B$10,Paramètres!$A$1:$I$89,3,0)*VLOOKUP('Données projet'!$B$10,Paramètres!$A$1:$I$89,5,0)</f>
        <v>73.631000000000014</v>
      </c>
      <c r="AK40" s="13">
        <f t="shared" si="35"/>
        <v>20.572491819634088</v>
      </c>
      <c r="AL40" s="20">
        <f t="shared" si="4"/>
        <v>164.07108158586274</v>
      </c>
      <c r="AM40" s="59">
        <f t="shared" si="5"/>
        <v>457.40441491919603</v>
      </c>
      <c r="AN40" s="59">
        <f ca="1">AVERAGE(OFFSET($AM$3,0,0,'Données projet'!$E$10+1,1))-AVERAGE(OFFSET($H$3,0,0,'Données projet'!$E$10+1,1))</f>
        <v>123.92486590666675</v>
      </c>
      <c r="AO40" s="59">
        <f t="shared" si="36"/>
        <v>54.404493017418986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18.229670329670324</v>
      </c>
      <c r="BD40" s="12">
        <f>IF('Données projet'!$A$88&gt;35,BD39+BC40-BL39,IF(A40&lt;'Données projet'!$A$88,$BA$205^A40,IF(A40='Données projet'!$A$88,'Données projet'!$B$88,BD39+BC40-BL39)))</f>
        <v>271.45164835164837</v>
      </c>
      <c r="BE40" s="13">
        <f>BD40*VLOOKUP('Données projet'!$B$11,Paramètres!$A$1:$I$89,3,0)*VLOOKUP('Données projet'!$B$11,Paramètres!$A$1:$I$89,5,0)</f>
        <v>151.74147142857143</v>
      </c>
      <c r="BF40" s="13">
        <f t="shared" si="37"/>
        <v>38.974074991810518</v>
      </c>
      <c r="BG40" s="20">
        <f t="shared" si="7"/>
        <v>332.16291001549854</v>
      </c>
      <c r="BH40" s="59">
        <f t="shared" si="8"/>
        <v>625.49624334883185</v>
      </c>
      <c r="BI40" s="59">
        <f ca="1">AVERAGE(OFFSET($BH$3,0,0,'Données projet'!$E$11+1,1))-AVERAGE(OFFSET($H$3,0,0,'Données projet'!$E$11+1,1))</f>
        <v>224.7049802939942</v>
      </c>
      <c r="BJ40" s="59">
        <f t="shared" si="38"/>
        <v>203.48513862195352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1.9423380395979828</v>
      </c>
      <c r="BQ40" s="21">
        <f>EXP(-LN(2)/25)*BQ39+(1-EXP(-LN(2)/25))/(LN(2)/25)*Calculateur!BL40*Calculateur!BN40*VLOOKUP('Données projet'!$B$11,Paramètres!$A$1:$I$89,3,0)*0.475*44/12</f>
        <v>16.080225496130598</v>
      </c>
      <c r="BR40" s="21">
        <f>EXP(-LN(2)/2)*BR39+(1-EXP(-LN(2)/2))/(LN(2)/2)*BL40*BO40*VLOOKUP('Données projet'!$B$11,Paramètres!$A$1:$I$89,3,0)*0.475*44/12</f>
        <v>0.79201374084298604</v>
      </c>
      <c r="BS40" s="22">
        <f t="shared" si="9"/>
        <v>18.814577276571566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10.952991452991451</v>
      </c>
      <c r="BY40" s="12">
        <f>IF('Données projet'!$A$114&gt;35,BY39+BX40-CG39,IF(A40&lt;'Données projet'!$A$114,$BV$205^A40,IF(A40='Données projet'!$A$114,'Données projet'!$B$114,BY39+BX40-CG39)))</f>
        <v>189.79743589743597</v>
      </c>
      <c r="BZ40" s="13">
        <f>BY40*VLOOKUP('Données projet'!$B$12,Paramètres!$A$1:$I$89,3,0)*VLOOKUP('Données projet'!$B$12,Paramètres!$A$1:$I$89,5,0)</f>
        <v>106.09676666666671</v>
      </c>
      <c r="CA40" s="13">
        <f t="shared" si="39"/>
        <v>28.409427602727217</v>
      </c>
      <c r="CB40" s="20">
        <f t="shared" si="10"/>
        <v>234.26495501919439</v>
      </c>
      <c r="CC40" s="59">
        <f t="shared" si="11"/>
        <v>527.59828835252767</v>
      </c>
      <c r="CD40" s="59">
        <f ca="1">AVERAGE(OFFSET($CC$3,0,0,'Données projet'!$E$12+1,1))-AVERAGE(OFFSET($H$3,0,0,'Données projet'!$E$12+1,1))</f>
        <v>190.08613104982993</v>
      </c>
      <c r="CE40" s="59">
        <f t="shared" si="40"/>
        <v>180.55054525447781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15.7</v>
      </c>
      <c r="CT40" s="12">
        <f>IF('Données projet'!$A$140&gt;35,CT39+CS40-DB39,IF(A40&lt;'Données projet'!$A$140,$CQ$205^A40,IF(A40='Données projet'!$A$140,'Données projet'!$B$140,CT39+CS40-DB39)))</f>
        <v>249.89999999999998</v>
      </c>
      <c r="CU40" s="17">
        <f>CT40*VLOOKUP('Données projet'!$B$13,Paramètres!$A$1:$I$89,3,0)*VLOOKUP('Données projet'!$B$13,Paramètres!$A$1:$I$89,5,0)</f>
        <v>149.4402</v>
      </c>
      <c r="CV40" s="13">
        <f t="shared" si="41"/>
        <v>38.451341391894722</v>
      </c>
      <c r="CW40" s="20">
        <f t="shared" si="13"/>
        <v>327.24443459088332</v>
      </c>
      <c r="CX40" s="59">
        <f t="shared" si="14"/>
        <v>620.57776792421669</v>
      </c>
      <c r="CY40" s="59">
        <f ca="1">AVERAGE(OFFSET($CX$3,0,0,'Données projet'!$E$13+1,1))-AVERAGE(OFFSET($H$3,0,0,'Données projet'!$E$13+1,1))</f>
        <v>270.30888762640245</v>
      </c>
      <c r="CZ40" s="59">
        <f t="shared" si="42"/>
        <v>202.23783851977691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1.8646069792258124</v>
      </c>
      <c r="DG40" s="21">
        <f>EXP(-LN(2)/25)*DG39+(1-EXP(-LN(2)/25))/(LN(2)/25)*Calculateur!DB40*Calculateur!DD40*VLOOKUP('Données projet'!$B$13,Paramètres!$A$1:$I$89,3,0)*0.475*44/12</f>
        <v>10.126223006092326</v>
      </c>
      <c r="DH40" s="21">
        <f>EXP(-LN(2)/2)*DH39+(1-EXP(-LN(2)/2))/(LN(2)/2)*DB40*DE40*VLOOKUP('Données projet'!$B$13,Paramètres!$A$1:$I$89,3,0)*0.475*44/12</f>
        <v>1.6345311166645335</v>
      </c>
      <c r="DI40" s="22">
        <f t="shared" si="15"/>
        <v>13.625361101982671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13.1</v>
      </c>
      <c r="DO40" s="12">
        <f>IF('Données projet'!$A$166&gt;35,DO39+DN40-DW39,IF(A40&lt;'Données projet'!$A$166,$DL$205^A40,IF(A40='Données projet'!$A$166,'Données projet'!$B$166,DO39+DN40-DW39)))</f>
        <v>209.7</v>
      </c>
      <c r="DP40" s="17">
        <f>DO40*VLOOKUP('Données projet'!$B$14,Paramètres!$A$1:$I$89,3,0)*VLOOKUP('Données projet'!$B$14,Paramètres!$A$1:$I$89,5,0)</f>
        <v>125.40060000000001</v>
      </c>
      <c r="DQ40" s="13">
        <f t="shared" si="43"/>
        <v>32.93135526958843</v>
      </c>
      <c r="DR40" s="20">
        <f t="shared" si="16"/>
        <v>275.76148876119987</v>
      </c>
      <c r="DS40" s="59">
        <f t="shared" si="17"/>
        <v>569.09482209453313</v>
      </c>
      <c r="DT40" s="59">
        <f ca="1">AVERAGE(OFFSET($DS$3,0,0,'Données projet'!$E$14+1,1))-AVERAGE(OFFSET($H$3,0,0,'Données projet'!$E$14+1,1))</f>
        <v>221.14988592347311</v>
      </c>
      <c r="DU40" s="59">
        <f t="shared" si="44"/>
        <v>179.09262081171607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1.9889141111741999</v>
      </c>
      <c r="EB40" s="21">
        <f>EXP(-LN(2)/25)*EB39+(1-EXP(-LN(2)/25))/(LN(2)/25)*Calculateur!DW40*Calculateur!DY40*VLOOKUP('Données projet'!$B$14,Paramètres!$A$1:$I$89,3,0)*0.475*44/12</f>
        <v>8.4339842378073406</v>
      </c>
      <c r="EC40" s="21">
        <f>EXP(-LN(2)/2)*EC39+(1-EXP(-LN(2)/2))/(LN(2)/2)*DW40*DZ40*VLOOKUP('Données projet'!$B$14,Paramètres!$A$1:$I$89,3,0)*0.475*44/12</f>
        <v>1.7235513468169728</v>
      </c>
      <c r="ED40" s="22">
        <f t="shared" si="18"/>
        <v>12.146449695798513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12.1</v>
      </c>
      <c r="EJ40" s="12">
        <f>IF('Données projet'!$A$192&gt;35,EJ39+EI40-ER39,IF(A40&lt;'Données projet'!$A$192,$EG$205^A40,IF(A40='Données projet'!$A$192,'Données projet'!$B$192,EJ39+EI40-ER39)))</f>
        <v>234.7</v>
      </c>
      <c r="EK40" s="17">
        <f>EJ40*VLOOKUP('Données projet'!$B$15,Paramètres!$A$1:$I$89,3,0)*VLOOKUP('Données projet'!$B$15,Paramètres!$A$1:$I$89,5,0)</f>
        <v>128.14619999999999</v>
      </c>
      <c r="EL40" s="13">
        <f t="shared" si="45"/>
        <v>33.567643171710863</v>
      </c>
      <c r="EM40" s="20">
        <f t="shared" si="19"/>
        <v>281.65161019072974</v>
      </c>
      <c r="EN40" s="59">
        <f t="shared" si="20"/>
        <v>574.98494352406306</v>
      </c>
      <c r="EO40" s="59">
        <f ca="1">AVERAGE(OFFSET($EN$3,0,0,'Données projet'!$E$15+1,1))-AVERAGE(OFFSET($H$3,0,0,'Données projet'!$E$15+1,1))</f>
        <v>168.72306536277267</v>
      </c>
      <c r="EP40" s="59">
        <f t="shared" si="46"/>
        <v>203.35476578922339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2.6482823762917334</v>
      </c>
      <c r="EW40" s="21">
        <f>EXP(-LN(2)/25)*EW39+(1-EXP(-LN(2)/25))/(LN(2)/25)*Calculateur!ER40*Calculateur!ET40*VLOOKUP('Données projet'!$B$15,Paramètres!$A$1:$I$89,3,0)*0.475*44/12</f>
        <v>18.930257277306765</v>
      </c>
      <c r="EX40" s="21">
        <f>EXP(-LN(2)/2)*EX39+(1-EXP(-LN(2)/2))/(LN(2)/2)*ER40*EU40*VLOOKUP('Données projet'!$B$15,Paramètres!$A$1:$I$89,3,0)*0.475*44/12</f>
        <v>1.7698747164898305</v>
      </c>
      <c r="EY40" s="22">
        <f t="shared" si="21"/>
        <v>23.348414370088328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10.3</v>
      </c>
      <c r="FE40" s="12">
        <f>IF('Données projet'!$A$218&gt;35,FE39+FD40-FM39,IF(A40&lt;'Données projet'!$A$218,$FB$205^A40,IF(A40='Données projet'!$A$218,'Données projet'!$B$218,FE39+FD40-FM39)))</f>
        <v>197.10000000000005</v>
      </c>
      <c r="FF40" s="17">
        <f>FE40*VLOOKUP('Données projet'!$B$16,Paramètres!$A$1:$I$89,3,0)*VLOOKUP('Données projet'!$B$16,Paramètres!$A$1:$I$89,5,0)</f>
        <v>107.61660000000003</v>
      </c>
      <c r="FG40" s="13">
        <f t="shared" si="47"/>
        <v>28.768723035258084</v>
      </c>
      <c r="FH40" s="20">
        <f t="shared" si="22"/>
        <v>237.53777095307456</v>
      </c>
      <c r="FI40" s="59">
        <f t="shared" si="23"/>
        <v>530.8711042864079</v>
      </c>
      <c r="FJ40" s="59">
        <f ca="1">AVERAGE(OFFSET($FI$3,0,0,'Données projet'!$E$16+1,1))-AVERAGE(OFFSET($H$3,0,0,'Données projet'!$E$16+1,1))</f>
        <v>127.76128532861486</v>
      </c>
      <c r="FK40" s="59">
        <f t="shared" si="48"/>
        <v>157.52303491639736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>
        <f>EXP(-LN(2)/35)*FQ39+(1-EXP(-LN(2)/35))/(LN(2)/35)*FM40*FN40*VLOOKUP('Données projet'!$B$16,Paramètres!$A$1:$I$89,3,0)*0.475*44/12</f>
        <v>2.1186259010333859</v>
      </c>
      <c r="FR40" s="21">
        <f>EXP(-LN(2)/25)*FR39+(1-EXP(-LN(2)/25))/(LN(2)/25)*Calculateur!FM40*Calculateur!FO40*VLOOKUP('Données projet'!$B$16,Paramètres!$A$1:$I$89,3,0)*0.475*44/12</f>
        <v>13.442051061204991</v>
      </c>
      <c r="FS40" s="21">
        <f>EXP(-LN(2)/2)*FS39+(1-EXP(-LN(2)/2))/(LN(2)/2)*FM40*FP40*VLOOKUP('Données projet'!$B$16,Paramètres!$A$1:$I$89,3,0)*0.475*44/12</f>
        <v>1.4051422134100162</v>
      </c>
      <c r="FT40" s="22">
        <f t="shared" si="24"/>
        <v>16.965819175648392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5.3369963369963358</v>
      </c>
      <c r="N41" s="13">
        <f>IF('Données projet'!$A$36&gt;35,N40+M41-V40,IF(A41&lt;'Données projet'!$A$36,$K$205^A41,IF(A41='Données projet'!$A$36,'Données projet'!$B$36,N40+M41-V40)))</f>
        <v>130.40109890109889</v>
      </c>
      <c r="O41" s="13">
        <f>N41*VLOOKUP('Données projet'!$B$9,Paramètres!$A$1:$I$89,3,0)*VLOOKUP('Données projet'!$B$9,Paramètres!$A$1:$I$89,5,0)</f>
        <v>117.98691428571428</v>
      </c>
      <c r="P41" s="13">
        <f t="shared" si="33"/>
        <v>31.205018808985951</v>
      </c>
      <c r="Q41" s="20">
        <f t="shared" si="53"/>
        <v>259.8426168066029</v>
      </c>
      <c r="R41" s="59">
        <f t="shared" si="0"/>
        <v>553.17595013993628</v>
      </c>
      <c r="S41" s="59">
        <f ca="1">AVERAGE(OFFSET($R$3,0,0,'Données projet'!$E$9+1,1))-AVERAGE(OFFSET($H$3,0,0,'Données projet'!$E$9+1,1))</f>
        <v>153.45079678708987</v>
      </c>
      <c r="T41" s="59">
        <f t="shared" si="34"/>
        <v>115.4217868409637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3.5192307692307692</v>
      </c>
      <c r="AI41" s="13">
        <f>IF('Données projet'!$A$62&gt;35,AI40+AH41-AQ40,IF(A41&lt;'Données projet'!$A$62,$AF$205^A41,IF(A41='Données projet'!$A$62,'Données projet'!$B$62,AI40+AH41-AQ40)))</f>
        <v>84.897435897435912</v>
      </c>
      <c r="AJ41" s="13">
        <f>AI41*VLOOKUP('Données projet'!$B$10,Paramètres!$A$1:$I$89,3,0)*VLOOKUP('Données projet'!$B$10,Paramètres!$A$1:$I$89,5,0)</f>
        <v>76.815200000000019</v>
      </c>
      <c r="AK41" s="13">
        <f t="shared" si="35"/>
        <v>21.356652462782154</v>
      </c>
      <c r="AL41" s="20">
        <f t="shared" si="4"/>
        <v>170.98264303934559</v>
      </c>
      <c r="AM41" s="59">
        <f t="shared" si="5"/>
        <v>464.3159763726789</v>
      </c>
      <c r="AN41" s="59">
        <f ca="1">AVERAGE(OFFSET($AM$3,0,0,'Données projet'!$E$10+1,1))-AVERAGE(OFFSET($H$3,0,0,'Données projet'!$E$10+1,1))</f>
        <v>123.92486590666675</v>
      </c>
      <c r="AO41" s="59">
        <f t="shared" si="36"/>
        <v>54.404493017418986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18.229670329670324</v>
      </c>
      <c r="BD41" s="12">
        <f>IF('Données projet'!$A$88&gt;35,BD40+BC41-BL40,IF(A41&lt;'Données projet'!$A$88,$BA$205^A41,IF(A41='Données projet'!$A$88,'Données projet'!$B$88,BD40+BC41-BL40)))</f>
        <v>289.68131868131871</v>
      </c>
      <c r="BE41" s="13">
        <f>BD41*VLOOKUP('Données projet'!$B$11,Paramètres!$A$1:$I$89,3,0)*VLOOKUP('Données projet'!$B$11,Paramètres!$A$1:$I$89,5,0)</f>
        <v>161.93185714285718</v>
      </c>
      <c r="BF41" s="13">
        <f t="shared" si="37"/>
        <v>41.277946347593272</v>
      </c>
      <c r="BG41" s="20">
        <f t="shared" si="7"/>
        <v>353.92374107920119</v>
      </c>
      <c r="BH41" s="59">
        <f t="shared" si="8"/>
        <v>647.25707441253451</v>
      </c>
      <c r="BI41" s="59">
        <f ca="1">AVERAGE(OFFSET($BH$3,0,0,'Données projet'!$E$11+1,1))-AVERAGE(OFFSET($H$3,0,0,'Données projet'!$E$11+1,1))</f>
        <v>224.7049802939942</v>
      </c>
      <c r="BJ41" s="59">
        <f t="shared" si="38"/>
        <v>203.48513862195352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1.9042499753506903</v>
      </c>
      <c r="BQ41" s="21">
        <f>EXP(-LN(2)/25)*BQ40+(1-EXP(-LN(2)/25))/(LN(2)/25)*Calculateur!BL41*Calculateur!BN41*VLOOKUP('Données projet'!$B$11,Paramètres!$A$1:$I$89,3,0)*0.475*44/12</f>
        <v>15.640510884316599</v>
      </c>
      <c r="BR41" s="21">
        <f>EXP(-LN(2)/2)*BR40+(1-EXP(-LN(2)/2))/(LN(2)/2)*BL41*BO41*VLOOKUP('Données projet'!$B$11,Paramètres!$A$1:$I$89,3,0)*0.475*44/12</f>
        <v>0.56003828694300029</v>
      </c>
      <c r="BS41" s="22">
        <f t="shared" si="9"/>
        <v>18.10479914661029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10.952991452991451</v>
      </c>
      <c r="BY41" s="12">
        <f>IF('Données projet'!$A$114&gt;35,BY40+BX41-CG40,IF(A41&lt;'Données projet'!$A$114,$BV$205^A41,IF(A41='Données projet'!$A$114,'Données projet'!$B$114,BY40+BX41-CG40)))</f>
        <v>200.75042735042743</v>
      </c>
      <c r="BZ41" s="13">
        <f>BY41*VLOOKUP('Données projet'!$B$12,Paramètres!$A$1:$I$89,3,0)*VLOOKUP('Données projet'!$B$12,Paramètres!$A$1:$I$89,5,0)</f>
        <v>112.21948888888893</v>
      </c>
      <c r="CA41" s="13">
        <f t="shared" si="39"/>
        <v>29.853303947073364</v>
      </c>
      <c r="CB41" s="20">
        <f t="shared" si="10"/>
        <v>247.44344752263433</v>
      </c>
      <c r="CC41" s="59">
        <f t="shared" si="11"/>
        <v>540.77678085596767</v>
      </c>
      <c r="CD41" s="59">
        <f ca="1">AVERAGE(OFFSET($CC$3,0,0,'Données projet'!$E$12+1,1))-AVERAGE(OFFSET($H$3,0,0,'Données projet'!$E$12+1,1))</f>
        <v>190.08613104982993</v>
      </c>
      <c r="CE41" s="59">
        <f t="shared" si="40"/>
        <v>180.55054525447781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15.7</v>
      </c>
      <c r="CT41" s="12">
        <f>IF('Données projet'!$A$140&gt;35,CT40+CS41-DB40,IF(A41&lt;'Données projet'!$A$140,$CQ$205^A41,IF(A41='Données projet'!$A$140,'Données projet'!$B$140,CT40+CS41-DB40)))</f>
        <v>265.59999999999997</v>
      </c>
      <c r="CU41" s="17">
        <f>CT41*VLOOKUP('Données projet'!$B$13,Paramètres!$A$1:$I$89,3,0)*VLOOKUP('Données projet'!$B$13,Paramètres!$A$1:$I$89,5,0)</f>
        <v>158.8288</v>
      </c>
      <c r="CV41" s="13">
        <f t="shared" si="41"/>
        <v>40.578235128063156</v>
      </c>
      <c r="CW41" s="20">
        <f t="shared" si="13"/>
        <v>347.30058618137667</v>
      </c>
      <c r="CX41" s="59">
        <f t="shared" si="14"/>
        <v>640.63391951470999</v>
      </c>
      <c r="CY41" s="59">
        <f ca="1">AVERAGE(OFFSET($CX$3,0,0,'Données projet'!$E$13+1,1))-AVERAGE(OFFSET($H$3,0,0,'Données projet'!$E$13+1,1))</f>
        <v>270.30888762640245</v>
      </c>
      <c r="CZ41" s="59">
        <f t="shared" si="42"/>
        <v>202.23783851977691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1.8280431736611527</v>
      </c>
      <c r="DG41" s="21">
        <f>EXP(-LN(2)/25)*DG40+(1-EXP(-LN(2)/25))/(LN(2)/25)*Calculateur!DB41*Calculateur!DD41*VLOOKUP('Données projet'!$B$13,Paramètres!$A$1:$I$89,3,0)*0.475*44/12</f>
        <v>9.8493209054758069</v>
      </c>
      <c r="DH41" s="21">
        <f>EXP(-LN(2)/2)*DH40+(1-EXP(-LN(2)/2))/(LN(2)/2)*DB41*DE41*VLOOKUP('Données projet'!$B$13,Paramètres!$A$1:$I$89,3,0)*0.475*44/12</f>
        <v>1.1557880366539115</v>
      </c>
      <c r="DI41" s="22">
        <f t="shared" si="15"/>
        <v>12.83315211579087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13.1</v>
      </c>
      <c r="DO41" s="12">
        <f>IF('Données projet'!$A$166&gt;35,DO40+DN41-DW40,IF(A41&lt;'Données projet'!$A$166,$DL$205^A41,IF(A41='Données projet'!$A$166,'Données projet'!$B$166,DO40+DN41-DW40)))</f>
        <v>222.79999999999998</v>
      </c>
      <c r="DP41" s="17">
        <f>DO41*VLOOKUP('Données projet'!$B$14,Paramètres!$A$1:$I$89,3,0)*VLOOKUP('Données projet'!$B$14,Paramètres!$A$1:$I$89,5,0)</f>
        <v>133.23439999999999</v>
      </c>
      <c r="DQ41" s="13">
        <f t="shared" si="43"/>
        <v>34.742661887200939</v>
      </c>
      <c r="DR41" s="20">
        <f t="shared" si="16"/>
        <v>292.56004945354158</v>
      </c>
      <c r="DS41" s="59">
        <f t="shared" si="17"/>
        <v>585.89338278687489</v>
      </c>
      <c r="DT41" s="59">
        <f ca="1">AVERAGE(OFFSET($DS$3,0,0,'Données projet'!$E$14+1,1))-AVERAGE(OFFSET($H$3,0,0,'Données projet'!$E$14+1,1))</f>
        <v>221.14988592347311</v>
      </c>
      <c r="DU41" s="59">
        <f t="shared" si="44"/>
        <v>179.09262081171607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1.9499127185718963</v>
      </c>
      <c r="EB41" s="21">
        <f>EXP(-LN(2)/25)*EB40+(1-EXP(-LN(2)/25))/(LN(2)/25)*Calculateur!DW41*Calculateur!DY41*VLOOKUP('Données projet'!$B$14,Paramètres!$A$1:$I$89,3,0)*0.475*44/12</f>
        <v>8.2033564953005431</v>
      </c>
      <c r="EC41" s="21">
        <f>EXP(-LN(2)/2)*EC40+(1-EXP(-LN(2)/2))/(LN(2)/2)*DW41*DZ41*VLOOKUP('Données projet'!$B$14,Paramètres!$A$1:$I$89,3,0)*0.475*44/12</f>
        <v>1.2187348450574884</v>
      </c>
      <c r="ED41" s="22">
        <f t="shared" si="18"/>
        <v>11.372004058929928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12.1</v>
      </c>
      <c r="EJ41" s="12">
        <f>IF('Données projet'!$A$192&gt;35,EJ40+EI41-ER40,IF(A41&lt;'Données projet'!$A$192,$EG$205^A41,IF(A41='Données projet'!$A$192,'Données projet'!$B$192,EJ40+EI41-ER40)))</f>
        <v>246.79999999999998</v>
      </c>
      <c r="EK41" s="17">
        <f>EJ41*VLOOKUP('Données projet'!$B$15,Paramètres!$A$1:$I$89,3,0)*VLOOKUP('Données projet'!$B$15,Paramètres!$A$1:$I$89,5,0)</f>
        <v>134.75280000000001</v>
      </c>
      <c r="EL41" s="13">
        <f t="shared" si="45"/>
        <v>35.092286247742877</v>
      </c>
      <c r="EM41" s="20">
        <f t="shared" si="19"/>
        <v>295.81352521481881</v>
      </c>
      <c r="EN41" s="59">
        <f t="shared" si="20"/>
        <v>589.14685854815207</v>
      </c>
      <c r="EO41" s="59">
        <f ca="1">AVERAGE(OFFSET($EN$3,0,0,'Données projet'!$E$15+1,1))-AVERAGE(OFFSET($H$3,0,0,'Données projet'!$E$15+1,1))</f>
        <v>168.72306536277267</v>
      </c>
      <c r="EP41" s="59">
        <f t="shared" si="46"/>
        <v>203.35476578922339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2.5963511741854051</v>
      </c>
      <c r="EW41" s="21">
        <f>EXP(-LN(2)/25)*EW40+(1-EXP(-LN(2)/25))/(LN(2)/25)*Calculateur!ER41*Calculateur!ET41*VLOOKUP('Données projet'!$B$15,Paramètres!$A$1:$I$89,3,0)*0.475*44/12</f>
        <v>18.412608396559847</v>
      </c>
      <c r="EX41" s="21">
        <f>EXP(-LN(2)/2)*EX40+(1-EXP(-LN(2)/2))/(LN(2)/2)*ER41*EU41*VLOOKUP('Données projet'!$B$15,Paramètres!$A$1:$I$89,3,0)*0.475*44/12</f>
        <v>1.2514904138805776</v>
      </c>
      <c r="EY41" s="22">
        <f t="shared" si="21"/>
        <v>22.260449984625829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10.3</v>
      </c>
      <c r="FE41" s="12">
        <f>IF('Données projet'!$A$218&gt;35,FE40+FD41-FM40,IF(A41&lt;'Données projet'!$A$218,$FB$205^A41,IF(A41='Données projet'!$A$218,'Données projet'!$B$218,FE40+FD41-FM40)))</f>
        <v>207.40000000000006</v>
      </c>
      <c r="FF41" s="17">
        <f>FE41*VLOOKUP('Données projet'!$B$16,Paramètres!$A$1:$I$89,3,0)*VLOOKUP('Données projet'!$B$16,Paramètres!$A$1:$I$89,5,0)</f>
        <v>113.24040000000002</v>
      </c>
      <c r="FG41" s="13">
        <f t="shared" si="47"/>
        <v>30.093153283749206</v>
      </c>
      <c r="FH41" s="20">
        <f t="shared" si="22"/>
        <v>249.63927196919659</v>
      </c>
      <c r="FI41" s="59">
        <f t="shared" si="23"/>
        <v>542.97260530252993</v>
      </c>
      <c r="FJ41" s="59">
        <f ca="1">AVERAGE(OFFSET($FI$3,0,0,'Données projet'!$E$16+1,1))-AVERAGE(OFFSET($H$3,0,0,'Données projet'!$E$16+1,1))</f>
        <v>127.76128532861486</v>
      </c>
      <c r="FK41" s="59">
        <f t="shared" si="48"/>
        <v>157.52303491639736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>
        <f>EXP(-LN(2)/35)*FQ40+(1-EXP(-LN(2)/35))/(LN(2)/35)*FM41*FN41*VLOOKUP('Données projet'!$B$16,Paramètres!$A$1:$I$89,3,0)*0.475*44/12</f>
        <v>2.0770809393483232</v>
      </c>
      <c r="FR41" s="21">
        <f>EXP(-LN(2)/25)*FR40+(1-EXP(-LN(2)/25))/(LN(2)/25)*Calculateur!FM41*Calculateur!FO41*VLOOKUP('Données projet'!$B$16,Paramètres!$A$1:$I$89,3,0)*0.475*44/12</f>
        <v>13.074477468049597</v>
      </c>
      <c r="FS41" s="21">
        <f>EXP(-LN(2)/2)*FS40+(1-EXP(-LN(2)/2))/(LN(2)/2)*FM41*FP41*VLOOKUP('Données projet'!$B$16,Paramètres!$A$1:$I$89,3,0)*0.475*44/12</f>
        <v>0.99358558763369742</v>
      </c>
      <c r="FT41" s="22">
        <f t="shared" si="24"/>
        <v>16.145143995031617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5.3369963369963358</v>
      </c>
      <c r="N42" s="13">
        <f>IF('Données projet'!$A$36&gt;35,N41+M42-V41,IF(A42&lt;'Données projet'!$A$36,$K$205^A42,IF(A42='Données projet'!$A$36,'Données projet'!$B$36,N41+M42-V41)))</f>
        <v>135.73809523809524</v>
      </c>
      <c r="O42" s="13">
        <f>N42*VLOOKUP('Données projet'!$B$9,Paramètres!$A$1:$I$89,3,0)*VLOOKUP('Données projet'!$B$9,Paramètres!$A$1:$I$89,5,0)</f>
        <v>122.81582857142857</v>
      </c>
      <c r="P42" s="13">
        <f t="shared" si="33"/>
        <v>32.330855900842984</v>
      </c>
      <c r="Q42" s="20">
        <f t="shared" si="53"/>
        <v>270.21380878920627</v>
      </c>
      <c r="R42" s="59">
        <f t="shared" si="0"/>
        <v>563.54714212253953</v>
      </c>
      <c r="S42" s="59">
        <f ca="1">AVERAGE(OFFSET($R$3,0,0,'Données projet'!$E$9+1,1))-AVERAGE(OFFSET($H$3,0,0,'Données projet'!$E$9+1,1))</f>
        <v>153.45079678708987</v>
      </c>
      <c r="T42" s="59">
        <f t="shared" si="34"/>
        <v>115.4217868409637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3.5192307692307692</v>
      </c>
      <c r="AI42" s="13">
        <f>IF('Données projet'!$A$62&gt;35,AI41+AH42-AQ41,IF(A42&lt;'Données projet'!$A$62,$AF$205^A42,IF(A42='Données projet'!$A$62,'Données projet'!$B$62,AI41+AH42-AQ41)))</f>
        <v>88.416666666666686</v>
      </c>
      <c r="AJ42" s="13">
        <f>AI42*VLOOKUP('Données projet'!$B$10,Paramètres!$A$1:$I$89,3,0)*VLOOKUP('Données projet'!$B$10,Paramètres!$A$1:$I$89,5,0)</f>
        <v>79.999400000000009</v>
      </c>
      <c r="AK42" s="13">
        <f t="shared" si="35"/>
        <v>22.137037425478091</v>
      </c>
      <c r="AL42" s="20">
        <f t="shared" si="4"/>
        <v>177.88762851604102</v>
      </c>
      <c r="AM42" s="59">
        <f t="shared" si="5"/>
        <v>471.22096184937436</v>
      </c>
      <c r="AN42" s="59">
        <f ca="1">AVERAGE(OFFSET($AM$3,0,0,'Données projet'!$E$10+1,1))-AVERAGE(OFFSET($H$3,0,0,'Données projet'!$E$10+1,1))</f>
        <v>123.92486590666675</v>
      </c>
      <c r="AO42" s="59">
        <f t="shared" si="36"/>
        <v>54.404493017418986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18.229670329670324</v>
      </c>
      <c r="BD42" s="12">
        <f>IF('Données projet'!$A$88&gt;35,BD41+BC42-BL41,IF(A42&lt;'Données projet'!$A$88,$BA$205^A42,IF(A42='Données projet'!$A$88,'Données projet'!$B$88,BD41+BC42-BL41)))</f>
        <v>307.91098901098906</v>
      </c>
      <c r="BE42" s="13">
        <f>BD42*VLOOKUP('Données projet'!$B$11,Paramètres!$A$1:$I$89,3,0)*VLOOKUP('Données projet'!$B$11,Paramètres!$A$1:$I$89,5,0)</f>
        <v>172.12224285714288</v>
      </c>
      <c r="BF42" s="13">
        <f t="shared" si="37"/>
        <v>43.564991640658711</v>
      </c>
      <c r="BG42" s="20">
        <f t="shared" si="7"/>
        <v>375.65526675033772</v>
      </c>
      <c r="BH42" s="59">
        <f t="shared" si="8"/>
        <v>668.98860008367103</v>
      </c>
      <c r="BI42" s="59">
        <f ca="1">AVERAGE(OFFSET($BH$3,0,0,'Données projet'!$E$11+1,1))-AVERAGE(OFFSET($H$3,0,0,'Données projet'!$E$11+1,1))</f>
        <v>224.7049802939942</v>
      </c>
      <c r="BJ42" s="59">
        <f t="shared" si="38"/>
        <v>203.48513862195352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1.8669087948118619</v>
      </c>
      <c r="BQ42" s="21">
        <f>EXP(-LN(2)/25)*BQ41+(1-EXP(-LN(2)/25))/(LN(2)/25)*Calculateur!BL42*Calculateur!BN42*VLOOKUP('Données projet'!$B$11,Paramètres!$A$1:$I$89,3,0)*0.475*44/12</f>
        <v>15.212820291686242</v>
      </c>
      <c r="BR42" s="21">
        <f>EXP(-LN(2)/2)*BR41+(1-EXP(-LN(2)/2))/(LN(2)/2)*BL42*BO42*VLOOKUP('Données projet'!$B$11,Paramètres!$A$1:$I$89,3,0)*0.475*44/12</f>
        <v>0.39600687042149302</v>
      </c>
      <c r="BS42" s="22">
        <f t="shared" si="9"/>
        <v>17.4757359569196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10.952991452991451</v>
      </c>
      <c r="BY42" s="12">
        <f>IF('Données projet'!$A$114&gt;35,BY41+BX42-CG41,IF(A42&lt;'Données projet'!$A$114,$BV$205^A42,IF(A42='Données projet'!$A$114,'Données projet'!$B$114,BY41+BX42-CG41)))</f>
        <v>211.70341880341888</v>
      </c>
      <c r="BZ42" s="13">
        <f>BY42*VLOOKUP('Données projet'!$B$12,Paramètres!$A$1:$I$89,3,0)*VLOOKUP('Données projet'!$B$12,Paramètres!$A$1:$I$89,5,0)</f>
        <v>118.34221111111117</v>
      </c>
      <c r="CA42" s="13">
        <f t="shared" si="39"/>
        <v>31.288034770854026</v>
      </c>
      <c r="CB42" s="20">
        <f t="shared" si="10"/>
        <v>260.60601157775602</v>
      </c>
      <c r="CC42" s="59">
        <f t="shared" si="11"/>
        <v>553.93934491108939</v>
      </c>
      <c r="CD42" s="59">
        <f ca="1">AVERAGE(OFFSET($CC$3,0,0,'Données projet'!$E$12+1,1))-AVERAGE(OFFSET($H$3,0,0,'Données projet'!$E$12+1,1))</f>
        <v>190.08613104982993</v>
      </c>
      <c r="CE42" s="59">
        <f t="shared" si="40"/>
        <v>180.55054525447781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15.7</v>
      </c>
      <c r="CT42" s="12">
        <f>IF('Données projet'!$A$140&gt;35,CT41+CS42-DB41,IF(A42&lt;'Données projet'!$A$140,$CQ$205^A42,IF(A42='Données projet'!$A$140,'Données projet'!$B$140,CT41+CS42-DB41)))</f>
        <v>281.29999999999995</v>
      </c>
      <c r="CU42" s="17">
        <f>CT42*VLOOKUP('Données projet'!$B$13,Paramètres!$A$1:$I$89,3,0)*VLOOKUP('Données projet'!$B$13,Paramètres!$A$1:$I$89,5,0)</f>
        <v>168.2174</v>
      </c>
      <c r="CV42" s="13">
        <f t="shared" si="41"/>
        <v>42.690535879167591</v>
      </c>
      <c r="CW42" s="20">
        <f t="shared" si="13"/>
        <v>367.33132165621686</v>
      </c>
      <c r="CX42" s="59">
        <f t="shared" si="14"/>
        <v>660.66465498955017</v>
      </c>
      <c r="CY42" s="59">
        <f ca="1">AVERAGE(OFFSET($CX$3,0,0,'Données projet'!$E$13+1,1))-AVERAGE(OFFSET($H$3,0,0,'Données projet'!$E$13+1,1))</f>
        <v>270.30888762640245</v>
      </c>
      <c r="CZ42" s="59">
        <f t="shared" si="42"/>
        <v>202.23783851977691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1.7921963620218966</v>
      </c>
      <c r="DG42" s="21">
        <f>EXP(-LN(2)/25)*DG41+(1-EXP(-LN(2)/25))/(LN(2)/25)*Calculateur!DB42*Calculateur!DD42*VLOOKUP('Données projet'!$B$13,Paramètres!$A$1:$I$89,3,0)*0.475*44/12</f>
        <v>9.5799907073622954</v>
      </c>
      <c r="DH42" s="21">
        <f>EXP(-LN(2)/2)*DH41+(1-EXP(-LN(2)/2))/(LN(2)/2)*DB42*DE42*VLOOKUP('Données projet'!$B$13,Paramètres!$A$1:$I$89,3,0)*0.475*44/12</f>
        <v>0.81726555833226677</v>
      </c>
      <c r="DI42" s="22">
        <f t="shared" si="15"/>
        <v>12.189452627716459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13.1</v>
      </c>
      <c r="DO42" s="12">
        <f>IF('Données projet'!$A$166&gt;35,DO41+DN42-DW41,IF(A42&lt;'Données projet'!$A$166,$DL$205^A42,IF(A42='Données projet'!$A$166,'Données projet'!$B$166,DO41+DN42-DW41)))</f>
        <v>235.89999999999998</v>
      </c>
      <c r="DP42" s="17">
        <f>DO42*VLOOKUP('Données projet'!$B$14,Paramètres!$A$1:$I$89,3,0)*VLOOKUP('Données projet'!$B$14,Paramètres!$A$1:$I$89,5,0)</f>
        <v>141.06819999999999</v>
      </c>
      <c r="DQ42" s="13">
        <f t="shared" si="43"/>
        <v>36.541606754936076</v>
      </c>
      <c r="DR42" s="20">
        <f t="shared" si="16"/>
        <v>309.33708009818031</v>
      </c>
      <c r="DS42" s="59">
        <f t="shared" si="17"/>
        <v>602.67041343151368</v>
      </c>
      <c r="DT42" s="59">
        <f ca="1">AVERAGE(OFFSET($DS$3,0,0,'Données projet'!$E$14+1,1))-AVERAGE(OFFSET($H$3,0,0,'Données projet'!$E$14+1,1))</f>
        <v>221.14988592347311</v>
      </c>
      <c r="DU42" s="59">
        <f t="shared" si="44"/>
        <v>179.09262081171607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1.9116761194900231</v>
      </c>
      <c r="EB42" s="21">
        <f>EXP(-LN(2)/25)*EB41+(1-EXP(-LN(2)/25))/(LN(2)/25)*Calculateur!DW42*Calculateur!DY42*VLOOKUP('Données projet'!$B$14,Paramètres!$A$1:$I$89,3,0)*0.475*44/12</f>
        <v>7.9790352805407805</v>
      </c>
      <c r="EC42" s="21">
        <f>EXP(-LN(2)/2)*EC41+(1-EXP(-LN(2)/2))/(LN(2)/2)*DW42*DZ42*VLOOKUP('Données projet'!$B$14,Paramètres!$A$1:$I$89,3,0)*0.475*44/12</f>
        <v>0.86177567340848638</v>
      </c>
      <c r="ED42" s="22">
        <f t="shared" si="18"/>
        <v>10.752487073439289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12.1</v>
      </c>
      <c r="EJ42" s="12">
        <f>IF('Données projet'!$A$192&gt;35,EJ41+EI42-ER41,IF(A42&lt;'Données projet'!$A$192,$EG$205^A42,IF(A42='Données projet'!$A$192,'Données projet'!$B$192,EJ41+EI42-ER41)))</f>
        <v>258.89999999999998</v>
      </c>
      <c r="EK42" s="17">
        <f>EJ42*VLOOKUP('Données projet'!$B$15,Paramètres!$A$1:$I$89,3,0)*VLOOKUP('Données projet'!$B$15,Paramètres!$A$1:$I$89,5,0)</f>
        <v>141.35939999999999</v>
      </c>
      <c r="EL42" s="13">
        <f t="shared" si="45"/>
        <v>36.60824958838036</v>
      </c>
      <c r="EM42" s="20">
        <f t="shared" si="19"/>
        <v>309.96032303309579</v>
      </c>
      <c r="EN42" s="59">
        <f t="shared" si="20"/>
        <v>603.2936563664291</v>
      </c>
      <c r="EO42" s="59">
        <f ca="1">AVERAGE(OFFSET($EN$3,0,0,'Données projet'!$E$15+1,1))-AVERAGE(OFFSET($H$3,0,0,'Données projet'!$E$15+1,1))</f>
        <v>168.72306536277267</v>
      </c>
      <c r="EP42" s="59">
        <f t="shared" si="46"/>
        <v>203.35476578922339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2.5454383112774761</v>
      </c>
      <c r="EW42" s="21">
        <f>EXP(-LN(2)/25)*EW41+(1-EXP(-LN(2)/25))/(LN(2)/25)*Calculateur!ER42*Calculateur!ET42*VLOOKUP('Données projet'!$B$15,Paramètres!$A$1:$I$89,3,0)*0.475*44/12</f>
        <v>17.909114651678927</v>
      </c>
      <c r="EX42" s="21">
        <f>EXP(-LN(2)/2)*EX41+(1-EXP(-LN(2)/2))/(LN(2)/2)*ER42*EU42*VLOOKUP('Données projet'!$B$15,Paramètres!$A$1:$I$89,3,0)*0.475*44/12</f>
        <v>0.88493735824491548</v>
      </c>
      <c r="EY42" s="22">
        <f t="shared" si="21"/>
        <v>21.339490321201318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10.3</v>
      </c>
      <c r="FE42" s="12">
        <f>IF('Données projet'!$A$218&gt;35,FE41+FD42-FM41,IF(A42&lt;'Données projet'!$A$218,$FB$205^A42,IF(A42='Données projet'!$A$218,'Données projet'!$B$218,FE41+FD42-FM41)))</f>
        <v>217.70000000000007</v>
      </c>
      <c r="FF42" s="17">
        <f>FE42*VLOOKUP('Données projet'!$B$16,Paramètres!$A$1:$I$89,3,0)*VLOOKUP('Données projet'!$B$16,Paramètres!$A$1:$I$89,5,0)</f>
        <v>118.86420000000004</v>
      </c>
      <c r="FG42" s="13">
        <f t="shared" si="47"/>
        <v>31.409946152197506</v>
      </c>
      <c r="FH42" s="20">
        <f t="shared" si="22"/>
        <v>261.7274712150774</v>
      </c>
      <c r="FI42" s="59">
        <f t="shared" si="23"/>
        <v>555.06080454841072</v>
      </c>
      <c r="FJ42" s="59">
        <f ca="1">AVERAGE(OFFSET($FI$3,0,0,'Données projet'!$E$16+1,1))-AVERAGE(OFFSET($H$3,0,0,'Données projet'!$E$16+1,1))</f>
        <v>127.76128532861486</v>
      </c>
      <c r="FK42" s="59">
        <f t="shared" si="48"/>
        <v>157.52303491639736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>
        <f>EXP(-LN(2)/35)*FQ41+(1-EXP(-LN(2)/35))/(LN(2)/35)*FM42*FN42*VLOOKUP('Données projet'!$B$16,Paramètres!$A$1:$I$89,3,0)*0.475*44/12</f>
        <v>2.0363506490219803</v>
      </c>
      <c r="FR42" s="21">
        <f>EXP(-LN(2)/25)*FR41+(1-EXP(-LN(2)/25))/(LN(2)/25)*Calculateur!FM42*Calculateur!FO42*VLOOKUP('Données projet'!$B$16,Paramètres!$A$1:$I$89,3,0)*0.475*44/12</f>
        <v>12.716955194128893</v>
      </c>
      <c r="FS42" s="21">
        <f>EXP(-LN(2)/2)*FS41+(1-EXP(-LN(2)/2))/(LN(2)/2)*FM42*FP42*VLOOKUP('Données projet'!$B$16,Paramètres!$A$1:$I$89,3,0)*0.475*44/12</f>
        <v>0.70257110670500822</v>
      </c>
      <c r="FT42" s="22">
        <f t="shared" si="24"/>
        <v>15.455876949855881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5.3369963369963358</v>
      </c>
      <c r="N43" s="13">
        <f>IF('Données projet'!$A$36&gt;35,N42+M43-V42,IF(A43&lt;'Données projet'!$A$36,$K$205^A43,IF(A43='Données projet'!$A$36,'Données projet'!$B$36,N42+M43-V42)))</f>
        <v>141.07509157509156</v>
      </c>
      <c r="O43" s="13">
        <f>N43*VLOOKUP('Données projet'!$B$9,Paramètres!$A$1:$I$89,3,0)*VLOOKUP('Données projet'!$B$9,Paramètres!$A$1:$I$89,5,0)</f>
        <v>127.64474285714284</v>
      </c>
      <c r="P43" s="13">
        <f t="shared" si="33"/>
        <v>33.451550798682433</v>
      </c>
      <c r="Q43" s="20">
        <f t="shared" si="53"/>
        <v>280.57604478389567</v>
      </c>
      <c r="R43" s="59">
        <f t="shared" si="0"/>
        <v>573.90937811722893</v>
      </c>
      <c r="S43" s="59">
        <f ca="1">AVERAGE(OFFSET($R$3,0,0,'Données projet'!$E$9+1,1))-AVERAGE(OFFSET($H$3,0,0,'Données projet'!$E$9+1,1))</f>
        <v>153.45079678708987</v>
      </c>
      <c r="T43" s="59">
        <f t="shared" si="34"/>
        <v>115.4217868409637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3.5192307692307692</v>
      </c>
      <c r="AI43" s="13">
        <f>IF('Données projet'!$A$62&gt;35,AI42+AH43-AQ42,IF(A43&lt;'Données projet'!$A$62,$AF$205^A43,IF(A43='Données projet'!$A$62,'Données projet'!$B$62,AI42+AH43-AQ42)))</f>
        <v>91.935897435897459</v>
      </c>
      <c r="AJ43" s="13">
        <f>AI43*VLOOKUP('Données projet'!$B$10,Paramètres!$A$1:$I$89,3,0)*VLOOKUP('Données projet'!$B$10,Paramètres!$A$1:$I$89,5,0)</f>
        <v>83.183600000000013</v>
      </c>
      <c r="AK43" s="13">
        <f t="shared" si="35"/>
        <v>22.913814185321868</v>
      </c>
      <c r="AL43" s="20">
        <f t="shared" si="4"/>
        <v>184.78632970610226</v>
      </c>
      <c r="AM43" s="59">
        <f t="shared" si="5"/>
        <v>478.11966303943558</v>
      </c>
      <c r="AN43" s="59">
        <f ca="1">AVERAGE(OFFSET($AM$3,0,0,'Données projet'!$E$10+1,1))-AVERAGE(OFFSET($H$3,0,0,'Données projet'!$E$10+1,1))</f>
        <v>123.92486590666675</v>
      </c>
      <c r="AO43" s="59">
        <f t="shared" si="36"/>
        <v>54.404493017418986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18.229670329670324</v>
      </c>
      <c r="BD43" s="12">
        <f>IF('Données projet'!$A$88&gt;35,BD42+BC43-BL42,IF(A43&lt;'Données projet'!$A$88,$BA$205^A43,IF(A43='Données projet'!$A$88,'Données projet'!$B$88,BD42+BC43-BL42)))</f>
        <v>326.1406593406594</v>
      </c>
      <c r="BE43" s="13">
        <f>BD43*VLOOKUP('Données projet'!$B$11,Paramètres!$A$1:$I$89,3,0)*VLOOKUP('Données projet'!$B$11,Paramètres!$A$1:$I$89,5,0)</f>
        <v>182.31262857142863</v>
      </c>
      <c r="BF43" s="13">
        <f t="shared" si="37"/>
        <v>45.836320512875446</v>
      </c>
      <c r="BG43" s="20">
        <f t="shared" si="7"/>
        <v>397.35941965516298</v>
      </c>
      <c r="BH43" s="59">
        <f t="shared" si="8"/>
        <v>690.6927529884963</v>
      </c>
      <c r="BI43" s="59">
        <f ca="1">AVERAGE(OFFSET($BH$3,0,0,'Données projet'!$E$11+1,1))-AVERAGE(OFFSET($H$3,0,0,'Données projet'!$E$11+1,1))</f>
        <v>224.7049802939942</v>
      </c>
      <c r="BJ43" s="59">
        <f t="shared" si="38"/>
        <v>203.48513862195352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1.8302998520475287</v>
      </c>
      <c r="BQ43" s="21">
        <f>EXP(-LN(2)/25)*BQ42+(1-EXP(-LN(2)/25))/(LN(2)/25)*Calculateur!BL43*Calculateur!BN43*VLOOKUP('Données projet'!$B$11,Paramètres!$A$1:$I$89,3,0)*0.475*44/12</f>
        <v>14.796824920802631</v>
      </c>
      <c r="BR43" s="21">
        <f>EXP(-LN(2)/2)*BR42+(1-EXP(-LN(2)/2))/(LN(2)/2)*BL43*BO43*VLOOKUP('Données projet'!$B$11,Paramètres!$A$1:$I$89,3,0)*0.475*44/12</f>
        <v>0.28001914347150014</v>
      </c>
      <c r="BS43" s="22">
        <f t="shared" si="9"/>
        <v>16.907143916321658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10.952991452991451</v>
      </c>
      <c r="BY43" s="12">
        <f>IF('Données projet'!$A$114&gt;35,BY42+BX43-CG42,IF(A43&lt;'Données projet'!$A$114,$BV$205^A43,IF(A43='Données projet'!$A$114,'Données projet'!$B$114,BY42+BX43-CG42)))</f>
        <v>222.65641025641034</v>
      </c>
      <c r="BZ43" s="13">
        <f>BY43*VLOOKUP('Données projet'!$B$12,Paramètres!$A$1:$I$89,3,0)*VLOOKUP('Données projet'!$B$12,Paramètres!$A$1:$I$89,5,0)</f>
        <v>124.46493333333338</v>
      </c>
      <c r="CA43" s="13">
        <f t="shared" si="39"/>
        <v>32.714147211013803</v>
      </c>
      <c r="CB43" s="20">
        <f t="shared" si="10"/>
        <v>273.75356528140463</v>
      </c>
      <c r="CC43" s="59">
        <f t="shared" si="11"/>
        <v>567.08689861473795</v>
      </c>
      <c r="CD43" s="59">
        <f ca="1">AVERAGE(OFFSET($CC$3,0,0,'Données projet'!$E$12+1,1))-AVERAGE(OFFSET($H$3,0,0,'Données projet'!$E$12+1,1))</f>
        <v>190.08613104982993</v>
      </c>
      <c r="CE43" s="59">
        <f t="shared" si="40"/>
        <v>180.55054525447781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297</v>
      </c>
      <c r="CR43" s="12">
        <f>VLOOKUP(A43,'Données projet'!$A$139:$I$159,9,0)</f>
        <v>15.7</v>
      </c>
      <c r="CS43" s="12">
        <f t="array" ref="CS43">INDEX(CR:CR,MIN(IF(ISNUMBER(CR43:CR239),ROW(CR43:CR239),"")))</f>
        <v>15.7</v>
      </c>
      <c r="CT43" s="12">
        <f>IF('Données projet'!$A$140&gt;35,CT42+CS43-DB42,IF(A43&lt;'Données projet'!$A$140,$CQ$205^A43,IF(A43='Données projet'!$A$140,'Données projet'!$B$140,CT42+CS43-DB42)))</f>
        <v>296.99999999999994</v>
      </c>
      <c r="CU43" s="17">
        <f>CT43*VLOOKUP('Données projet'!$B$13,Paramètres!$A$1:$I$89,3,0)*VLOOKUP('Données projet'!$B$13,Paramètres!$A$1:$I$89,5,0)</f>
        <v>177.60599999999997</v>
      </c>
      <c r="CV43" s="13">
        <f t="shared" si="41"/>
        <v>44.789150937858665</v>
      </c>
      <c r="CW43" s="20">
        <f t="shared" si="13"/>
        <v>387.33822121677048</v>
      </c>
      <c r="CX43" s="59">
        <f t="shared" si="14"/>
        <v>680.67155455010379</v>
      </c>
      <c r="CY43" s="59">
        <f ca="1">AVERAGE(OFFSET($CX$3,0,0,'Données projet'!$E$13+1,1))-AVERAGE(OFFSET($H$3,0,0,'Données projet'!$E$13+1,1))</f>
        <v>270.30888762640245</v>
      </c>
      <c r="CZ43" s="59">
        <f t="shared" si="42"/>
        <v>202.23783851977691</v>
      </c>
      <c r="DA43" s="15">
        <f>IF(ISNA(VLOOKUP(A43,'Données projet'!$A$139:$I$159,3,0)),0,VLOOKUP(A43,'Données projet'!$A$139:$I$159,3,0))</f>
        <v>3</v>
      </c>
      <c r="DB43" s="15">
        <f>IF(ISNA(VLOOKUP(A43,'Données projet'!$A$139:$I$159,4,0)),0,VLOOKUP(A43,'Données projet'!$A$139:$I$159,4,0))</f>
        <v>79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1.7570524844944901</v>
      </c>
      <c r="DG43" s="21">
        <f>EXP(-LN(2)/25)*DG42+(1-EXP(-LN(2)/25))/(LN(2)/25)*Calculateur!DB43*Calculateur!DD43*VLOOKUP('Données projet'!$B$13,Paramètres!$A$1:$I$89,3,0)*0.475*44/12</f>
        <v>9.318025357679657</v>
      </c>
      <c r="DH43" s="21">
        <f>EXP(-LN(2)/2)*DH42+(1-EXP(-LN(2)/2))/(LN(2)/2)*DB43*DE43*VLOOKUP('Données projet'!$B$13,Paramètres!$A$1:$I$89,3,0)*0.475*44/12</f>
        <v>0.57789401832695575</v>
      </c>
      <c r="DI43" s="22">
        <f t="shared" si="15"/>
        <v>11.652971860501104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249</v>
      </c>
      <c r="DM43" s="12">
        <f>VLOOKUP(A43,'Données projet'!$A$165:$I$185,9,0)</f>
        <v>13.1</v>
      </c>
      <c r="DN43" s="12">
        <f t="array" ref="DN43">INDEX(DM:DM,MIN(IF(ISNUMBER(DM43:DM239),ROW(DM43:DM239),"")))</f>
        <v>13.1</v>
      </c>
      <c r="DO43" s="12">
        <f>IF('Données projet'!$A$166&gt;35,DO42+DN43-DW42,IF(A43&lt;'Données projet'!$A$166,$DL$205^A43,IF(A43='Données projet'!$A$166,'Données projet'!$B$166,DO42+DN43-DW42)))</f>
        <v>248.99999999999997</v>
      </c>
      <c r="DP43" s="17">
        <f>DO43*VLOOKUP('Données projet'!$B$14,Paramètres!$A$1:$I$89,3,0)*VLOOKUP('Données projet'!$B$14,Paramètres!$A$1:$I$89,5,0)</f>
        <v>148.90199999999999</v>
      </c>
      <c r="DQ43" s="13">
        <f t="shared" si="43"/>
        <v>38.328954586731257</v>
      </c>
      <c r="DR43" s="20">
        <f t="shared" si="16"/>
        <v>326.09391257189026</v>
      </c>
      <c r="DS43" s="59">
        <f t="shared" si="17"/>
        <v>619.42724590522357</v>
      </c>
      <c r="DT43" s="59">
        <f ca="1">AVERAGE(OFFSET($DS$3,0,0,'Données projet'!$E$14+1,1))-AVERAGE(OFFSET($H$3,0,0,'Données projet'!$E$14+1,1))</f>
        <v>221.14988592347311</v>
      </c>
      <c r="DU43" s="59">
        <f t="shared" si="44"/>
        <v>179.09262081171607</v>
      </c>
      <c r="DV43" s="15">
        <f>IF(ISNA(VLOOKUP(A43,'Données projet'!$A$165:$I$185,3,0)),0,VLOOKUP(A43,'Données projet'!$A$165:$I$185,3,0))</f>
        <v>2</v>
      </c>
      <c r="DW43" s="15">
        <f>IF(ISNA(VLOOKUP(A43,'Données projet'!$A$165:$I$185,4,0)),0,VLOOKUP(A43,'Données projet'!$A$165:$I$185,4,0))</f>
        <v>63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1.874189316794123</v>
      </c>
      <c r="EB43" s="21">
        <f>EXP(-LN(2)/25)*EB42+(1-EXP(-LN(2)/25))/(LN(2)/25)*Calculateur!DW43*Calculateur!DY43*VLOOKUP('Données projet'!$B$14,Paramètres!$A$1:$I$89,3,0)*0.475*44/12</f>
        <v>7.7608481411951642</v>
      </c>
      <c r="EC43" s="21">
        <f>EXP(-LN(2)/2)*EC42+(1-EXP(-LN(2)/2))/(LN(2)/2)*DW43*DZ43*VLOOKUP('Données projet'!$B$14,Paramètres!$A$1:$I$89,3,0)*0.475*44/12</f>
        <v>0.60936742252874421</v>
      </c>
      <c r="ED43" s="22">
        <f t="shared" si="18"/>
        <v>10.244404880518033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>
        <f>VLOOKUP(A43,'Données projet'!$A$191:$I$211,2,0)</f>
        <v>271</v>
      </c>
      <c r="EH43" s="12">
        <f>VLOOKUP(A43,'Données projet'!$A$191:$I$211,9,0)</f>
        <v>12.1</v>
      </c>
      <c r="EI43" s="12">
        <f t="array" ref="EI43">INDEX(EH:EH,MIN(IF(ISNUMBER(EH43:EH239),ROW(EH43:EH239),"")))</f>
        <v>12.1</v>
      </c>
      <c r="EJ43" s="12">
        <f>IF('Données projet'!$A$192&gt;35,EJ42+EI43-ER42,IF(A43&lt;'Données projet'!$A$192,$EG$205^A43,IF(A43='Données projet'!$A$192,'Données projet'!$B$192,EJ42+EI43-ER42)))</f>
        <v>271</v>
      </c>
      <c r="EK43" s="17">
        <f>EJ43*VLOOKUP('Données projet'!$B$15,Paramètres!$A$1:$I$89,3,0)*VLOOKUP('Données projet'!$B$15,Paramètres!$A$1:$I$89,5,0)</f>
        <v>147.96600000000001</v>
      </c>
      <c r="EL43" s="13">
        <f t="shared" si="45"/>
        <v>38.115985176802688</v>
      </c>
      <c r="EM43" s="20">
        <f t="shared" si="19"/>
        <v>324.09279084959798</v>
      </c>
      <c r="EN43" s="59">
        <f t="shared" si="20"/>
        <v>617.42612418293129</v>
      </c>
      <c r="EO43" s="59">
        <f ca="1">AVERAGE(OFFSET($EN$3,0,0,'Données projet'!$E$15+1,1))-AVERAGE(OFFSET($H$3,0,0,'Données projet'!$E$15+1,1))</f>
        <v>168.72306536277267</v>
      </c>
      <c r="EP43" s="59">
        <f t="shared" si="46"/>
        <v>203.35476578922339</v>
      </c>
      <c r="EQ43" s="15">
        <f>IF(ISNA(VLOOKUP(A43,'Données projet'!$A$191:$I$211,3,0)),0,VLOOKUP(A43,'Données projet'!$A$191:$I$211,3,0))</f>
        <v>3</v>
      </c>
      <c r="ER43" s="15">
        <f>IF(ISNA(VLOOKUP(A43,'Données projet'!$A$191:$I$211,4,0)),0,VLOOKUP(A43,'Données projet'!$A$191:$I$211,4,0))</f>
        <v>68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2.4955238185573916</v>
      </c>
      <c r="EW43" s="21">
        <f>EXP(-LN(2)/25)*EW42+(1-EXP(-LN(2)/25))/(LN(2)/25)*Calculateur!ER43*Calculateur!ET43*VLOOKUP('Données projet'!$B$15,Paramètres!$A$1:$I$89,3,0)*0.475*44/12</f>
        <v>17.419388969729358</v>
      </c>
      <c r="EX43" s="21">
        <f>EXP(-LN(2)/2)*EX42+(1-EXP(-LN(2)/2))/(LN(2)/2)*ER43*EU43*VLOOKUP('Données projet'!$B$15,Paramètres!$A$1:$I$89,3,0)*0.475*44/12</f>
        <v>0.6257452069402889</v>
      </c>
      <c r="EY43" s="22">
        <f t="shared" si="21"/>
        <v>20.540657995227036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>
        <f>VLOOKUP(A43,'Données projet'!$A$217:$I$237,2,0)</f>
        <v>228</v>
      </c>
      <c r="FC43" s="12">
        <f>VLOOKUP(A43,'Données projet'!$A$217:$I$237,9,0)</f>
        <v>10.3</v>
      </c>
      <c r="FD43" s="12">
        <f t="array" ref="FD43">INDEX(FC:FC,MIN(IF(ISNUMBER(FC43:FC239),ROW(FC43:FC239),"")))</f>
        <v>10.3</v>
      </c>
      <c r="FE43" s="12">
        <f>IF('Données projet'!$A$218&gt;35,FE42+FD43-FM42,IF(A43&lt;'Données projet'!$A$218,$FB$205^A43,IF(A43='Données projet'!$A$218,'Données projet'!$B$218,FE42+FD43-FM42)))</f>
        <v>228.00000000000009</v>
      </c>
      <c r="FF43" s="17">
        <f>FE43*VLOOKUP('Données projet'!$B$16,Paramètres!$A$1:$I$89,3,0)*VLOOKUP('Données projet'!$B$16,Paramètres!$A$1:$I$89,5,0)</f>
        <v>124.48800000000004</v>
      </c>
      <c r="FG43" s="13">
        <f t="shared" si="47"/>
        <v>32.719504245667295</v>
      </c>
      <c r="FH43" s="20">
        <f t="shared" si="22"/>
        <v>273.80306989453726</v>
      </c>
      <c r="FI43" s="59">
        <f t="shared" si="23"/>
        <v>567.13640322787057</v>
      </c>
      <c r="FJ43" s="59">
        <f ca="1">AVERAGE(OFFSET($FI$3,0,0,'Données projet'!$E$16+1,1))-AVERAGE(OFFSET($H$3,0,0,'Données projet'!$E$16+1,1))</f>
        <v>127.76128532861486</v>
      </c>
      <c r="FK43" s="59">
        <f t="shared" si="48"/>
        <v>157.52303491639736</v>
      </c>
      <c r="FL43" s="15">
        <f>IF(ISNA(VLOOKUP(A43,'Données projet'!$A$217:$I$237,3,0)),0,VLOOKUP(A43,'Données projet'!$A$217:$I$237,3,0))</f>
        <v>3</v>
      </c>
      <c r="FM43" s="15">
        <f>IF(ISNA(VLOOKUP(A43,'Données projet'!$A$217:$I$237,4,0)),0,VLOOKUP(A43,'Données projet'!$A$217:$I$237,4,0))</f>
        <v>56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>
        <f>EXP(-LN(2)/35)*FQ42+(1-EXP(-LN(2)/35))/(LN(2)/35)*FM43*FN43*VLOOKUP('Données projet'!$B$16,Paramètres!$A$1:$I$89,3,0)*0.475*44/12</f>
        <v>1.9964190548459129</v>
      </c>
      <c r="FR43" s="21">
        <f>EXP(-LN(2)/25)*FR42+(1-EXP(-LN(2)/25))/(LN(2)/25)*Calculateur!FM43*Calculateur!FO43*VLOOKUP('Données projet'!$B$16,Paramètres!$A$1:$I$89,3,0)*0.475*44/12</f>
        <v>12.36920938558983</v>
      </c>
      <c r="FS43" s="21">
        <f>EXP(-LN(2)/2)*FS42+(1-EXP(-LN(2)/2))/(LN(2)/2)*FM43*FP43*VLOOKUP('Données projet'!$B$16,Paramètres!$A$1:$I$89,3,0)*0.475*44/12</f>
        <v>0.49679279381684882</v>
      </c>
      <c r="FT43" s="22">
        <f t="shared" si="24"/>
        <v>14.86242123425259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5.3369963369963358</v>
      </c>
      <c r="N44" s="13">
        <f>IF('Données projet'!$A$36&gt;35,N43+M44-V43,IF(A44&lt;'Données projet'!$A$36,$K$205^A44,IF(A44='Données projet'!$A$36,'Données projet'!$B$36,N43+M44-V43)))</f>
        <v>146.41208791208788</v>
      </c>
      <c r="O44" s="13">
        <f>N44*VLOOKUP('Données projet'!$B$9,Paramètres!$A$1:$I$89,3,0)*VLOOKUP('Données projet'!$B$9,Paramètres!$A$1:$I$89,5,0)</f>
        <v>132.47365714285712</v>
      </c>
      <c r="P44" s="13">
        <f t="shared" si="33"/>
        <v>34.567320307816402</v>
      </c>
      <c r="Q44" s="20">
        <f t="shared" si="53"/>
        <v>290.92970239325638</v>
      </c>
      <c r="R44" s="59">
        <f t="shared" si="0"/>
        <v>584.26303572658969</v>
      </c>
      <c r="S44" s="59">
        <f ca="1">AVERAGE(OFFSET($R$3,0,0,'Données projet'!$E$9+1,1))-AVERAGE(OFFSET($H$3,0,0,'Données projet'!$E$9+1,1))</f>
        <v>153.45079678708987</v>
      </c>
      <c r="T44" s="59">
        <f t="shared" si="34"/>
        <v>115.4217868409637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3.5192307692307692</v>
      </c>
      <c r="AI44" s="13">
        <f>IF('Données projet'!$A$62&gt;35,AI43+AH44-AQ43,IF(A44&lt;'Données projet'!$A$62,$AF$205^A44,IF(A44='Données projet'!$A$62,'Données projet'!$B$62,AI43+AH44-AQ43)))</f>
        <v>95.455128205128233</v>
      </c>
      <c r="AJ44" s="13">
        <f>AI44*VLOOKUP('Données projet'!$B$10,Paramètres!$A$1:$I$89,3,0)*VLOOKUP('Données projet'!$B$10,Paramètres!$A$1:$I$89,5,0)</f>
        <v>86.367800000000031</v>
      </c>
      <c r="AK44" s="13">
        <f t="shared" si="35"/>
        <v>23.687136671942682</v>
      </c>
      <c r="AL44" s="20">
        <f t="shared" si="4"/>
        <v>191.67901470363356</v>
      </c>
      <c r="AM44" s="59">
        <f t="shared" si="5"/>
        <v>485.01234803696684</v>
      </c>
      <c r="AN44" s="59">
        <f ca="1">AVERAGE(OFFSET($AM$3,0,0,'Données projet'!$E$10+1,1))-AVERAGE(OFFSET($H$3,0,0,'Données projet'!$E$10+1,1))</f>
        <v>123.92486590666675</v>
      </c>
      <c r="AO44" s="59">
        <f t="shared" si="36"/>
        <v>54.404493017418986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18.229670329670324</v>
      </c>
      <c r="BD44" s="12">
        <f>IF('Données projet'!$A$88&gt;35,BD43+BC44-BL43,IF(A44&lt;'Données projet'!$A$88,$BA$205^A44,IF(A44='Données projet'!$A$88,'Données projet'!$B$88,BD43+BC44-BL43)))</f>
        <v>344.37032967032974</v>
      </c>
      <c r="BE44" s="13">
        <f>BD44*VLOOKUP('Données projet'!$B$11,Paramètres!$A$1:$I$89,3,0)*VLOOKUP('Données projet'!$B$11,Paramètres!$A$1:$I$89,5,0)</f>
        <v>192.50301428571433</v>
      </c>
      <c r="BF44" s="13">
        <f t="shared" si="37"/>
        <v>48.092911552862631</v>
      </c>
      <c r="BG44" s="20">
        <f t="shared" si="7"/>
        <v>419.03790416885482</v>
      </c>
      <c r="BH44" s="59">
        <f t="shared" si="8"/>
        <v>712.37123750218814</v>
      </c>
      <c r="BI44" s="59">
        <f ca="1">AVERAGE(OFFSET($BH$3,0,0,'Données projet'!$E$11+1,1))-AVERAGE(OFFSET($H$3,0,0,'Données projet'!$E$11+1,1))</f>
        <v>224.7049802939942</v>
      </c>
      <c r="BJ44" s="59">
        <f t="shared" si="38"/>
        <v>203.48513862195352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1.7944087883215538</v>
      </c>
      <c r="BQ44" s="21">
        <f>EXP(-LN(2)/25)*BQ43+(1-EXP(-LN(2)/25))/(LN(2)/25)*Calculateur!BL44*Calculateur!BN44*VLOOKUP('Données projet'!$B$11,Paramètres!$A$1:$I$89,3,0)*0.475*44/12</f>
        <v>14.392204965212079</v>
      </c>
      <c r="BR44" s="21">
        <f>EXP(-LN(2)/2)*BR43+(1-EXP(-LN(2)/2))/(LN(2)/2)*BL44*BO44*VLOOKUP('Données projet'!$B$11,Paramètres!$A$1:$I$89,3,0)*0.475*44/12</f>
        <v>0.19800343521074651</v>
      </c>
      <c r="BS44" s="22">
        <f t="shared" si="9"/>
        <v>16.384617188744379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10.952991452991451</v>
      </c>
      <c r="BY44" s="12">
        <f>IF('Données projet'!$A$114&gt;35,BY43+BX44-CG43,IF(A44&lt;'Données projet'!$A$114,$BV$205^A44,IF(A44='Données projet'!$A$114,'Données projet'!$B$114,BY43+BX44-CG43)))</f>
        <v>233.60940170940179</v>
      </c>
      <c r="BZ44" s="13">
        <f>BY44*VLOOKUP('Données projet'!$B$12,Paramètres!$A$1:$I$89,3,0)*VLOOKUP('Données projet'!$B$12,Paramètres!$A$1:$I$89,5,0)</f>
        <v>130.58765555555561</v>
      </c>
      <c r="CA44" s="13">
        <f t="shared" si="39"/>
        <v>34.132113612376557</v>
      </c>
      <c r="CB44" s="20">
        <f t="shared" si="10"/>
        <v>286.88693130081521</v>
      </c>
      <c r="CC44" s="59">
        <f t="shared" si="11"/>
        <v>580.22026463414852</v>
      </c>
      <c r="CD44" s="59">
        <f ca="1">AVERAGE(OFFSET($CC$3,0,0,'Données projet'!$E$12+1,1))-AVERAGE(OFFSET($H$3,0,0,'Données projet'!$E$12+1,1))</f>
        <v>190.08613104982993</v>
      </c>
      <c r="CE44" s="59">
        <f t="shared" si="40"/>
        <v>180.55054525447781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16.2</v>
      </c>
      <c r="CT44" s="12">
        <f>IF('Données projet'!$A$140&gt;35,CT43+CS44-DB43,IF(A44&lt;'Données projet'!$A$140,$CQ$205^A44,IF(A44='Données projet'!$A$140,'Données projet'!$B$140,CT43+CS44-DB43)))</f>
        <v>234.19999999999993</v>
      </c>
      <c r="CU44" s="17">
        <f>CT44*VLOOKUP('Données projet'!$B$13,Paramètres!$A$1:$I$89,3,0)*VLOOKUP('Données projet'!$B$13,Paramètres!$A$1:$I$89,5,0)</f>
        <v>140.05159999999998</v>
      </c>
      <c r="CV44" s="13">
        <f t="shared" si="41"/>
        <v>36.308826076884692</v>
      </c>
      <c r="CW44" s="20">
        <f t="shared" si="13"/>
        <v>307.1610754172408</v>
      </c>
      <c r="CX44" s="59">
        <f t="shared" si="14"/>
        <v>600.49440875057417</v>
      </c>
      <c r="CY44" s="59">
        <f ca="1">AVERAGE(OFFSET($CX$3,0,0,'Données projet'!$E$13+1,1))-AVERAGE(OFFSET($H$3,0,0,'Données projet'!$E$13+1,1))</f>
        <v>270.30888762640245</v>
      </c>
      <c r="CZ44" s="59">
        <f t="shared" si="42"/>
        <v>202.23783851977691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1.7225977569697475</v>
      </c>
      <c r="DG44" s="21">
        <f>EXP(-LN(2)/25)*DG43+(1-EXP(-LN(2)/25))/(LN(2)/25)*Calculateur!DB44*Calculateur!DD44*VLOOKUP('Données projet'!$B$13,Paramètres!$A$1:$I$89,3,0)*0.475*44/12</f>
        <v>9.0632234642602505</v>
      </c>
      <c r="DH44" s="21">
        <f>EXP(-LN(2)/2)*DH43+(1-EXP(-LN(2)/2))/(LN(2)/2)*DB44*DE44*VLOOKUP('Données projet'!$B$13,Paramètres!$A$1:$I$89,3,0)*0.475*44/12</f>
        <v>0.40863277916613339</v>
      </c>
      <c r="DI44" s="22">
        <f t="shared" si="15"/>
        <v>11.194454000396131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13.5</v>
      </c>
      <c r="DO44" s="12">
        <f>IF('Données projet'!$A$166&gt;35,DO43+DN44-DW43,IF(A44&lt;'Données projet'!$A$166,$DL$205^A44,IF(A44='Données projet'!$A$166,'Données projet'!$B$166,DO43+DN44-DW43)))</f>
        <v>199.5</v>
      </c>
      <c r="DP44" s="17">
        <f>DO44*VLOOKUP('Données projet'!$B$14,Paramètres!$A$1:$I$89,3,0)*VLOOKUP('Données projet'!$B$14,Paramètres!$A$1:$I$89,5,0)</f>
        <v>119.30100000000002</v>
      </c>
      <c r="DQ44" s="13">
        <f t="shared" si="43"/>
        <v>31.51191363312137</v>
      </c>
      <c r="DR44" s="20">
        <f t="shared" si="16"/>
        <v>262.66582457768635</v>
      </c>
      <c r="DS44" s="59">
        <f t="shared" si="17"/>
        <v>555.99915791101967</v>
      </c>
      <c r="DT44" s="59">
        <f ca="1">AVERAGE(OFFSET($DS$3,0,0,'Données projet'!$E$14+1,1))-AVERAGE(OFFSET($H$3,0,0,'Données projet'!$E$14+1,1))</f>
        <v>221.14988592347311</v>
      </c>
      <c r="DU44" s="59">
        <f t="shared" si="44"/>
        <v>179.09262081171607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1.8374376074343977</v>
      </c>
      <c r="EB44" s="21">
        <f>EXP(-LN(2)/25)*EB43+(1-EXP(-LN(2)/25))/(LN(2)/25)*Calculateur!DW44*Calculateur!DY44*VLOOKUP('Données projet'!$B$14,Paramètres!$A$1:$I$89,3,0)*0.475*44/12</f>
        <v>7.5486273406489159</v>
      </c>
      <c r="EC44" s="21">
        <f>EXP(-LN(2)/2)*EC43+(1-EXP(-LN(2)/2))/(LN(2)/2)*DW44*DZ44*VLOOKUP('Données projet'!$B$14,Paramètres!$A$1:$I$89,3,0)*0.475*44/12</f>
        <v>0.43088783670424319</v>
      </c>
      <c r="ED44" s="22">
        <f t="shared" si="18"/>
        <v>9.8169527847875582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9.9</v>
      </c>
      <c r="EJ44" s="12">
        <f>IF('Données projet'!$A$192&gt;35,EJ43+EI44-ER43,IF(A44&lt;'Données projet'!$A$192,$EG$205^A44,IF(A44='Données projet'!$A$192,'Données projet'!$B$192,EJ43+EI44-ER43)))</f>
        <v>212.89999999999998</v>
      </c>
      <c r="EK44" s="17">
        <f>EJ44*VLOOKUP('Données projet'!$B$15,Paramètres!$A$1:$I$89,3,0)*VLOOKUP('Données projet'!$B$15,Paramètres!$A$1:$I$89,5,0)</f>
        <v>116.24339999999999</v>
      </c>
      <c r="EL44" s="13">
        <f t="shared" si="45"/>
        <v>30.79721879349761</v>
      </c>
      <c r="EM44" s="20">
        <f t="shared" si="19"/>
        <v>256.09574439867498</v>
      </c>
      <c r="EN44" s="59">
        <f t="shared" si="20"/>
        <v>549.4290777320083</v>
      </c>
      <c r="EO44" s="59">
        <f ca="1">AVERAGE(OFFSET($EN$3,0,0,'Données projet'!$E$15+1,1))-AVERAGE(OFFSET($H$3,0,0,'Données projet'!$E$15+1,1))</f>
        <v>168.72306536277267</v>
      </c>
      <c r="EP44" s="59">
        <f t="shared" si="46"/>
        <v>203.35476578922339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2.4465881185947138</v>
      </c>
      <c r="EW44" s="21">
        <f>EXP(-LN(2)/25)*EW43+(1-EXP(-LN(2)/25))/(LN(2)/25)*Calculateur!ER44*Calculateur!ET44*VLOOKUP('Données projet'!$B$15,Paramètres!$A$1:$I$89,3,0)*0.475*44/12</f>
        <v>16.943054862306255</v>
      </c>
      <c r="EX44" s="21">
        <f>EXP(-LN(2)/2)*EX43+(1-EXP(-LN(2)/2))/(LN(2)/2)*ER44*EU44*VLOOKUP('Données projet'!$B$15,Paramètres!$A$1:$I$89,3,0)*0.475*44/12</f>
        <v>0.4424686791224578</v>
      </c>
      <c r="EY44" s="22">
        <f t="shared" si="21"/>
        <v>19.832111660023429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8.1999999999999993</v>
      </c>
      <c r="FE44" s="12">
        <f>IF('Données projet'!$A$218&gt;35,FE43+FD44-FM43,IF(A44&lt;'Données projet'!$A$218,$FB$205^A44,IF(A44='Données projet'!$A$218,'Données projet'!$B$218,FE43+FD44-FM43)))</f>
        <v>180.20000000000007</v>
      </c>
      <c r="FF44" s="17">
        <f>FE44*VLOOKUP('Données projet'!$B$16,Paramètres!$A$1:$I$89,3,0)*VLOOKUP('Données projet'!$B$16,Paramètres!$A$1:$I$89,5,0)</f>
        <v>98.389200000000031</v>
      </c>
      <c r="FG44" s="13">
        <f t="shared" si="47"/>
        <v>26.57788472471908</v>
      </c>
      <c r="FH44" s="20">
        <f t="shared" si="22"/>
        <v>217.65100589555246</v>
      </c>
      <c r="FI44" s="59">
        <f t="shared" si="23"/>
        <v>510.9843392288858</v>
      </c>
      <c r="FJ44" s="59">
        <f ca="1">AVERAGE(OFFSET($FI$3,0,0,'Données projet'!$E$16+1,1))-AVERAGE(OFFSET($H$3,0,0,'Données projet'!$E$16+1,1))</f>
        <v>127.76128532861486</v>
      </c>
      <c r="FK44" s="59">
        <f t="shared" si="48"/>
        <v>157.52303491639736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>
        <f>EXP(-LN(2)/35)*FQ43+(1-EXP(-LN(2)/35))/(LN(2)/35)*FM44*FN44*VLOOKUP('Données projet'!$B$16,Paramètres!$A$1:$I$89,3,0)*0.475*44/12</f>
        <v>1.9572704948757704</v>
      </c>
      <c r="FR44" s="21">
        <f>EXP(-LN(2)/25)*FR43+(1-EXP(-LN(2)/25))/(LN(2)/25)*Calculateur!FM44*Calculateur!FO44*VLOOKUP('Données projet'!$B$16,Paramètres!$A$1:$I$89,3,0)*0.475*44/12</f>
        <v>12.030972704472426</v>
      </c>
      <c r="FS44" s="21">
        <f>EXP(-LN(2)/2)*FS43+(1-EXP(-LN(2)/2))/(LN(2)/2)*FM44*FP44*VLOOKUP('Données projet'!$B$16,Paramètres!$A$1:$I$89,3,0)*0.475*44/12</f>
        <v>0.35128555335250417</v>
      </c>
      <c r="FT44" s="22">
        <f t="shared" si="24"/>
        <v>14.3395287527007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5.3369963369963358</v>
      </c>
      <c r="N45" s="13">
        <f>IF('Données projet'!$A$36&gt;35,N44+M45-V44,IF(A45&lt;'Données projet'!$A$36,$K$205^A45,IF(A45='Données projet'!$A$36,'Données projet'!$B$36,N44+M45-V44)))</f>
        <v>151.74908424908421</v>
      </c>
      <c r="O45" s="13">
        <f>N45*VLOOKUP('Données projet'!$B$9,Paramètres!$A$1:$I$89,3,0)*VLOOKUP('Données projet'!$B$9,Paramètres!$A$1:$I$89,5,0)</f>
        <v>137.30257142857138</v>
      </c>
      <c r="P45" s="13">
        <f t="shared" si="33"/>
        <v>35.678364531877897</v>
      </c>
      <c r="Q45" s="20">
        <f t="shared" si="53"/>
        <v>301.27513013111576</v>
      </c>
      <c r="R45" s="59">
        <f t="shared" si="0"/>
        <v>594.60846346444907</v>
      </c>
      <c r="S45" s="59">
        <f ca="1">AVERAGE(OFFSET($R$3,0,0,'Données projet'!$E$9+1,1))-AVERAGE(OFFSET($H$3,0,0,'Données projet'!$E$9+1,1))</f>
        <v>153.45079678708987</v>
      </c>
      <c r="T45" s="59">
        <f t="shared" si="34"/>
        <v>115.4217868409637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0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3.5192307692307692</v>
      </c>
      <c r="AI45" s="13">
        <f>IF('Données projet'!$A$62&gt;35,AI44+AH45-AQ44,IF(A45&lt;'Données projet'!$A$62,$AF$205^A45,IF(A45='Données projet'!$A$62,'Données projet'!$B$62,AI44+AH45-AQ44)))</f>
        <v>98.974358974359006</v>
      </c>
      <c r="AJ45" s="13">
        <f>AI45*VLOOKUP('Données projet'!$B$10,Paramètres!$A$1:$I$89,3,0)*VLOOKUP('Données projet'!$B$10,Paramètres!$A$1:$I$89,5,0)</f>
        <v>89.552000000000035</v>
      </c>
      <c r="AK45" s="13">
        <f t="shared" si="35"/>
        <v>24.457146821707948</v>
      </c>
      <c r="AL45" s="20">
        <f t="shared" si="4"/>
        <v>198.56593071447472</v>
      </c>
      <c r="AM45" s="59">
        <f t="shared" si="5"/>
        <v>491.89926404780806</v>
      </c>
      <c r="AN45" s="59">
        <f ca="1">AVERAGE(OFFSET($AM$3,0,0,'Données projet'!$E$10+1,1))-AVERAGE(OFFSET($H$3,0,0,'Données projet'!$E$10+1,1))</f>
        <v>123.92486590666675</v>
      </c>
      <c r="AO45" s="59">
        <f t="shared" si="36"/>
        <v>54.404493017418986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362.59999999999997</v>
      </c>
      <c r="BB45" s="12">
        <f>VLOOKUP(A45,'Données projet'!$A$87:$I$107,9,0)</f>
        <v>18.229670329670324</v>
      </c>
      <c r="BC45" s="12">
        <f t="array" ref="BC45">INDEX(BB:BB,MIN(IF(ISNUMBER(BB45:BB241),ROW(BB45:BB241),"")))</f>
        <v>18.229670329670324</v>
      </c>
      <c r="BD45" s="12">
        <f>IF('Données projet'!$A$88&gt;35,BD44+BC45-BL44,IF(A45&lt;'Données projet'!$A$88,$BA$205^A45,IF(A45='Données projet'!$A$88,'Données projet'!$B$88,BD44+BC45-BL44)))</f>
        <v>362.60000000000008</v>
      </c>
      <c r="BE45" s="13">
        <f>BD45*VLOOKUP('Données projet'!$B$11,Paramètres!$A$1:$I$89,3,0)*VLOOKUP('Données projet'!$B$11,Paramètres!$A$1:$I$89,5,0)</f>
        <v>202.69340000000005</v>
      </c>
      <c r="BF45" s="13">
        <f t="shared" si="37"/>
        <v>50.335633892078647</v>
      </c>
      <c r="BG45" s="20">
        <f t="shared" si="7"/>
        <v>440.69223402870375</v>
      </c>
      <c r="BH45" s="59">
        <f t="shared" si="8"/>
        <v>734.02556736203701</v>
      </c>
      <c r="BI45" s="59">
        <f ca="1">AVERAGE(OFFSET($BH$3,0,0,'Données projet'!$E$11+1,1))-AVERAGE(OFFSET($H$3,0,0,'Données projet'!$E$11+1,1))</f>
        <v>224.7049802939942</v>
      </c>
      <c r="BJ45" s="59">
        <f t="shared" si="38"/>
        <v>203.48513862195352</v>
      </c>
      <c r="BK45" s="15">
        <f>IF(ISNA(VLOOKUP(A45,'Données projet'!$A$87:$I$107,3,0)),0,VLOOKUP(A45,'Données projet'!$A$87:$I$107,3,0))</f>
        <v>4</v>
      </c>
      <c r="BL45" s="15">
        <f>IF(ISNA(VLOOKUP(A45,'Données projet'!$A$87:$I$107,4,0)),0,VLOOKUP(A45,'Données projet'!$A$87:$I$107,4,0))</f>
        <v>80.669230769230765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1.759221526463858</v>
      </c>
      <c r="BQ45" s="21">
        <f>EXP(-LN(2)/25)*BQ44+(1-EXP(-LN(2)/25))/(LN(2)/25)*Calculateur!BL45*Calculateur!BN45*VLOOKUP('Données projet'!$B$11,Paramètres!$A$1:$I$89,3,0)*0.475*44/12</f>
        <v>13.998649363585189</v>
      </c>
      <c r="BR45" s="21">
        <f>EXP(-LN(2)/2)*BR44+(1-EXP(-LN(2)/2))/(LN(2)/2)*BL45*BO45*VLOOKUP('Données projet'!$B$11,Paramètres!$A$1:$I$89,3,0)*0.475*44/12</f>
        <v>0.14000957173575007</v>
      </c>
      <c r="BS45" s="22">
        <f t="shared" si="9"/>
        <v>15.897880461784796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10.952991452991451</v>
      </c>
      <c r="BY45" s="12">
        <f>IF('Données projet'!$A$114&gt;35,BY44+BX45-CG44,IF(A45&lt;'Données projet'!$A$114,$BV$205^A45,IF(A45='Données projet'!$A$114,'Données projet'!$B$114,BY44+BX45-CG44)))</f>
        <v>244.56239316239325</v>
      </c>
      <c r="BZ45" s="13">
        <f>BY45*VLOOKUP('Données projet'!$B$12,Paramètres!$A$1:$I$89,3,0)*VLOOKUP('Données projet'!$B$12,Paramètres!$A$1:$I$89,5,0)</f>
        <v>136.71037777777784</v>
      </c>
      <c r="CA45" s="13">
        <f t="shared" si="39"/>
        <v>35.542359524058632</v>
      </c>
      <c r="CB45" s="20">
        <f t="shared" si="10"/>
        <v>300.00685080069849</v>
      </c>
      <c r="CC45" s="59">
        <f t="shared" si="11"/>
        <v>593.3401841340318</v>
      </c>
      <c r="CD45" s="59">
        <f ca="1">AVERAGE(OFFSET($CC$3,0,0,'Données projet'!$E$12+1,1))-AVERAGE(OFFSET($H$3,0,0,'Données projet'!$E$12+1,1))</f>
        <v>190.08613104982993</v>
      </c>
      <c r="CE45" s="59">
        <f t="shared" si="40"/>
        <v>180.55054525447781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16.2</v>
      </c>
      <c r="CT45" s="12">
        <f>IF('Données projet'!$A$140&gt;35,CT44+CS45-DB44,IF(A45&lt;'Données projet'!$A$140,$CQ$205^A45,IF(A45='Données projet'!$A$140,'Données projet'!$B$140,CT44+CS45-DB44)))</f>
        <v>250.39999999999992</v>
      </c>
      <c r="CU45" s="17">
        <f>CT45*VLOOKUP('Données projet'!$B$13,Paramètres!$A$1:$I$89,3,0)*VLOOKUP('Données projet'!$B$13,Paramètres!$A$1:$I$89,5,0)</f>
        <v>149.73919999999995</v>
      </c>
      <c r="CV45" s="13">
        <f t="shared" si="41"/>
        <v>38.51931188379853</v>
      </c>
      <c r="CW45" s="20">
        <f t="shared" si="13"/>
        <v>327.88357486428237</v>
      </c>
      <c r="CX45" s="59">
        <f t="shared" si="14"/>
        <v>621.21690819761568</v>
      </c>
      <c r="CY45" s="59">
        <f ca="1">AVERAGE(OFFSET($CX$3,0,0,'Données projet'!$E$13+1,1))-AVERAGE(OFFSET($H$3,0,0,'Données projet'!$E$13+1,1))</f>
        <v>270.30888762640245</v>
      </c>
      <c r="CZ45" s="59">
        <f t="shared" si="42"/>
        <v>202.23783851977691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1.6888186656364563</v>
      </c>
      <c r="DG45" s="21">
        <f>EXP(-LN(2)/25)*DG44+(1-EXP(-LN(2)/25))/(LN(2)/25)*Calculateur!DB45*Calculateur!DD45*VLOOKUP('Données projet'!$B$13,Paramètres!$A$1:$I$89,3,0)*0.475*44/12</f>
        <v>8.8153891420158459</v>
      </c>
      <c r="DH45" s="21">
        <f>EXP(-LN(2)/2)*DH44+(1-EXP(-LN(2)/2))/(LN(2)/2)*DB45*DE45*VLOOKUP('Données projet'!$B$13,Paramètres!$A$1:$I$89,3,0)*0.475*44/12</f>
        <v>0.28894700916347787</v>
      </c>
      <c r="DI45" s="22">
        <f t="shared" si="15"/>
        <v>10.793154816815779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13.5</v>
      </c>
      <c r="DO45" s="12">
        <f>IF('Données projet'!$A$166&gt;35,DO44+DN45-DW44,IF(A45&lt;'Données projet'!$A$166,$DL$205^A45,IF(A45='Données projet'!$A$166,'Données projet'!$B$166,DO44+DN45-DW44)))</f>
        <v>213</v>
      </c>
      <c r="DP45" s="17">
        <f>DO45*VLOOKUP('Données projet'!$B$14,Paramètres!$A$1:$I$89,3,0)*VLOOKUP('Données projet'!$B$14,Paramètres!$A$1:$I$89,5,0)</f>
        <v>127.37400000000001</v>
      </c>
      <c r="DQ45" s="13">
        <f t="shared" si="43"/>
        <v>33.388849044748468</v>
      </c>
      <c r="DR45" s="20">
        <f t="shared" si="16"/>
        <v>279.99529541960356</v>
      </c>
      <c r="DS45" s="59">
        <f t="shared" si="17"/>
        <v>573.32862875293688</v>
      </c>
      <c r="DT45" s="59">
        <f ca="1">AVERAGE(OFFSET($DS$3,0,0,'Données projet'!$E$14+1,1))-AVERAGE(OFFSET($H$3,0,0,'Données projet'!$E$14+1,1))</f>
        <v>221.14988592347311</v>
      </c>
      <c r="DU45" s="59">
        <f t="shared" si="44"/>
        <v>179.09262081171607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1.8014065766788872</v>
      </c>
      <c r="EB45" s="21">
        <f>EXP(-LN(2)/25)*EB44+(1-EXP(-LN(2)/25))/(LN(2)/25)*Calculateur!DW45*Calculateur!DY45*VLOOKUP('Données projet'!$B$14,Paramètres!$A$1:$I$89,3,0)*0.475*44/12</f>
        <v>7.3422097290538124</v>
      </c>
      <c r="EC45" s="21">
        <f>EXP(-LN(2)/2)*EC44+(1-EXP(-LN(2)/2))/(LN(2)/2)*DW45*DZ45*VLOOKUP('Données projet'!$B$14,Paramètres!$A$1:$I$89,3,0)*0.475*44/12</f>
        <v>0.3046837112643721</v>
      </c>
      <c r="ED45" s="22">
        <f t="shared" si="18"/>
        <v>9.4483000169970719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9.9</v>
      </c>
      <c r="EJ45" s="12">
        <f>IF('Données projet'!$A$192&gt;35,EJ44+EI45-ER44,IF(A45&lt;'Données projet'!$A$192,$EG$205^A45,IF(A45='Données projet'!$A$192,'Données projet'!$B$192,EJ44+EI45-ER44)))</f>
        <v>222.79999999999998</v>
      </c>
      <c r="EK45" s="17">
        <f>EJ45*VLOOKUP('Données projet'!$B$15,Paramètres!$A$1:$I$89,3,0)*VLOOKUP('Données projet'!$B$15,Paramètres!$A$1:$I$89,5,0)</f>
        <v>121.64879999999999</v>
      </c>
      <c r="EL45" s="13">
        <f t="shared" si="45"/>
        <v>32.059248862040441</v>
      </c>
      <c r="EM45" s="20">
        <f t="shared" si="19"/>
        <v>267.70818510138707</v>
      </c>
      <c r="EN45" s="59">
        <f t="shared" si="20"/>
        <v>561.04151843472039</v>
      </c>
      <c r="EO45" s="59">
        <f ca="1">AVERAGE(OFFSET($EN$3,0,0,'Données projet'!$E$15+1,1))-AVERAGE(OFFSET($H$3,0,0,'Données projet'!$E$15+1,1))</f>
        <v>168.72306536277267</v>
      </c>
      <c r="EP45" s="59">
        <f t="shared" si="46"/>
        <v>203.35476578922339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2.3986120178604744</v>
      </c>
      <c r="EW45" s="21">
        <f>EXP(-LN(2)/25)*EW44+(1-EXP(-LN(2)/25))/(LN(2)/25)*Calculateur!ER45*Calculateur!ET45*VLOOKUP('Données projet'!$B$15,Paramètres!$A$1:$I$89,3,0)*0.475*44/12</f>
        <v>16.479746136099958</v>
      </c>
      <c r="EX45" s="21">
        <f>EXP(-LN(2)/2)*EX44+(1-EXP(-LN(2)/2))/(LN(2)/2)*ER45*EU45*VLOOKUP('Données projet'!$B$15,Paramètres!$A$1:$I$89,3,0)*0.475*44/12</f>
        <v>0.31287260347014451</v>
      </c>
      <c r="EY45" s="22">
        <f t="shared" si="21"/>
        <v>19.191230757430578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8.1999999999999993</v>
      </c>
      <c r="FE45" s="12">
        <f>IF('Données projet'!$A$218&gt;35,FE44+FD45-FM44,IF(A45&lt;'Données projet'!$A$218,$FB$205^A45,IF(A45='Données projet'!$A$218,'Données projet'!$B$218,FE44+FD45-FM44)))</f>
        <v>188.40000000000006</v>
      </c>
      <c r="FF45" s="17">
        <f>FE45*VLOOKUP('Données projet'!$B$16,Paramètres!$A$1:$I$89,3,0)*VLOOKUP('Données projet'!$B$16,Paramètres!$A$1:$I$89,5,0)</f>
        <v>102.86640000000004</v>
      </c>
      <c r="FG45" s="13">
        <f t="shared" si="47"/>
        <v>27.643750580905362</v>
      </c>
      <c r="FH45" s="20">
        <f t="shared" si="22"/>
        <v>227.30517892841024</v>
      </c>
      <c r="FI45" s="59">
        <f t="shared" si="23"/>
        <v>520.63851226174359</v>
      </c>
      <c r="FJ45" s="59">
        <f ca="1">AVERAGE(OFFSET($FI$3,0,0,'Données projet'!$E$16+1,1))-AVERAGE(OFFSET($H$3,0,0,'Données projet'!$E$16+1,1))</f>
        <v>127.76128532861486</v>
      </c>
      <c r="FK45" s="59">
        <f t="shared" si="48"/>
        <v>157.52303491639736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>
        <f>EXP(-LN(2)/35)*FQ44+(1-EXP(-LN(2)/35))/(LN(2)/35)*FM45*FN45*VLOOKUP('Données projet'!$B$16,Paramètres!$A$1:$I$89,3,0)*0.475*44/12</f>
        <v>1.9188896142883789</v>
      </c>
      <c r="FR45" s="21">
        <f>EXP(-LN(2)/25)*FR44+(1-EXP(-LN(2)/25))/(LN(2)/25)*Calculateur!FM45*Calculateur!FO45*VLOOKUP('Données projet'!$B$16,Paramètres!$A$1:$I$89,3,0)*0.475*44/12</f>
        <v>11.701985123187269</v>
      </c>
      <c r="FS45" s="21">
        <f>EXP(-LN(2)/2)*FS44+(1-EXP(-LN(2)/2))/(LN(2)/2)*FM45*FP45*VLOOKUP('Données projet'!$B$16,Paramètres!$A$1:$I$89,3,0)*0.475*44/12</f>
        <v>0.24839639690842444</v>
      </c>
      <c r="FT45" s="22">
        <f t="shared" si="24"/>
        <v>13.869271134384071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5.3369963369963358</v>
      </c>
      <c r="N46" s="13">
        <f>IF('Données projet'!$A$36&gt;35,N45+M46-V45,IF(A46&lt;'Données projet'!$A$36,$K$205^A46,IF(A46='Données projet'!$A$36,'Données projet'!$B$36,N45+M46-V45)))</f>
        <v>157.08608058608053</v>
      </c>
      <c r="O46" s="13">
        <f>N46*VLOOKUP('Données projet'!$B$9,Paramètres!$A$1:$I$89,3,0)*VLOOKUP('Données projet'!$B$9,Paramètres!$A$1:$I$89,5,0)</f>
        <v>142.13148571428567</v>
      </c>
      <c r="P46" s="13">
        <f t="shared" si="33"/>
        <v>36.784868701185438</v>
      </c>
      <c r="Q46" s="20">
        <f t="shared" si="53"/>
        <v>311.61265060694552</v>
      </c>
      <c r="R46" s="59">
        <f t="shared" si="0"/>
        <v>604.94598394027889</v>
      </c>
      <c r="S46" s="59">
        <f ca="1">AVERAGE(OFFSET($R$3,0,0,'Données projet'!$E$9+1,1))-AVERAGE(OFFSET($H$3,0,0,'Données projet'!$E$9+1,1))</f>
        <v>153.45079678708987</v>
      </c>
      <c r="T46" s="59">
        <f t="shared" si="34"/>
        <v>115.4217868409637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0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3.5192307692307692</v>
      </c>
      <c r="AI46" s="13">
        <f>IF('Données projet'!$A$62&gt;35,AI45+AH46-AQ45,IF(A46&lt;'Données projet'!$A$62,$AF$205^A46,IF(A46='Données projet'!$A$62,'Données projet'!$B$62,AI45+AH46-AQ45)))</f>
        <v>102.49358974358978</v>
      </c>
      <c r="AJ46" s="13">
        <f>AI46*VLOOKUP('Données projet'!$B$10,Paramètres!$A$1:$I$89,3,0)*VLOOKUP('Données projet'!$B$10,Paramètres!$A$1:$I$89,5,0)</f>
        <v>92.736200000000025</v>
      </c>
      <c r="AK46" s="13">
        <f t="shared" si="35"/>
        <v>25.223975905095735</v>
      </c>
      <c r="AL46" s="20">
        <f t="shared" si="4"/>
        <v>205.44730636804175</v>
      </c>
      <c r="AM46" s="59">
        <f t="shared" si="5"/>
        <v>498.78063970137509</v>
      </c>
      <c r="AN46" s="59">
        <f ca="1">AVERAGE(OFFSET($AM$3,0,0,'Données projet'!$E$10+1,1))-AVERAGE(OFFSET($H$3,0,0,'Données projet'!$E$10+1,1))</f>
        <v>123.92486590666675</v>
      </c>
      <c r="AO46" s="59">
        <f t="shared" si="36"/>
        <v>54.404493017418986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17.519780219780223</v>
      </c>
      <c r="BD46" s="12">
        <f>IF('Données projet'!$A$88&gt;35,BD45+BC46-BL45,IF(A46&lt;'Données projet'!$A$88,$BA$205^A46,IF(A46='Données projet'!$A$88,'Données projet'!$B$88,BD45+BC46-BL45)))</f>
        <v>299.45054945054954</v>
      </c>
      <c r="BE46" s="13">
        <f>BD46*VLOOKUP('Données projet'!$B$11,Paramètres!$A$1:$I$89,3,0)*VLOOKUP('Données projet'!$B$11,Paramètres!$A$1:$I$89,5,0)</f>
        <v>167.3928571428572</v>
      </c>
      <c r="BF46" s="13">
        <f t="shared" si="37"/>
        <v>42.505586135425617</v>
      </c>
      <c r="BG46" s="20">
        <f t="shared" si="7"/>
        <v>365.57312204300916</v>
      </c>
      <c r="BH46" s="59">
        <f t="shared" si="8"/>
        <v>658.90645537634248</v>
      </c>
      <c r="BI46" s="59">
        <f ca="1">AVERAGE(OFFSET($BH$3,0,0,'Données projet'!$E$11+1,1))-AVERAGE(OFFSET($H$3,0,0,'Données projet'!$E$11+1,1))</f>
        <v>224.7049802939942</v>
      </c>
      <c r="BJ46" s="59">
        <f t="shared" si="38"/>
        <v>203.48513862195352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1.7247242653490811</v>
      </c>
      <c r="BQ46" s="21">
        <f>EXP(-LN(2)/25)*BQ45+(1-EXP(-LN(2)/25))/(LN(2)/25)*Calculateur!BL46*Calculateur!BN46*VLOOKUP('Données projet'!$B$11,Paramètres!$A$1:$I$89,3,0)*0.475*44/12</f>
        <v>13.615855560580977</v>
      </c>
      <c r="BR46" s="21">
        <f>EXP(-LN(2)/2)*BR45+(1-EXP(-LN(2)/2))/(LN(2)/2)*BL46*BO46*VLOOKUP('Données projet'!$B$11,Paramètres!$A$1:$I$89,3,0)*0.475*44/12</f>
        <v>9.9001717605373254E-2</v>
      </c>
      <c r="BS46" s="22">
        <f t="shared" si="9"/>
        <v>15.439581543535432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>
        <f>VLOOKUP(A46,'Données projet'!$A$113:$I$133,2,0)</f>
        <v>255.51538461538462</v>
      </c>
      <c r="BW46" s="12">
        <f>VLOOKUP(A46,'Données projet'!$A$113:$I$133,9,0)</f>
        <v>10.952991452991451</v>
      </c>
      <c r="BX46" s="12">
        <f t="array" ref="BX46">INDEX(BW:BW,MIN(IF(ISNUMBER(BW46:BW242),ROW(BW46:BW242),"")))</f>
        <v>10.952991452991451</v>
      </c>
      <c r="BY46" s="12">
        <f>IF('Données projet'!$A$114&gt;35,BY45+BX46-CG45,IF(A46&lt;'Données projet'!$A$114,$BV$205^A46,IF(A46='Données projet'!$A$114,'Données projet'!$B$114,BY45+BX46-CG45)))</f>
        <v>255.5153846153847</v>
      </c>
      <c r="BZ46" s="13">
        <f>BY46*VLOOKUP('Données projet'!$B$12,Paramètres!$A$1:$I$89,3,0)*VLOOKUP('Données projet'!$B$12,Paramètres!$A$1:$I$89,5,0)</f>
        <v>142.83310000000006</v>
      </c>
      <c r="CA46" s="13">
        <f t="shared" si="39"/>
        <v>36.945270222902437</v>
      </c>
      <c r="CB46" s="20">
        <f t="shared" si="10"/>
        <v>313.11399480488848</v>
      </c>
      <c r="CC46" s="59">
        <f t="shared" si="11"/>
        <v>606.44732813822179</v>
      </c>
      <c r="CD46" s="59">
        <f ca="1">AVERAGE(OFFSET($CC$3,0,0,'Données projet'!$E$12+1,1))-AVERAGE(OFFSET($H$3,0,0,'Données projet'!$E$12+1,1))</f>
        <v>190.08613104982993</v>
      </c>
      <c r="CE46" s="59">
        <f t="shared" si="40"/>
        <v>180.55054525447781</v>
      </c>
      <c r="CF46" s="15">
        <f>IF(ISNA(VLOOKUP(A46,'Données projet'!$A$113:$I$133,3,0)),0,VLOOKUP(A46,'Données projet'!$A$113:$I$133,3,0))</f>
        <v>2</v>
      </c>
      <c r="CG46" s="15">
        <f>IF(ISNA(VLOOKUP(A46,'Données projet'!$A$113:$I$133,4,0)),0,VLOOKUP(A46,'Données projet'!$A$113:$I$133,4,0))</f>
        <v>60.638461538461534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16.2</v>
      </c>
      <c r="CT46" s="12">
        <f>IF('Données projet'!$A$140&gt;35,CT45+CS46-DB45,IF(A46&lt;'Données projet'!$A$140,$CQ$205^A46,IF(A46='Données projet'!$A$140,'Données projet'!$B$140,CT45+CS46-DB45)))</f>
        <v>266.59999999999991</v>
      </c>
      <c r="CU46" s="17">
        <f>CT46*VLOOKUP('Données projet'!$B$13,Paramètres!$A$1:$I$89,3,0)*VLOOKUP('Données projet'!$B$13,Paramètres!$A$1:$I$89,5,0)</f>
        <v>159.42679999999996</v>
      </c>
      <c r="CV46" s="13">
        <f t="shared" si="41"/>
        <v>40.713201554193425</v>
      </c>
      <c r="CW46" s="20">
        <f t="shared" si="13"/>
        <v>348.57716937355349</v>
      </c>
      <c r="CX46" s="59">
        <f t="shared" si="14"/>
        <v>641.91050270688675</v>
      </c>
      <c r="CY46" s="59">
        <f ca="1">AVERAGE(OFFSET($CX$3,0,0,'Données projet'!$E$13+1,1))-AVERAGE(OFFSET($H$3,0,0,'Données projet'!$E$13+1,1))</f>
        <v>270.30888762640245</v>
      </c>
      <c r="CZ46" s="59">
        <f t="shared" si="42"/>
        <v>202.23783851977691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1.6557019616809998</v>
      </c>
      <c r="DG46" s="21">
        <f>EXP(-LN(2)/25)*DG45+(1-EXP(-LN(2)/25))/(LN(2)/25)*Calculateur!DB46*Calculateur!DD46*VLOOKUP('Données projet'!$B$13,Paramètres!$A$1:$I$89,3,0)*0.475*44/12</f>
        <v>8.5743318623462557</v>
      </c>
      <c r="DH46" s="21">
        <f>EXP(-LN(2)/2)*DH45+(1-EXP(-LN(2)/2))/(LN(2)/2)*DB46*DE46*VLOOKUP('Données projet'!$B$13,Paramètres!$A$1:$I$89,3,0)*0.475*44/12</f>
        <v>0.20431638958306669</v>
      </c>
      <c r="DI46" s="22">
        <f t="shared" si="15"/>
        <v>10.434350213610323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13.5</v>
      </c>
      <c r="DO46" s="12">
        <f>IF('Données projet'!$A$166&gt;35,DO45+DN46-DW45,IF(A46&lt;'Données projet'!$A$166,$DL$205^A46,IF(A46='Données projet'!$A$166,'Données projet'!$B$166,DO45+DN46-DW45)))</f>
        <v>226.5</v>
      </c>
      <c r="DP46" s="17">
        <f>DO46*VLOOKUP('Données projet'!$B$14,Paramètres!$A$1:$I$89,3,0)*VLOOKUP('Données projet'!$B$14,Paramètres!$A$1:$I$89,5,0)</f>
        <v>135.447</v>
      </c>
      <c r="DQ46" s="13">
        <f t="shared" si="43"/>
        <v>35.251978629496371</v>
      </c>
      <c r="DR46" s="20">
        <f t="shared" si="16"/>
        <v>297.30072111303951</v>
      </c>
      <c r="DS46" s="59">
        <f t="shared" si="17"/>
        <v>590.63405444637283</v>
      </c>
      <c r="DT46" s="59">
        <f ca="1">AVERAGE(OFFSET($DS$3,0,0,'Données projet'!$E$14+1,1))-AVERAGE(OFFSET($H$3,0,0,'Données projet'!$E$14+1,1))</f>
        <v>221.14988592347311</v>
      </c>
      <c r="DU46" s="59">
        <f t="shared" si="44"/>
        <v>179.09262081171607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1.7660820924597334</v>
      </c>
      <c r="EB46" s="21">
        <f>EXP(-LN(2)/25)*EB45+(1-EXP(-LN(2)/25))/(LN(2)/25)*Calculateur!DW46*Calculateur!DY46*VLOOKUP('Données projet'!$B$14,Paramètres!$A$1:$I$89,3,0)*0.475*44/12</f>
        <v>7.1414366179028068</v>
      </c>
      <c r="EC46" s="21">
        <f>EXP(-LN(2)/2)*EC45+(1-EXP(-LN(2)/2))/(LN(2)/2)*DW46*DZ46*VLOOKUP('Données projet'!$B$14,Paramètres!$A$1:$I$89,3,0)*0.475*44/12</f>
        <v>0.21544391835212159</v>
      </c>
      <c r="ED46" s="22">
        <f t="shared" si="18"/>
        <v>9.1229626287146619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9.9</v>
      </c>
      <c r="EJ46" s="12">
        <f>IF('Données projet'!$A$192&gt;35,EJ45+EI46-ER45,IF(A46&lt;'Données projet'!$A$192,$EG$205^A46,IF(A46='Données projet'!$A$192,'Données projet'!$B$192,EJ45+EI46-ER45)))</f>
        <v>232.7</v>
      </c>
      <c r="EK46" s="17">
        <f>EJ46*VLOOKUP('Données projet'!$B$15,Paramètres!$A$1:$I$89,3,0)*VLOOKUP('Données projet'!$B$15,Paramètres!$A$1:$I$89,5,0)</f>
        <v>127.05419999999999</v>
      </c>
      <c r="EL46" s="13">
        <f t="shared" si="45"/>
        <v>33.314766081862359</v>
      </c>
      <c r="EM46" s="20">
        <f t="shared" si="19"/>
        <v>279.30928259257695</v>
      </c>
      <c r="EN46" s="59">
        <f t="shared" si="20"/>
        <v>572.64261592591026</v>
      </c>
      <c r="EO46" s="59">
        <f ca="1">AVERAGE(OFFSET($EN$3,0,0,'Données projet'!$E$15+1,1))-AVERAGE(OFFSET($H$3,0,0,'Données projet'!$E$15+1,1))</f>
        <v>168.72306536277267</v>
      </c>
      <c r="EP46" s="59">
        <f t="shared" si="46"/>
        <v>203.35476578922339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2.3515766991991014</v>
      </c>
      <c r="EW46" s="21">
        <f>EXP(-LN(2)/25)*EW45+(1-EXP(-LN(2)/25))/(LN(2)/25)*Calculateur!ER46*Calculateur!ET46*VLOOKUP('Données projet'!$B$15,Paramètres!$A$1:$I$89,3,0)*0.475*44/12</f>
        <v>16.029106611376122</v>
      </c>
      <c r="EX46" s="21">
        <f>EXP(-LN(2)/2)*EX45+(1-EXP(-LN(2)/2))/(LN(2)/2)*ER46*EU46*VLOOKUP('Données projet'!$B$15,Paramètres!$A$1:$I$89,3,0)*0.475*44/12</f>
        <v>0.22123433956122893</v>
      </c>
      <c r="EY46" s="22">
        <f t="shared" si="21"/>
        <v>18.60191765013645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8.1999999999999993</v>
      </c>
      <c r="FE46" s="12">
        <f>IF('Données projet'!$A$218&gt;35,FE45+FD46-FM45,IF(A46&lt;'Données projet'!$A$218,$FB$205^A46,IF(A46='Données projet'!$A$218,'Données projet'!$B$218,FE45+FD46-FM45)))</f>
        <v>196.60000000000005</v>
      </c>
      <c r="FF46" s="17">
        <f>FE46*VLOOKUP('Données projet'!$B$16,Paramètres!$A$1:$I$89,3,0)*VLOOKUP('Données projet'!$B$16,Paramètres!$A$1:$I$89,5,0)</f>
        <v>107.34360000000002</v>
      </c>
      <c r="FG46" s="13">
        <f t="shared" si="47"/>
        <v>28.704228361851108</v>
      </c>
      <c r="FH46" s="20">
        <f t="shared" si="22"/>
        <v>236.94996773022407</v>
      </c>
      <c r="FI46" s="59">
        <f t="shared" si="23"/>
        <v>530.28330106355736</v>
      </c>
      <c r="FJ46" s="59">
        <f ca="1">AVERAGE(OFFSET($FI$3,0,0,'Données projet'!$E$16+1,1))-AVERAGE(OFFSET($H$3,0,0,'Données projet'!$E$16+1,1))</f>
        <v>127.76128532861486</v>
      </c>
      <c r="FK46" s="59">
        <f t="shared" si="48"/>
        <v>157.52303491639736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>
        <f>EXP(-LN(2)/35)*FQ45+(1-EXP(-LN(2)/35))/(LN(2)/35)*FM46*FN46*VLOOKUP('Données projet'!$B$16,Paramètres!$A$1:$I$89,3,0)*0.475*44/12</f>
        <v>1.8812613593592804</v>
      </c>
      <c r="FR46" s="21">
        <f>EXP(-LN(2)/25)*FR45+(1-EXP(-LN(2)/25))/(LN(2)/25)*Calculateur!FM46*Calculateur!FO46*VLOOKUP('Données projet'!$B$16,Paramètres!$A$1:$I$89,3,0)*0.475*44/12</f>
        <v>11.381993724613061</v>
      </c>
      <c r="FS46" s="21">
        <f>EXP(-LN(2)/2)*FS45+(1-EXP(-LN(2)/2))/(LN(2)/2)*FM46*FP46*VLOOKUP('Données projet'!$B$16,Paramètres!$A$1:$I$89,3,0)*0.475*44/12</f>
        <v>0.17564277667625211</v>
      </c>
      <c r="FT46" s="22">
        <f t="shared" si="24"/>
        <v>13.438897860648593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>
        <f>VLOOKUP(A47,'Données projet'!$A$35:$I$55,2,0)</f>
        <v>162.42307692307691</v>
      </c>
      <c r="L47" s="12">
        <f>VLOOKUP(A47,'Données projet'!$A$35:$I$55,9,0)</f>
        <v>5.3369963369963358</v>
      </c>
      <c r="M47" s="12">
        <f t="array" ref="M47">INDEX(L:L,MIN(IF(ISNUMBER(L47:L243),ROW(L47:L243),"")))</f>
        <v>5.3369963369963358</v>
      </c>
      <c r="N47" s="13">
        <f>IF('Données projet'!$A$36&gt;35,N46+M47-V46,IF(A47&lt;'Données projet'!$A$36,$K$205^A47,IF(A47='Données projet'!$A$36,'Données projet'!$B$36,N46+M47-V46)))</f>
        <v>162.42307692307685</v>
      </c>
      <c r="O47" s="13">
        <f>N47*VLOOKUP('Données projet'!$B$9,Paramètres!$A$1:$I$89,3,0)*VLOOKUP('Données projet'!$B$9,Paramètres!$A$1:$I$89,5,0)</f>
        <v>146.96039999999991</v>
      </c>
      <c r="P47" s="13">
        <f t="shared" si="33"/>
        <v>37.887004745652405</v>
      </c>
      <c r="Q47" s="20">
        <f t="shared" si="53"/>
        <v>321.94256326534446</v>
      </c>
      <c r="R47" s="59">
        <f t="shared" si="0"/>
        <v>615.27589659867772</v>
      </c>
      <c r="S47" s="59">
        <f ca="1">AVERAGE(OFFSET($R$3,0,0,'Données projet'!$E$9+1,1))-AVERAGE(OFFSET($H$3,0,0,'Données projet'!$E$9+1,1))</f>
        <v>153.45079678708987</v>
      </c>
      <c r="T47" s="59">
        <f t="shared" si="34"/>
        <v>115.4217868409637</v>
      </c>
      <c r="U47" s="15">
        <f>IF(ISNA(VLOOKUP(A47,'Données projet'!$A$35:$I$55,3,0)),0,VLOOKUP(A47,'Données projet'!$A$35:$I$55,3,0))</f>
        <v>1</v>
      </c>
      <c r="V47" s="15">
        <f>IF(ISNA(VLOOKUP(A47,'Données projet'!$A$35:$I$55,4,0)),0,VLOOKUP(A47,'Données projet'!$A$35:$I$55,4,0))</f>
        <v>64.416666666666657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0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3.5192307692307692</v>
      </c>
      <c r="AI47" s="13">
        <f>IF('Données projet'!$A$62&gt;35,AI46+AH47-AQ46,IF(A47&lt;'Données projet'!$A$62,$AF$205^A47,IF(A47='Données projet'!$A$62,'Données projet'!$B$62,AI46+AH47-AQ46)))</f>
        <v>106.01282051282055</v>
      </c>
      <c r="AJ47" s="13">
        <f>AI47*VLOOKUP('Données projet'!$B$10,Paramètres!$A$1:$I$89,3,0)*VLOOKUP('Données projet'!$B$10,Paramètres!$A$1:$I$89,5,0)</f>
        <v>95.920400000000029</v>
      </c>
      <c r="AK47" s="13">
        <f t="shared" si="35"/>
        <v>25.987745666638073</v>
      </c>
      <c r="AL47" s="20">
        <f t="shared" si="4"/>
        <v>212.32335370272801</v>
      </c>
      <c r="AM47" s="59">
        <f t="shared" si="5"/>
        <v>505.65668703606133</v>
      </c>
      <c r="AN47" s="59">
        <f ca="1">AVERAGE(OFFSET($AM$3,0,0,'Données projet'!$E$10+1,1))-AVERAGE(OFFSET($H$3,0,0,'Données projet'!$E$10+1,1))</f>
        <v>123.92486590666675</v>
      </c>
      <c r="AO47" s="59">
        <f t="shared" si="36"/>
        <v>54.404493017418986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17.519780219780223</v>
      </c>
      <c r="BD47" s="12">
        <f>IF('Données projet'!$A$88&gt;35,BD46+BC47-BL46,IF(A47&lt;'Données projet'!$A$88,$BA$205^A47,IF(A47='Données projet'!$A$88,'Données projet'!$B$88,BD46+BC47-BL46)))</f>
        <v>316.97032967032976</v>
      </c>
      <c r="BE47" s="13">
        <f>BD47*VLOOKUP('Données projet'!$B$11,Paramètres!$A$1:$I$89,3,0)*VLOOKUP('Données projet'!$B$11,Paramètres!$A$1:$I$89,5,0)</f>
        <v>177.18641428571433</v>
      </c>
      <c r="BF47" s="13">
        <f t="shared" si="37"/>
        <v>44.695642380138821</v>
      </c>
      <c r="BG47" s="20">
        <f t="shared" si="7"/>
        <v>386.44458202636088</v>
      </c>
      <c r="BH47" s="59">
        <f t="shared" si="8"/>
        <v>679.77791535969413</v>
      </c>
      <c r="BI47" s="59">
        <f ca="1">AVERAGE(OFFSET($BH$3,0,0,'Données projet'!$E$11+1,1))-AVERAGE(OFFSET($H$3,0,0,'Données projet'!$E$11+1,1))</f>
        <v>224.7049802939942</v>
      </c>
      <c r="BJ47" s="59">
        <f t="shared" si="38"/>
        <v>203.48513862195352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1.6909034744835132</v>
      </c>
      <c r="BQ47" s="21">
        <f>EXP(-LN(2)/25)*BQ46+(1-EXP(-LN(2)/25))/(LN(2)/25)*Calculateur!BL47*Calculateur!BN47*VLOOKUP('Données projet'!$B$11,Paramètres!$A$1:$I$89,3,0)*0.475*44/12</f>
        <v>13.243529274250166</v>
      </c>
      <c r="BR47" s="21">
        <f>EXP(-LN(2)/2)*BR46+(1-EXP(-LN(2)/2))/(LN(2)/2)*BL47*BO47*VLOOKUP('Données projet'!$B$11,Paramètres!$A$1:$I$89,3,0)*0.475*44/12</f>
        <v>7.0004785867875036E-2</v>
      </c>
      <c r="BS47" s="22">
        <f t="shared" si="9"/>
        <v>15.004437534601553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10.423076923076922</v>
      </c>
      <c r="BY47" s="12">
        <f>IF('Données projet'!$A$114&gt;35,BY46+BX47-CG46,IF(A47&lt;'Données projet'!$A$114,$BV$205^A47,IF(A47='Données projet'!$A$114,'Données projet'!$B$114,BY46+BX47-CG46)))</f>
        <v>205.3000000000001</v>
      </c>
      <c r="BZ47" s="13">
        <f>BY47*VLOOKUP('Données projet'!$B$12,Paramètres!$A$1:$I$89,3,0)*VLOOKUP('Données projet'!$B$12,Paramètres!$A$1:$I$89,5,0)</f>
        <v>114.76270000000005</v>
      </c>
      <c r="CA47" s="13">
        <f t="shared" si="39"/>
        <v>30.450330729103193</v>
      </c>
      <c r="CB47" s="20">
        <f t="shared" si="10"/>
        <v>252.91269518652152</v>
      </c>
      <c r="CC47" s="59">
        <f t="shared" si="11"/>
        <v>546.2460285198548</v>
      </c>
      <c r="CD47" s="59">
        <f ca="1">AVERAGE(OFFSET($CC$3,0,0,'Données projet'!$E$12+1,1))-AVERAGE(OFFSET($H$3,0,0,'Données projet'!$E$12+1,1))</f>
        <v>190.08613104982993</v>
      </c>
      <c r="CE47" s="59">
        <f t="shared" si="40"/>
        <v>180.55054525447781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0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16.2</v>
      </c>
      <c r="CT47" s="12">
        <f>IF('Données projet'!$A$140&gt;35,CT46+CS47-DB46,IF(A47&lt;'Données projet'!$A$140,$CQ$205^A47,IF(A47='Données projet'!$A$140,'Données projet'!$B$140,CT46+CS47-DB46)))</f>
        <v>282.7999999999999</v>
      </c>
      <c r="CU47" s="17">
        <f>CT47*VLOOKUP('Données projet'!$B$13,Paramètres!$A$1:$I$89,3,0)*VLOOKUP('Données projet'!$B$13,Paramètres!$A$1:$I$89,5,0)</f>
        <v>169.11439999999996</v>
      </c>
      <c r="CV47" s="13">
        <f t="shared" si="41"/>
        <v>42.891618392708978</v>
      </c>
      <c r="CW47" s="20">
        <f t="shared" si="13"/>
        <v>369.24381536730135</v>
      </c>
      <c r="CX47" s="59">
        <f t="shared" si="14"/>
        <v>662.57714870063467</v>
      </c>
      <c r="CY47" s="59">
        <f ca="1">AVERAGE(OFFSET($CX$3,0,0,'Données projet'!$E$13+1,1))-AVERAGE(OFFSET($H$3,0,0,'Données projet'!$E$13+1,1))</f>
        <v>270.30888762640245</v>
      </c>
      <c r="CZ47" s="59">
        <f t="shared" si="42"/>
        <v>202.23783851977691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1.6232346560909148</v>
      </c>
      <c r="DG47" s="21">
        <f>EXP(-LN(2)/25)*DG46+(1-EXP(-LN(2)/25))/(LN(2)/25)*Calculateur!DB47*Calculateur!DD47*VLOOKUP('Données projet'!$B$13,Paramètres!$A$1:$I$89,3,0)*0.475*44/12</f>
        <v>8.3398663066658809</v>
      </c>
      <c r="DH47" s="21">
        <f>EXP(-LN(2)/2)*DH46+(1-EXP(-LN(2)/2))/(LN(2)/2)*DB47*DE47*VLOOKUP('Données projet'!$B$13,Paramètres!$A$1:$I$89,3,0)*0.475*44/12</f>
        <v>0.14447350458173894</v>
      </c>
      <c r="DI47" s="22">
        <f t="shared" si="15"/>
        <v>10.107574467338535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13.5</v>
      </c>
      <c r="DO47" s="12">
        <f>IF('Données projet'!$A$166&gt;35,DO46+DN47-DW46,IF(A47&lt;'Données projet'!$A$166,$DL$205^A47,IF(A47='Données projet'!$A$166,'Données projet'!$B$166,DO46+DN47-DW46)))</f>
        <v>240</v>
      </c>
      <c r="DP47" s="17">
        <f>DO47*VLOOKUP('Données projet'!$B$14,Paramètres!$A$1:$I$89,3,0)*VLOOKUP('Données projet'!$B$14,Paramètres!$A$1:$I$89,5,0)</f>
        <v>143.52000000000001</v>
      </c>
      <c r="DQ47" s="13">
        <f t="shared" si="43"/>
        <v>37.102218970378601</v>
      </c>
      <c r="DR47" s="20">
        <f t="shared" si="16"/>
        <v>314.58369804007606</v>
      </c>
      <c r="DS47" s="59">
        <f t="shared" si="17"/>
        <v>607.91703137340937</v>
      </c>
      <c r="DT47" s="59">
        <f ca="1">AVERAGE(OFFSET($DS$3,0,0,'Données projet'!$E$14+1,1))-AVERAGE(OFFSET($H$3,0,0,'Données projet'!$E$14+1,1))</f>
        <v>221.14988592347311</v>
      </c>
      <c r="DU47" s="59">
        <f t="shared" si="44"/>
        <v>179.09262081171607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1.7314502998303094</v>
      </c>
      <c r="EB47" s="21">
        <f>EXP(-LN(2)/25)*EB46+(1-EXP(-LN(2)/25))/(LN(2)/25)*Calculateur!DW47*Calculateur!DY47*VLOOKUP('Données projet'!$B$14,Paramètres!$A$1:$I$89,3,0)*0.475*44/12</f>
        <v>6.946153658034425</v>
      </c>
      <c r="EC47" s="21">
        <f>EXP(-LN(2)/2)*EC46+(1-EXP(-LN(2)/2))/(LN(2)/2)*DW47*DZ47*VLOOKUP('Données projet'!$B$14,Paramètres!$A$1:$I$89,3,0)*0.475*44/12</f>
        <v>0.15234185563218605</v>
      </c>
      <c r="ED47" s="22">
        <f t="shared" si="18"/>
        <v>8.82994581349692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9.9</v>
      </c>
      <c r="EJ47" s="12">
        <f>IF('Données projet'!$A$192&gt;35,EJ46+EI47-ER46,IF(A47&lt;'Données projet'!$A$192,$EG$205^A47,IF(A47='Données projet'!$A$192,'Données projet'!$B$192,EJ46+EI47-ER46)))</f>
        <v>242.6</v>
      </c>
      <c r="EK47" s="17">
        <f>EJ47*VLOOKUP('Données projet'!$B$15,Paramètres!$A$1:$I$89,3,0)*VLOOKUP('Données projet'!$B$15,Paramètres!$A$1:$I$89,5,0)</f>
        <v>132.45959999999999</v>
      </c>
      <c r="EL47" s="13">
        <f t="shared" si="45"/>
        <v>34.56407921374916</v>
      </c>
      <c r="EM47" s="20">
        <f t="shared" si="19"/>
        <v>290.89957463061307</v>
      </c>
      <c r="EN47" s="59">
        <f t="shared" si="20"/>
        <v>584.23290796394645</v>
      </c>
      <c r="EO47" s="59">
        <f ca="1">AVERAGE(OFFSET($EN$3,0,0,'Données projet'!$E$15+1,1))-AVERAGE(OFFSET($H$3,0,0,'Données projet'!$E$15+1,1))</f>
        <v>168.72306536277267</v>
      </c>
      <c r="EP47" s="59">
        <f t="shared" si="46"/>
        <v>203.35476578922339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2.3054637144479662</v>
      </c>
      <c r="EW47" s="21">
        <f>EXP(-LN(2)/25)*EW46+(1-EXP(-LN(2)/25))/(LN(2)/25)*Calculateur!ER47*Calculateur!ET47*VLOOKUP('Données projet'!$B$15,Paramètres!$A$1:$I$89,3,0)*0.475*44/12</f>
        <v>15.59078984815396</v>
      </c>
      <c r="EX47" s="21">
        <f>EXP(-LN(2)/2)*EX46+(1-EXP(-LN(2)/2))/(LN(2)/2)*ER47*EU47*VLOOKUP('Données projet'!$B$15,Paramètres!$A$1:$I$89,3,0)*0.475*44/12</f>
        <v>0.15643630173507228</v>
      </c>
      <c r="EY47" s="22">
        <f t="shared" si="21"/>
        <v>18.052689864337001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8.1999999999999993</v>
      </c>
      <c r="FE47" s="12">
        <f>IF('Données projet'!$A$218&gt;35,FE46+FD47-FM46,IF(A47&lt;'Données projet'!$A$218,$FB$205^A47,IF(A47='Données projet'!$A$218,'Données projet'!$B$218,FE46+FD47-FM46)))</f>
        <v>204.80000000000004</v>
      </c>
      <c r="FF47" s="17">
        <f>FE47*VLOOKUP('Données projet'!$B$16,Paramètres!$A$1:$I$89,3,0)*VLOOKUP('Données projet'!$B$16,Paramètres!$A$1:$I$89,5,0)</f>
        <v>111.82080000000003</v>
      </c>
      <c r="FG47" s="13">
        <f t="shared" si="47"/>
        <v>29.759568497877257</v>
      </c>
      <c r="FH47" s="20">
        <f t="shared" si="22"/>
        <v>246.5858084671363</v>
      </c>
      <c r="FI47" s="59">
        <f t="shared" si="23"/>
        <v>539.91914180046956</v>
      </c>
      <c r="FJ47" s="59">
        <f ca="1">AVERAGE(OFFSET($FI$3,0,0,'Données projet'!$E$16+1,1))-AVERAGE(OFFSET($H$3,0,0,'Données projet'!$E$16+1,1))</f>
        <v>127.76128532861486</v>
      </c>
      <c r="FK47" s="59">
        <f t="shared" si="48"/>
        <v>157.52303491639736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>
        <f>EXP(-LN(2)/35)*FQ46+(1-EXP(-LN(2)/35))/(LN(2)/35)*FM47*FN47*VLOOKUP('Données projet'!$B$16,Paramètres!$A$1:$I$89,3,0)*0.475*44/12</f>
        <v>1.8443709715583723</v>
      </c>
      <c r="FR47" s="21">
        <f>EXP(-LN(2)/25)*FR46+(1-EXP(-LN(2)/25))/(LN(2)/25)*Calculateur!FM47*Calculateur!FO47*VLOOKUP('Données projet'!$B$16,Paramètres!$A$1:$I$89,3,0)*0.475*44/12</f>
        <v>11.070752507660481</v>
      </c>
      <c r="FS47" s="21">
        <f>EXP(-LN(2)/2)*FS46+(1-EXP(-LN(2)/2))/(LN(2)/2)*FM47*FP47*VLOOKUP('Données projet'!$B$16,Paramètres!$A$1:$I$89,3,0)*0.475*44/12</f>
        <v>0.12419819845421225</v>
      </c>
      <c r="FT47" s="22">
        <f t="shared" si="24"/>
        <v>13.039321677673067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6.8260073260073284</v>
      </c>
      <c r="N48" s="13">
        <f>IF('Données projet'!$A$36&gt;35,N47+M48-V47,IF(A48&lt;'Données projet'!$A$36,$K$205^A48,IF(A48='Données projet'!$A$36,'Données projet'!$B$36,N47+M48-V47)))</f>
        <v>104.83241758241752</v>
      </c>
      <c r="O48" s="13">
        <f>N48*VLOOKUP('Données projet'!$B$9,Paramètres!$A$1:$I$89,3,0)*VLOOKUP('Données projet'!$B$9,Paramètres!$A$1:$I$89,5,0)</f>
        <v>94.852371428571374</v>
      </c>
      <c r="P48" s="13">
        <f t="shared" si="33"/>
        <v>25.731899613510901</v>
      </c>
      <c r="Q48" s="20">
        <f t="shared" si="53"/>
        <v>210.01760539829328</v>
      </c>
      <c r="R48" s="59">
        <f t="shared" si="0"/>
        <v>503.35093873162657</v>
      </c>
      <c r="S48" s="59">
        <f ca="1">AVERAGE(OFFSET($R$3,0,0,'Données projet'!$E$9+1,1))-AVERAGE(OFFSET($H$3,0,0,'Données projet'!$E$9+1,1))</f>
        <v>153.45079678708987</v>
      </c>
      <c r="T48" s="59">
        <f t="shared" si="34"/>
        <v>115.4217868409637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0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0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3.5192307692307692</v>
      </c>
      <c r="AI48" s="13">
        <f>IF('Données projet'!$A$62&gt;35,AI47+AH48-AQ47,IF(A48&lt;'Données projet'!$A$62,$AF$205^A48,IF(A48='Données projet'!$A$62,'Données projet'!$B$62,AI47+AH48-AQ47)))</f>
        <v>109.53205128205133</v>
      </c>
      <c r="AJ48" s="13">
        <f>AI48*VLOOKUP('Données projet'!$B$10,Paramètres!$A$1:$I$89,3,0)*VLOOKUP('Données projet'!$B$10,Paramètres!$A$1:$I$89,5,0)</f>
        <v>99.104600000000033</v>
      </c>
      <c r="AK48" s="13">
        <f t="shared" si="35"/>
        <v>26.748569309244736</v>
      </c>
      <c r="AL48" s="20">
        <f t="shared" si="4"/>
        <v>219.19426988026797</v>
      </c>
      <c r="AM48" s="59">
        <f t="shared" si="5"/>
        <v>512.52760321360131</v>
      </c>
      <c r="AN48" s="59">
        <f ca="1">AVERAGE(OFFSET($AM$3,0,0,'Données projet'!$E$10+1,1))-AVERAGE(OFFSET($H$3,0,0,'Données projet'!$E$10+1,1))</f>
        <v>123.92486590666675</v>
      </c>
      <c r="AO48" s="59">
        <f t="shared" si="36"/>
        <v>54.404493017418986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17.519780219780223</v>
      </c>
      <c r="BD48" s="12">
        <f>IF('Données projet'!$A$88&gt;35,BD47+BC48-BL47,IF(A48&lt;'Données projet'!$A$88,$BA$205^A48,IF(A48='Données projet'!$A$88,'Données projet'!$B$88,BD47+BC48-BL47)))</f>
        <v>334.49010989010998</v>
      </c>
      <c r="BE48" s="13">
        <f>BD48*VLOOKUP('Données projet'!$B$11,Paramètres!$A$1:$I$89,3,0)*VLOOKUP('Données projet'!$B$11,Paramètres!$A$1:$I$89,5,0)</f>
        <v>186.9799714285715</v>
      </c>
      <c r="BF48" s="13">
        <f t="shared" si="37"/>
        <v>46.871646064498115</v>
      </c>
      <c r="BG48" s="20">
        <f t="shared" si="7"/>
        <v>407.29156713376295</v>
      </c>
      <c r="BH48" s="59">
        <f t="shared" si="8"/>
        <v>700.62490046709627</v>
      </c>
      <c r="BI48" s="59">
        <f ca="1">AVERAGE(OFFSET($BH$3,0,0,'Données projet'!$E$11+1,1))-AVERAGE(OFFSET($H$3,0,0,'Données projet'!$E$11+1,1))</f>
        <v>224.7049802939942</v>
      </c>
      <c r="BJ48" s="59">
        <f t="shared" si="38"/>
        <v>203.48513862195352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1.6577458886981737</v>
      </c>
      <c r="BQ48" s="21">
        <f>EXP(-LN(2)/25)*BQ47+(1-EXP(-LN(2)/25))/(LN(2)/25)*Calculateur!BL48*Calculateur!BN48*VLOOKUP('Données projet'!$B$11,Paramètres!$A$1:$I$89,3,0)*0.475*44/12</f>
        <v>12.881384269798859</v>
      </c>
      <c r="BR48" s="21">
        <f>EXP(-LN(2)/2)*BR47+(1-EXP(-LN(2)/2))/(LN(2)/2)*BL48*BO48*VLOOKUP('Données projet'!$B$11,Paramètres!$A$1:$I$89,3,0)*0.475*44/12</f>
        <v>4.9500858802686627E-2</v>
      </c>
      <c r="BS48" s="22">
        <f t="shared" si="9"/>
        <v>14.588631017299718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10.423076923076922</v>
      </c>
      <c r="BY48" s="12">
        <f>IF('Données projet'!$A$114&gt;35,BY47+BX48-CG47,IF(A48&lt;'Données projet'!$A$114,$BV$205^A48,IF(A48='Données projet'!$A$114,'Données projet'!$B$114,BY47+BX48-CG47)))</f>
        <v>215.72307692307703</v>
      </c>
      <c r="BZ48" s="13">
        <f>BY48*VLOOKUP('Données projet'!$B$12,Paramètres!$A$1:$I$89,3,0)*VLOOKUP('Données projet'!$B$12,Paramètres!$A$1:$I$89,5,0)</f>
        <v>120.58920000000006</v>
      </c>
      <c r="CA48" s="13">
        <f t="shared" si="39"/>
        <v>31.812381320163617</v>
      </c>
      <c r="CB48" s="20">
        <f t="shared" si="10"/>
        <v>265.43275413261836</v>
      </c>
      <c r="CC48" s="59">
        <f t="shared" si="11"/>
        <v>558.76608746595161</v>
      </c>
      <c r="CD48" s="59">
        <f ca="1">AVERAGE(OFFSET($CC$3,0,0,'Données projet'!$E$12+1,1))-AVERAGE(OFFSET($H$3,0,0,'Données projet'!$E$12+1,1))</f>
        <v>190.08613104982993</v>
      </c>
      <c r="CE48" s="59">
        <f t="shared" si="40"/>
        <v>180.55054525447781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0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16.2</v>
      </c>
      <c r="CT48" s="12">
        <f>IF('Données projet'!$A$140&gt;35,CT47+CS48-DB47,IF(A48&lt;'Données projet'!$A$140,$CQ$205^A48,IF(A48='Données projet'!$A$140,'Données projet'!$B$140,CT47+CS48-DB47)))</f>
        <v>298.99999999999989</v>
      </c>
      <c r="CU48" s="17">
        <f>CT48*VLOOKUP('Données projet'!$B$13,Paramètres!$A$1:$I$89,3,0)*VLOOKUP('Données projet'!$B$13,Paramètres!$A$1:$I$89,5,0)</f>
        <v>178.80199999999996</v>
      </c>
      <c r="CV48" s="13">
        <f t="shared" si="41"/>
        <v>45.055549739375898</v>
      </c>
      <c r="CW48" s="20">
        <f t="shared" si="13"/>
        <v>389.88523246274627</v>
      </c>
      <c r="CX48" s="59">
        <f t="shared" si="14"/>
        <v>683.21856579607959</v>
      </c>
      <c r="CY48" s="59">
        <f ca="1">AVERAGE(OFFSET($CX$3,0,0,'Données projet'!$E$13+1,1))-AVERAGE(OFFSET($H$3,0,0,'Données projet'!$E$13+1,1))</f>
        <v>270.30888762640245</v>
      </c>
      <c r="CZ48" s="59">
        <f t="shared" si="42"/>
        <v>202.23783851977691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1.5914040145603503</v>
      </c>
      <c r="DG48" s="21">
        <f>EXP(-LN(2)/25)*DG47+(1-EXP(-LN(2)/25))/(LN(2)/25)*Calculateur!DB48*Calculateur!DD48*VLOOKUP('Données projet'!$B$13,Paramètres!$A$1:$I$89,3,0)*0.475*44/12</f>
        <v>8.1118122239355941</v>
      </c>
      <c r="DH48" s="21">
        <f>EXP(-LN(2)/2)*DH47+(1-EXP(-LN(2)/2))/(LN(2)/2)*DB48*DE48*VLOOKUP('Données projet'!$B$13,Paramètres!$A$1:$I$89,3,0)*0.475*44/12</f>
        <v>0.10215819479153335</v>
      </c>
      <c r="DI48" s="22">
        <f t="shared" si="15"/>
        <v>9.8053744332874775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13.5</v>
      </c>
      <c r="DO48" s="12">
        <f>IF('Données projet'!$A$166&gt;35,DO47+DN48-DW47,IF(A48&lt;'Données projet'!$A$166,$DL$205^A48,IF(A48='Données projet'!$A$166,'Données projet'!$B$166,DO47+DN48-DW47)))</f>
        <v>253.5</v>
      </c>
      <c r="DP48" s="17">
        <f>DO48*VLOOKUP('Données projet'!$B$14,Paramètres!$A$1:$I$89,3,0)*VLOOKUP('Données projet'!$B$14,Paramètres!$A$1:$I$89,5,0)</f>
        <v>151.59300000000002</v>
      </c>
      <c r="DQ48" s="13">
        <f t="shared" si="43"/>
        <v>38.94037771081765</v>
      </c>
      <c r="DR48" s="20">
        <f t="shared" si="16"/>
        <v>331.84563284634072</v>
      </c>
      <c r="DS48" s="59">
        <f t="shared" si="17"/>
        <v>625.17896617967403</v>
      </c>
      <c r="DT48" s="59">
        <f ca="1">AVERAGE(OFFSET($DS$3,0,0,'Données projet'!$E$14+1,1))-AVERAGE(OFFSET($H$3,0,0,'Données projet'!$E$14+1,1))</f>
        <v>221.14988592347311</v>
      </c>
      <c r="DU48" s="59">
        <f t="shared" si="44"/>
        <v>179.09262081171607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1.6974976155310406</v>
      </c>
      <c r="EB48" s="21">
        <f>EXP(-LN(2)/25)*EB47+(1-EXP(-LN(2)/25))/(LN(2)/25)*Calculateur!DW48*Calculateur!DY48*VLOOKUP('Données projet'!$B$14,Paramètres!$A$1:$I$89,3,0)*0.475*44/12</f>
        <v>6.7562107209731286</v>
      </c>
      <c r="EC48" s="21">
        <f>EXP(-LN(2)/2)*EC47+(1-EXP(-LN(2)/2))/(LN(2)/2)*DW48*DZ48*VLOOKUP('Données projet'!$B$14,Paramètres!$A$1:$I$89,3,0)*0.475*44/12</f>
        <v>0.1077219591760608</v>
      </c>
      <c r="ED48" s="22">
        <f t="shared" si="18"/>
        <v>8.5614302956802302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9.9</v>
      </c>
      <c r="EJ48" s="12">
        <f>IF('Données projet'!$A$192&gt;35,EJ47+EI48-ER47,IF(A48&lt;'Données projet'!$A$192,$EG$205^A48,IF(A48='Données projet'!$A$192,'Données projet'!$B$192,EJ47+EI48-ER47)))</f>
        <v>252.5</v>
      </c>
      <c r="EK48" s="17">
        <f>EJ48*VLOOKUP('Données projet'!$B$15,Paramètres!$A$1:$I$89,3,0)*VLOOKUP('Données projet'!$B$15,Paramètres!$A$1:$I$89,5,0)</f>
        <v>137.86500000000001</v>
      </c>
      <c r="EL48" s="13">
        <f t="shared" si="45"/>
        <v>35.807470392675356</v>
      </c>
      <c r="EM48" s="20">
        <f t="shared" si="19"/>
        <v>302.47955260057626</v>
      </c>
      <c r="EN48" s="59">
        <f t="shared" si="20"/>
        <v>595.81288593390957</v>
      </c>
      <c r="EO48" s="59">
        <f ca="1">AVERAGE(OFFSET($EN$3,0,0,'Données projet'!$E$15+1,1))-AVERAGE(OFFSET($H$3,0,0,'Données projet'!$E$15+1,1))</f>
        <v>168.72306536277267</v>
      </c>
      <c r="EP48" s="59">
        <f t="shared" si="46"/>
        <v>203.35476578922339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2.2602549772016571</v>
      </c>
      <c r="EW48" s="21">
        <f>EXP(-LN(2)/25)*EW47+(1-EXP(-LN(2)/25))/(LN(2)/25)*Calculateur!ER48*Calculateur!ET48*VLOOKUP('Données projet'!$B$15,Paramètres!$A$1:$I$89,3,0)*0.475*44/12</f>
        <v>15.164458879872186</v>
      </c>
      <c r="EX48" s="21">
        <f>EXP(-LN(2)/2)*EX47+(1-EXP(-LN(2)/2))/(LN(2)/2)*ER48*EU48*VLOOKUP('Données projet'!$B$15,Paramètres!$A$1:$I$89,3,0)*0.475*44/12</f>
        <v>0.11061716978061449</v>
      </c>
      <c r="EY48" s="22">
        <f t="shared" si="21"/>
        <v>17.535331026854458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8.1999999999999993</v>
      </c>
      <c r="FE48" s="12">
        <f>IF('Données projet'!$A$218&gt;35,FE47+FD48-FM47,IF(A48&lt;'Données projet'!$A$218,$FB$205^A48,IF(A48='Données projet'!$A$218,'Données projet'!$B$218,FE47+FD48-FM47)))</f>
        <v>213.00000000000003</v>
      </c>
      <c r="FF48" s="17">
        <f>FE48*VLOOKUP('Données projet'!$B$16,Paramètres!$A$1:$I$89,3,0)*VLOOKUP('Données projet'!$B$16,Paramètres!$A$1:$I$89,5,0)</f>
        <v>116.29800000000002</v>
      </c>
      <c r="FG48" s="13">
        <f t="shared" si="47"/>
        <v>30.810000230207784</v>
      </c>
      <c r="FH48" s="20">
        <f t="shared" si="22"/>
        <v>256.21310040094528</v>
      </c>
      <c r="FI48" s="59">
        <f t="shared" si="23"/>
        <v>549.54643373427859</v>
      </c>
      <c r="FJ48" s="59">
        <f ca="1">AVERAGE(OFFSET($FI$3,0,0,'Données projet'!$E$16+1,1))-AVERAGE(OFFSET($H$3,0,0,'Données projet'!$E$16+1,1))</f>
        <v>127.76128532861486</v>
      </c>
      <c r="FK48" s="59">
        <f t="shared" si="48"/>
        <v>157.52303491639736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>
        <f>EXP(-LN(2)/35)*FQ47+(1-EXP(-LN(2)/35))/(LN(2)/35)*FM48*FN48*VLOOKUP('Données projet'!$B$16,Paramètres!$A$1:$I$89,3,0)*0.475*44/12</f>
        <v>1.8082039817613251</v>
      </c>
      <c r="FR48" s="21">
        <f>EXP(-LN(2)/25)*FR47+(1-EXP(-LN(2)/25))/(LN(2)/25)*Calculateur!FM48*Calculateur!FO48*VLOOKUP('Données projet'!$B$16,Paramètres!$A$1:$I$89,3,0)*0.475*44/12</f>
        <v>10.768022198152934</v>
      </c>
      <c r="FS48" s="21">
        <f>EXP(-LN(2)/2)*FS47+(1-EXP(-LN(2)/2))/(LN(2)/2)*FM48*FP48*VLOOKUP('Données projet'!$B$16,Paramètres!$A$1:$I$89,3,0)*0.475*44/12</f>
        <v>8.7821388338126069E-2</v>
      </c>
      <c r="FT48" s="22">
        <f t="shared" si="24"/>
        <v>12.664047568252386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6.8260073260073284</v>
      </c>
      <c r="N49" s="13">
        <f>IF('Données projet'!$A$36&gt;35,N48+M49-V48,IF(A49&lt;'Données projet'!$A$36,$K$205^A49,IF(A49='Données projet'!$A$36,'Données projet'!$B$36,N48+M49-V48)))</f>
        <v>111.65842490842485</v>
      </c>
      <c r="O49" s="13">
        <f>N49*VLOOKUP('Données projet'!$B$9,Paramètres!$A$1:$I$89,3,0)*VLOOKUP('Données projet'!$B$9,Paramètres!$A$1:$I$89,5,0)</f>
        <v>101.0285428571428</v>
      </c>
      <c r="P49" s="13">
        <f t="shared" si="33"/>
        <v>27.206887577634099</v>
      </c>
      <c r="Q49" s="20">
        <f t="shared" si="53"/>
        <v>223.3433746739031</v>
      </c>
      <c r="R49" s="59">
        <f t="shared" si="0"/>
        <v>516.67670800723636</v>
      </c>
      <c r="S49" s="59">
        <f ca="1">AVERAGE(OFFSET($R$3,0,0,'Données projet'!$E$9+1,1))-AVERAGE(OFFSET($H$3,0,0,'Données projet'!$E$9+1,1))</f>
        <v>153.45079678708987</v>
      </c>
      <c r="T49" s="59">
        <f t="shared" si="34"/>
        <v>115.4217868409637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0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0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3.5192307692307692</v>
      </c>
      <c r="AI49" s="13">
        <f>IF('Données projet'!$A$62&gt;35,AI48+AH49-AQ48,IF(A49&lt;'Données projet'!$A$62,$AF$205^A49,IF(A49='Données projet'!$A$62,'Données projet'!$B$62,AI48+AH49-AQ48)))</f>
        <v>113.0512820512821</v>
      </c>
      <c r="AJ49" s="13">
        <f>AI49*VLOOKUP('Données projet'!$B$10,Paramètres!$A$1:$I$89,3,0)*VLOOKUP('Données projet'!$B$10,Paramètres!$A$1:$I$89,5,0)</f>
        <v>102.28880000000004</v>
      </c>
      <c r="AK49" s="13">
        <f t="shared" si="35"/>
        <v>27.506552348469441</v>
      </c>
      <c r="AL49" s="20">
        <f t="shared" si="4"/>
        <v>226.06023867358431</v>
      </c>
      <c r="AM49" s="59">
        <f t="shared" si="5"/>
        <v>519.39357200691757</v>
      </c>
      <c r="AN49" s="59">
        <f ca="1">AVERAGE(OFFSET($AM$3,0,0,'Données projet'!$E$10+1,1))-AVERAGE(OFFSET($H$3,0,0,'Données projet'!$E$10+1,1))</f>
        <v>123.92486590666675</v>
      </c>
      <c r="AO49" s="59">
        <f t="shared" si="36"/>
        <v>54.404493017418986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17.519780219780223</v>
      </c>
      <c r="BD49" s="12">
        <f>IF('Données projet'!$A$88&gt;35,BD48+BC49-BL48,IF(A49&lt;'Données projet'!$A$88,$BA$205^A49,IF(A49='Données projet'!$A$88,'Données projet'!$B$88,BD48+BC49-BL48)))</f>
        <v>352.00989010989019</v>
      </c>
      <c r="BE49" s="13">
        <f>BD49*VLOOKUP('Données projet'!$B$11,Paramètres!$A$1:$I$89,3,0)*VLOOKUP('Données projet'!$B$11,Paramètres!$A$1:$I$89,5,0)</f>
        <v>196.77352857142861</v>
      </c>
      <c r="BF49" s="13">
        <f t="shared" si="37"/>
        <v>49.034417171503861</v>
      </c>
      <c r="BG49" s="20">
        <f t="shared" si="7"/>
        <v>428.11550550227406</v>
      </c>
      <c r="BH49" s="59">
        <f t="shared" si="8"/>
        <v>721.44883883560738</v>
      </c>
      <c r="BI49" s="59">
        <f ca="1">AVERAGE(OFFSET($BH$3,0,0,'Données projet'!$E$11+1,1))-AVERAGE(OFFSET($H$3,0,0,'Données projet'!$E$11+1,1))</f>
        <v>224.7049802939942</v>
      </c>
      <c r="BJ49" s="59">
        <f t="shared" si="38"/>
        <v>203.48513862195352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1.6252385029459544</v>
      </c>
      <c r="BQ49" s="21">
        <f>EXP(-LN(2)/25)*BQ48+(1-EXP(-LN(2)/25))/(LN(2)/25)*Calculateur!BL49*Calculateur!BN49*VLOOKUP('Données projet'!$B$11,Paramètres!$A$1:$I$89,3,0)*0.475*44/12</f>
        <v>12.529142139538651</v>
      </c>
      <c r="BR49" s="21">
        <f>EXP(-LN(2)/2)*BR48+(1-EXP(-LN(2)/2))/(LN(2)/2)*BL49*BO49*VLOOKUP('Données projet'!$B$11,Paramètres!$A$1:$I$89,3,0)*0.475*44/12</f>
        <v>3.5002392933937518E-2</v>
      </c>
      <c r="BS49" s="22">
        <f t="shared" si="9"/>
        <v>14.189383035418544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10.423076923076922</v>
      </c>
      <c r="BY49" s="12">
        <f>IF('Données projet'!$A$114&gt;35,BY48+BX49-CG48,IF(A49&lt;'Données projet'!$A$114,$BV$205^A49,IF(A49='Données projet'!$A$114,'Données projet'!$B$114,BY48+BX49-CG48)))</f>
        <v>226.14615384615396</v>
      </c>
      <c r="BZ49" s="13">
        <f>BY49*VLOOKUP('Données projet'!$B$12,Paramètres!$A$1:$I$89,3,0)*VLOOKUP('Données projet'!$B$12,Paramètres!$A$1:$I$89,5,0)</f>
        <v>126.41570000000007</v>
      </c>
      <c r="CA49" s="13">
        <f t="shared" si="39"/>
        <v>33.166789976544962</v>
      </c>
      <c r="CB49" s="20">
        <f t="shared" si="10"/>
        <v>277.93950337581595</v>
      </c>
      <c r="CC49" s="59">
        <f t="shared" si="11"/>
        <v>571.27283670914926</v>
      </c>
      <c r="CD49" s="59">
        <f ca="1">AVERAGE(OFFSET($CC$3,0,0,'Données projet'!$E$12+1,1))-AVERAGE(OFFSET($H$3,0,0,'Données projet'!$E$12+1,1))</f>
        <v>190.08613104982993</v>
      </c>
      <c r="CE49" s="59">
        <f t="shared" si="40"/>
        <v>180.55054525447781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0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16.2</v>
      </c>
      <c r="CT49" s="12">
        <f>IF('Données projet'!$A$140&gt;35,CT48+CS49-DB48,IF(A49&lt;'Données projet'!$A$140,$CQ$205^A49,IF(A49='Données projet'!$A$140,'Données projet'!$B$140,CT48+CS49-DB48)))</f>
        <v>315.19999999999987</v>
      </c>
      <c r="CU49" s="17">
        <f>CT49*VLOOKUP('Données projet'!$B$13,Paramètres!$A$1:$I$89,3,0)*VLOOKUP('Données projet'!$B$13,Paramètres!$A$1:$I$89,5,0)</f>
        <v>188.48959999999997</v>
      </c>
      <c r="CV49" s="13">
        <f t="shared" si="41"/>
        <v>47.205869902326455</v>
      </c>
      <c r="CW49" s="20">
        <f t="shared" si="13"/>
        <v>410.50294341321847</v>
      </c>
      <c r="CX49" s="59">
        <f t="shared" si="14"/>
        <v>703.83627674655179</v>
      </c>
      <c r="CY49" s="59">
        <f ca="1">AVERAGE(OFFSET($CX$3,0,0,'Données projet'!$E$13+1,1))-AVERAGE(OFFSET($H$3,0,0,'Données projet'!$E$13+1,1))</f>
        <v>270.30888762640245</v>
      </c>
      <c r="CZ49" s="59">
        <f t="shared" si="42"/>
        <v>202.23783851977691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1.5601975524954259</v>
      </c>
      <c r="DG49" s="21">
        <f>EXP(-LN(2)/25)*DG48+(1-EXP(-LN(2)/25))/(LN(2)/25)*Calculateur!DB49*Calculateur!DD49*VLOOKUP('Données projet'!$B$13,Paramètres!$A$1:$I$89,3,0)*0.475*44/12</f>
        <v>7.8899942920904103</v>
      </c>
      <c r="DH49" s="21">
        <f>EXP(-LN(2)/2)*DH48+(1-EXP(-LN(2)/2))/(LN(2)/2)*DB49*DE49*VLOOKUP('Données projet'!$B$13,Paramètres!$A$1:$I$89,3,0)*0.475*44/12</f>
        <v>7.2236752290869469E-2</v>
      </c>
      <c r="DI49" s="22">
        <f t="shared" si="15"/>
        <v>9.522428596876706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13.5</v>
      </c>
      <c r="DO49" s="12">
        <f>IF('Données projet'!$A$166&gt;35,DO48+DN49-DW48,IF(A49&lt;'Données projet'!$A$166,$DL$205^A49,IF(A49='Données projet'!$A$166,'Données projet'!$B$166,DO48+DN49-DW48)))</f>
        <v>267</v>
      </c>
      <c r="DP49" s="17">
        <f>DO49*VLOOKUP('Données projet'!$B$14,Paramètres!$A$1:$I$89,3,0)*VLOOKUP('Données projet'!$B$14,Paramètres!$A$1:$I$89,5,0)</f>
        <v>159.66600000000003</v>
      </c>
      <c r="DQ49" s="13">
        <f t="shared" si="43"/>
        <v>40.767171614679796</v>
      </c>
      <c r="DR49" s="20">
        <f t="shared" si="16"/>
        <v>349.08777389556735</v>
      </c>
      <c r="DS49" s="59">
        <f t="shared" si="17"/>
        <v>642.42110722890061</v>
      </c>
      <c r="DT49" s="59">
        <f ca="1">AVERAGE(OFFSET($DS$3,0,0,'Données projet'!$E$14+1,1))-AVERAGE(OFFSET($H$3,0,0,'Données projet'!$E$14+1,1))</f>
        <v>221.14988592347311</v>
      </c>
      <c r="DU49" s="59">
        <f t="shared" si="44"/>
        <v>179.09262081171607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1.6642107226617879</v>
      </c>
      <c r="EB49" s="21">
        <f>EXP(-LN(2)/25)*EB48+(1-EXP(-LN(2)/25))/(LN(2)/25)*Calculateur!DW49*Calculateur!DY49*VLOOKUP('Données projet'!$B$14,Paramètres!$A$1:$I$89,3,0)*0.475*44/12</f>
        <v>6.5714617835144384</v>
      </c>
      <c r="EC49" s="21">
        <f>EXP(-LN(2)/2)*EC48+(1-EXP(-LN(2)/2))/(LN(2)/2)*DW49*DZ49*VLOOKUP('Données projet'!$B$14,Paramètres!$A$1:$I$89,3,0)*0.475*44/12</f>
        <v>7.6170927816093026E-2</v>
      </c>
      <c r="ED49" s="22">
        <f t="shared" si="18"/>
        <v>8.3118434339923191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9.9</v>
      </c>
      <c r="EJ49" s="12">
        <f>IF('Données projet'!$A$192&gt;35,EJ48+EI49-ER48,IF(A49&lt;'Données projet'!$A$192,$EG$205^A49,IF(A49='Données projet'!$A$192,'Données projet'!$B$192,EJ48+EI49-ER48)))</f>
        <v>262.39999999999998</v>
      </c>
      <c r="EK49" s="17">
        <f>EJ49*VLOOKUP('Données projet'!$B$15,Paramètres!$A$1:$I$89,3,0)*VLOOKUP('Données projet'!$B$15,Paramètres!$A$1:$I$89,5,0)</f>
        <v>143.2704</v>
      </c>
      <c r="EL49" s="13">
        <f t="shared" si="45"/>
        <v>37.045198377171303</v>
      </c>
      <c r="EM49" s="20">
        <f t="shared" si="19"/>
        <v>314.04966717357325</v>
      </c>
      <c r="EN49" s="59">
        <f t="shared" si="20"/>
        <v>607.38300050690657</v>
      </c>
      <c r="EO49" s="59">
        <f ca="1">AVERAGE(OFFSET($EN$3,0,0,'Données projet'!$E$15+1,1))-AVERAGE(OFFSET($H$3,0,0,'Données projet'!$E$15+1,1))</f>
        <v>168.72306536277267</v>
      </c>
      <c r="EP49" s="59">
        <f t="shared" si="46"/>
        <v>203.35476578922339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2.2159327557181414</v>
      </c>
      <c r="EW49" s="21">
        <f>EXP(-LN(2)/25)*EW48+(1-EXP(-LN(2)/25))/(LN(2)/25)*Calculateur!ER49*Calculateur!ET49*VLOOKUP('Données projet'!$B$15,Paramètres!$A$1:$I$89,3,0)*0.475*44/12</f>
        <v>14.749785954337847</v>
      </c>
      <c r="EX49" s="21">
        <f>EXP(-LN(2)/2)*EX48+(1-EXP(-LN(2)/2))/(LN(2)/2)*ER49*EU49*VLOOKUP('Données projet'!$B$15,Paramètres!$A$1:$I$89,3,0)*0.475*44/12</f>
        <v>7.8218150867536154E-2</v>
      </c>
      <c r="EY49" s="22">
        <f t="shared" si="21"/>
        <v>17.043936860923523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8.1999999999999993</v>
      </c>
      <c r="FE49" s="12">
        <f>IF('Données projet'!$A$218&gt;35,FE48+FD49-FM48,IF(A49&lt;'Données projet'!$A$218,$FB$205^A49,IF(A49='Données projet'!$A$218,'Données projet'!$B$218,FE48+FD49-FM48)))</f>
        <v>221.20000000000002</v>
      </c>
      <c r="FF49" s="17">
        <f>FE49*VLOOKUP('Données projet'!$B$16,Paramètres!$A$1:$I$89,3,0)*VLOOKUP('Données projet'!$B$16,Paramètres!$A$1:$I$89,5,0)</f>
        <v>120.77520000000001</v>
      </c>
      <c r="FG49" s="13">
        <f t="shared" si="47"/>
        <v>31.855734150011031</v>
      </c>
      <c r="FH49" s="20">
        <f t="shared" si="22"/>
        <v>265.83221031126931</v>
      </c>
      <c r="FI49" s="59">
        <f t="shared" si="23"/>
        <v>559.16554364460262</v>
      </c>
      <c r="FJ49" s="59">
        <f ca="1">AVERAGE(OFFSET($FI$3,0,0,'Données projet'!$E$16+1,1))-AVERAGE(OFFSET($H$3,0,0,'Données projet'!$E$16+1,1))</f>
        <v>127.76128532861486</v>
      </c>
      <c r="FK49" s="59">
        <f t="shared" si="48"/>
        <v>157.52303491639736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>
        <f>EXP(-LN(2)/35)*FQ48+(1-EXP(-LN(2)/35))/(LN(2)/35)*FM49*FN49*VLOOKUP('Données projet'!$B$16,Paramètres!$A$1:$I$89,3,0)*0.475*44/12</f>
        <v>1.7727462045745126</v>
      </c>
      <c r="FR49" s="21">
        <f>EXP(-LN(2)/25)*FR48+(1-EXP(-LN(2)/25))/(LN(2)/25)*Calculateur!FM49*Calculateur!FO49*VLOOKUP('Données projet'!$B$16,Paramètres!$A$1:$I$89,3,0)*0.475*44/12</f>
        <v>10.473570064878766</v>
      </c>
      <c r="FS49" s="21">
        <f>EXP(-LN(2)/2)*FS48+(1-EXP(-LN(2)/2))/(LN(2)/2)*FM49*FP49*VLOOKUP('Données projet'!$B$16,Paramètres!$A$1:$I$89,3,0)*0.475*44/12</f>
        <v>6.209909922710613E-2</v>
      </c>
      <c r="FT49" s="22">
        <f t="shared" si="24"/>
        <v>12.308415368680384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6.8260073260073284</v>
      </c>
      <c r="N50" s="13">
        <f>IF('Données projet'!$A$36&gt;35,N49+M50-V49,IF(A50&lt;'Données projet'!$A$36,$K$205^A50,IF(A50='Données projet'!$A$36,'Données projet'!$B$36,N49+M50-V49)))</f>
        <v>118.48443223443218</v>
      </c>
      <c r="O50" s="13">
        <f>N50*VLOOKUP('Données projet'!$B$9,Paramètres!$A$1:$I$89,3,0)*VLOOKUP('Données projet'!$B$9,Paramètres!$A$1:$I$89,5,0)</f>
        <v>107.20471428571423</v>
      </c>
      <c r="P50" s="13">
        <f t="shared" si="33"/>
        <v>28.671410088969473</v>
      </c>
      <c r="Q50" s="20">
        <f t="shared" si="53"/>
        <v>236.65091661924077</v>
      </c>
      <c r="R50" s="59">
        <f t="shared" si="0"/>
        <v>529.98424995257415</v>
      </c>
      <c r="S50" s="59">
        <f ca="1">AVERAGE(OFFSET($R$3,0,0,'Données projet'!$E$9+1,1))-AVERAGE(OFFSET($H$3,0,0,'Données projet'!$E$9+1,1))</f>
        <v>153.45079678708987</v>
      </c>
      <c r="T50" s="59">
        <f t="shared" si="34"/>
        <v>115.4217868409637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0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0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3.5192307692307692</v>
      </c>
      <c r="AI50" s="13">
        <f>IF('Données projet'!$A$62&gt;35,AI49+AH50-AQ49,IF(A50&lt;'Données projet'!$A$62,$AF$205^A50,IF(A50='Données projet'!$A$62,'Données projet'!$B$62,AI49+AH50-AQ49)))</f>
        <v>116.57051282051287</v>
      </c>
      <c r="AJ50" s="13">
        <f>AI50*VLOOKUP('Données projet'!$B$10,Paramètres!$A$1:$I$89,3,0)*VLOOKUP('Données projet'!$B$10,Paramètres!$A$1:$I$89,5,0)</f>
        <v>105.47300000000004</v>
      </c>
      <c r="AK50" s="13">
        <f t="shared" si="35"/>
        <v>28.261793357416057</v>
      </c>
      <c r="AL50" s="20">
        <f t="shared" si="4"/>
        <v>232.92143176416633</v>
      </c>
      <c r="AM50" s="59">
        <f t="shared" si="5"/>
        <v>526.25476509749967</v>
      </c>
      <c r="AN50" s="59">
        <f ca="1">AVERAGE(OFFSET($AM$3,0,0,'Données projet'!$E$10+1,1))-AVERAGE(OFFSET($H$3,0,0,'Données projet'!$E$10+1,1))</f>
        <v>123.92486590666675</v>
      </c>
      <c r="AO50" s="59">
        <f t="shared" si="36"/>
        <v>54.404493017418986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17.519780219780223</v>
      </c>
      <c r="BD50" s="12">
        <f>IF('Données projet'!$A$88&gt;35,BD49+BC50-BL49,IF(A50&lt;'Données projet'!$A$88,$BA$205^A50,IF(A50='Données projet'!$A$88,'Données projet'!$B$88,BD49+BC50-BL49)))</f>
        <v>369.52967032967041</v>
      </c>
      <c r="BE50" s="13">
        <f>BD50*VLOOKUP('Données projet'!$B$11,Paramètres!$A$1:$I$89,3,0)*VLOOKUP('Données projet'!$B$11,Paramètres!$A$1:$I$89,5,0)</f>
        <v>206.56708571428578</v>
      </c>
      <c r="BF50" s="13">
        <f t="shared" si="37"/>
        <v>51.184689450990696</v>
      </c>
      <c r="BG50" s="20">
        <f t="shared" si="7"/>
        <v>448.91767507952318</v>
      </c>
      <c r="BH50" s="59">
        <f t="shared" si="8"/>
        <v>742.25100841285644</v>
      </c>
      <c r="BI50" s="59">
        <f ca="1">AVERAGE(OFFSET($BH$3,0,0,'Données projet'!$E$11+1,1))-AVERAGE(OFFSET($H$3,0,0,'Données projet'!$E$11+1,1))</f>
        <v>224.7049802939942</v>
      </c>
      <c r="BJ50" s="59">
        <f t="shared" si="38"/>
        <v>203.48513862195352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1.5933685672007885</v>
      </c>
      <c r="BQ50" s="21">
        <f>EXP(-LN(2)/25)*BQ49+(1-EXP(-LN(2)/25))/(LN(2)/25)*Calculateur!BL50*Calculateur!BN50*VLOOKUP('Données projet'!$B$11,Paramètres!$A$1:$I$89,3,0)*0.475*44/12</f>
        <v>12.186532088854017</v>
      </c>
      <c r="BR50" s="21">
        <f>EXP(-LN(2)/2)*BR49+(1-EXP(-LN(2)/2))/(LN(2)/2)*BL50*BO50*VLOOKUP('Données projet'!$B$11,Paramètres!$A$1:$I$89,3,0)*0.475*44/12</f>
        <v>2.4750429401343314E-2</v>
      </c>
      <c r="BS50" s="22">
        <f t="shared" si="9"/>
        <v>13.80465108545615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10.423076923076922</v>
      </c>
      <c r="BY50" s="12">
        <f>IF('Données projet'!$A$114&gt;35,BY49+BX50-CG49,IF(A50&lt;'Données projet'!$A$114,$BV$205^A50,IF(A50='Données projet'!$A$114,'Données projet'!$B$114,BY49+BX50-CG49)))</f>
        <v>236.5692307692309</v>
      </c>
      <c r="BZ50" s="13">
        <f>BY50*VLOOKUP('Données projet'!$B$12,Paramètres!$A$1:$I$89,3,0)*VLOOKUP('Données projet'!$B$12,Paramètres!$A$1:$I$89,5,0)</f>
        <v>132.24220000000008</v>
      </c>
      <c r="CA50" s="13">
        <f t="shared" si="39"/>
        <v>34.51394914420117</v>
      </c>
      <c r="CB50" s="20">
        <f t="shared" si="10"/>
        <v>290.43362642615051</v>
      </c>
      <c r="CC50" s="59">
        <f t="shared" si="11"/>
        <v>583.76695975948383</v>
      </c>
      <c r="CD50" s="59">
        <f ca="1">AVERAGE(OFFSET($CC$3,0,0,'Données projet'!$E$12+1,1))-AVERAGE(OFFSET($H$3,0,0,'Données projet'!$E$12+1,1))</f>
        <v>190.08613104982993</v>
      </c>
      <c r="CE50" s="59">
        <f t="shared" si="40"/>
        <v>180.55054525447781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0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16.2</v>
      </c>
      <c r="CT50" s="12">
        <f>IF('Données projet'!$A$140&gt;35,CT49+CS50-DB49,IF(A50&lt;'Données projet'!$A$140,$CQ$205^A50,IF(A50='Données projet'!$A$140,'Données projet'!$B$140,CT49+CS50-DB49)))</f>
        <v>331.39999999999986</v>
      </c>
      <c r="CU50" s="17">
        <f>CT50*VLOOKUP('Données projet'!$B$13,Paramètres!$A$1:$I$89,3,0)*VLOOKUP('Données projet'!$B$13,Paramètres!$A$1:$I$89,5,0)</f>
        <v>198.17719999999991</v>
      </c>
      <c r="CV50" s="13">
        <f t="shared" si="41"/>
        <v>49.343358241667282</v>
      </c>
      <c r="CW50" s="20">
        <f t="shared" si="13"/>
        <v>431.09830560423705</v>
      </c>
      <c r="CX50" s="59">
        <f t="shared" si="14"/>
        <v>724.43163893757037</v>
      </c>
      <c r="CY50" s="59">
        <f ca="1">AVERAGE(OFFSET($CX$3,0,0,'Données projet'!$E$13+1,1))-AVERAGE(OFFSET($H$3,0,0,'Données projet'!$E$13+1,1))</f>
        <v>270.30888762640245</v>
      </c>
      <c r="CZ50" s="59">
        <f t="shared" si="42"/>
        <v>202.23783851977691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1.5296030301175323</v>
      </c>
      <c r="DG50" s="21">
        <f>EXP(-LN(2)/25)*DG49+(1-EXP(-LN(2)/25))/(LN(2)/25)*Calculateur!DB50*Calculateur!DD50*VLOOKUP('Données projet'!$B$13,Paramètres!$A$1:$I$89,3,0)*0.475*44/12</f>
        <v>7.6742419832564313</v>
      </c>
      <c r="DH50" s="21">
        <f>EXP(-LN(2)/2)*DH49+(1-EXP(-LN(2)/2))/(LN(2)/2)*DB50*DE50*VLOOKUP('Données projet'!$B$13,Paramètres!$A$1:$I$89,3,0)*0.475*44/12</f>
        <v>5.1079097395766673E-2</v>
      </c>
      <c r="DI50" s="22">
        <f t="shared" si="15"/>
        <v>9.254924110769732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13.5</v>
      </c>
      <c r="DO50" s="12">
        <f>IF('Données projet'!$A$166&gt;35,DO49+DN50-DW49,IF(A50&lt;'Données projet'!$A$166,$DL$205^A50,IF(A50='Données projet'!$A$166,'Données projet'!$B$166,DO49+DN50-DW49)))</f>
        <v>280.5</v>
      </c>
      <c r="DP50" s="17">
        <f>DO50*VLOOKUP('Données projet'!$B$14,Paramètres!$A$1:$I$89,3,0)*VLOOKUP('Données projet'!$B$14,Paramètres!$A$1:$I$89,5,0)</f>
        <v>167.739</v>
      </c>
      <c r="DQ50" s="13">
        <f t="shared" si="43"/>
        <v>42.583240869838001</v>
      </c>
      <c r="DR50" s="20">
        <f t="shared" si="16"/>
        <v>366.31123618163451</v>
      </c>
      <c r="DS50" s="59">
        <f t="shared" si="17"/>
        <v>659.64456951496777</v>
      </c>
      <c r="DT50" s="59">
        <f ca="1">AVERAGE(OFFSET($DS$3,0,0,'Données projet'!$E$14+1,1))-AVERAGE(OFFSET($H$3,0,0,'Données projet'!$E$14+1,1))</f>
        <v>221.14988592347311</v>
      </c>
      <c r="DU50" s="59">
        <f t="shared" si="44"/>
        <v>179.09262081171607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1.6315765654587013</v>
      </c>
      <c r="EB50" s="21">
        <f>EXP(-LN(2)/25)*EB49+(1-EXP(-LN(2)/25))/(LN(2)/25)*Calculateur!DW50*Calculateur!DY50*VLOOKUP('Données projet'!$B$14,Paramètres!$A$1:$I$89,3,0)*0.475*44/12</f>
        <v>6.3917648154660798</v>
      </c>
      <c r="EC50" s="21">
        <f>EXP(-LN(2)/2)*EC49+(1-EXP(-LN(2)/2))/(LN(2)/2)*DW50*DZ50*VLOOKUP('Données projet'!$B$14,Paramètres!$A$1:$I$89,3,0)*0.475*44/12</f>
        <v>5.3860979588030398E-2</v>
      </c>
      <c r="ED50" s="22">
        <f t="shared" si="18"/>
        <v>8.0772023605128123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9.9</v>
      </c>
      <c r="EJ50" s="12">
        <f>IF('Données projet'!$A$192&gt;35,EJ49+EI50-ER49,IF(A50&lt;'Données projet'!$A$192,$EG$205^A50,IF(A50='Données projet'!$A$192,'Données projet'!$B$192,EJ49+EI50-ER49)))</f>
        <v>272.29999999999995</v>
      </c>
      <c r="EK50" s="17">
        <f>EJ50*VLOOKUP('Données projet'!$B$15,Paramètres!$A$1:$I$89,3,0)*VLOOKUP('Données projet'!$B$15,Paramètres!$A$1:$I$89,5,0)</f>
        <v>148.67579999999998</v>
      </c>
      <c r="EL50" s="13">
        <f t="shared" si="45"/>
        <v>38.277501294524541</v>
      </c>
      <c r="EM50" s="20">
        <f t="shared" si="19"/>
        <v>325.61033308796351</v>
      </c>
      <c r="EN50" s="59">
        <f t="shared" si="20"/>
        <v>618.94366642129683</v>
      </c>
      <c r="EO50" s="59">
        <f ca="1">AVERAGE(OFFSET($EN$3,0,0,'Données projet'!$E$15+1,1))-AVERAGE(OFFSET($H$3,0,0,'Données projet'!$E$15+1,1))</f>
        <v>168.72306536277267</v>
      </c>
      <c r="EP50" s="59">
        <f t="shared" si="46"/>
        <v>203.35476578922339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2.1724796659640315</v>
      </c>
      <c r="EW50" s="21">
        <f>EXP(-LN(2)/25)*EW49+(1-EXP(-LN(2)/25))/(LN(2)/25)*Calculateur!ER50*Calculateur!ET50*VLOOKUP('Données projet'!$B$15,Paramètres!$A$1:$I$89,3,0)*0.475*44/12</f>
        <v>14.346452281758946</v>
      </c>
      <c r="EX50" s="21">
        <f>EXP(-LN(2)/2)*EX49+(1-EXP(-LN(2)/2))/(LN(2)/2)*ER50*EU50*VLOOKUP('Données projet'!$B$15,Paramètres!$A$1:$I$89,3,0)*0.475*44/12</f>
        <v>5.5308584890307252E-2</v>
      </c>
      <c r="EY50" s="22">
        <f t="shared" si="21"/>
        <v>16.574240532613285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8.1999999999999993</v>
      </c>
      <c r="FE50" s="12">
        <f>IF('Données projet'!$A$218&gt;35,FE49+FD50-FM49,IF(A50&lt;'Données projet'!$A$218,$FB$205^A50,IF(A50='Données projet'!$A$218,'Données projet'!$B$218,FE49+FD50-FM49)))</f>
        <v>229.4</v>
      </c>
      <c r="FF50" s="17">
        <f>FE50*VLOOKUP('Données projet'!$B$16,Paramètres!$A$1:$I$89,3,0)*VLOOKUP('Données projet'!$B$16,Paramètres!$A$1:$I$89,5,0)</f>
        <v>125.25240000000001</v>
      </c>
      <c r="FG50" s="13">
        <f t="shared" si="47"/>
        <v>32.896964350361941</v>
      </c>
      <c r="FH50" s="20">
        <f t="shared" si="22"/>
        <v>275.44347624354708</v>
      </c>
      <c r="FI50" s="59">
        <f t="shared" si="23"/>
        <v>568.7768095768804</v>
      </c>
      <c r="FJ50" s="59">
        <f ca="1">AVERAGE(OFFSET($FI$3,0,0,'Données projet'!$E$16+1,1))-AVERAGE(OFFSET($H$3,0,0,'Données projet'!$E$16+1,1))</f>
        <v>127.76128532861486</v>
      </c>
      <c r="FK50" s="59">
        <f t="shared" si="48"/>
        <v>157.52303491639736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>
        <f>EXP(-LN(2)/35)*FQ49+(1-EXP(-LN(2)/35))/(LN(2)/35)*FM50*FN50*VLOOKUP('Données projet'!$B$16,Paramètres!$A$1:$I$89,3,0)*0.475*44/12</f>
        <v>1.7379837327712249</v>
      </c>
      <c r="FR50" s="21">
        <f>EXP(-LN(2)/25)*FR49+(1-EXP(-LN(2)/25))/(LN(2)/25)*Calculateur!FM50*Calculateur!FO50*VLOOKUP('Données projet'!$B$16,Paramètres!$A$1:$I$89,3,0)*0.475*44/12</f>
        <v>10.187169740673545</v>
      </c>
      <c r="FS50" s="21">
        <f>EXP(-LN(2)/2)*FS49+(1-EXP(-LN(2)/2))/(LN(2)/2)*FM50*FP50*VLOOKUP('Données projet'!$B$16,Paramètres!$A$1:$I$89,3,0)*0.475*44/12</f>
        <v>4.3910694169063041E-2</v>
      </c>
      <c r="FT50" s="22">
        <f t="shared" si="24"/>
        <v>11.969064167613833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6.8260073260073284</v>
      </c>
      <c r="N51" s="13">
        <f>IF('Données projet'!$A$36&gt;35,N50+M51-V50,IF(A51&lt;'Données projet'!$A$36,$K$205^A51,IF(A51='Données projet'!$A$36,'Données projet'!$B$36,N50+M51-V50)))</f>
        <v>125.31043956043951</v>
      </c>
      <c r="O51" s="13">
        <f>N51*VLOOKUP('Données projet'!$B$9,Paramètres!$A$1:$I$89,3,0)*VLOOKUP('Données projet'!$B$9,Paramètres!$A$1:$I$89,5,0)</f>
        <v>113.38088571428565</v>
      </c>
      <c r="P51" s="13">
        <f t="shared" si="33"/>
        <v>30.126138765380961</v>
      </c>
      <c r="Q51" s="20">
        <f t="shared" si="53"/>
        <v>249.94140096875267</v>
      </c>
      <c r="R51" s="59">
        <f t="shared" si="0"/>
        <v>543.27473430208602</v>
      </c>
      <c r="S51" s="59">
        <f ca="1">AVERAGE(OFFSET($R$3,0,0,'Données projet'!$E$9+1,1))-AVERAGE(OFFSET($H$3,0,0,'Données projet'!$E$9+1,1))</f>
        <v>153.45079678708987</v>
      </c>
      <c r="T51" s="59">
        <f t="shared" si="34"/>
        <v>115.4217868409637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0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0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3.5192307692307692</v>
      </c>
      <c r="AI51" s="13">
        <f>IF('Données projet'!$A$62&gt;35,AI50+AH51-AQ50,IF(A51&lt;'Données projet'!$A$62,$AF$205^A51,IF(A51='Données projet'!$A$62,'Données projet'!$B$62,AI50+AH51-AQ50)))</f>
        <v>120.08974358974365</v>
      </c>
      <c r="AJ51" s="13">
        <f>AI51*VLOOKUP('Données projet'!$B$10,Paramètres!$A$1:$I$89,3,0)*VLOOKUP('Données projet'!$B$10,Paramètres!$A$1:$I$89,5,0)</f>
        <v>108.65720000000006</v>
      </c>
      <c r="AK51" s="13">
        <f t="shared" si="35"/>
        <v>29.014384619163582</v>
      </c>
      <c r="AL51" s="20">
        <f t="shared" si="4"/>
        <v>239.77800987837665</v>
      </c>
      <c r="AM51" s="59">
        <f t="shared" si="5"/>
        <v>533.11134321170994</v>
      </c>
      <c r="AN51" s="59">
        <f ca="1">AVERAGE(OFFSET($AM$3,0,0,'Données projet'!$E$10+1,1))-AVERAGE(OFFSET($H$3,0,0,'Données projet'!$E$10+1,1))</f>
        <v>123.92486590666675</v>
      </c>
      <c r="AO51" s="59">
        <f t="shared" si="36"/>
        <v>54.404493017418986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17.519780219780223</v>
      </c>
      <c r="BD51" s="12">
        <f>IF('Données projet'!$A$88&gt;35,BD50+BC51-BL50,IF(A51&lt;'Données projet'!$A$88,$BA$205^A51,IF(A51='Données projet'!$A$88,'Données projet'!$B$88,BD50+BC51-BL50)))</f>
        <v>387.04945054945063</v>
      </c>
      <c r="BE51" s="13">
        <f>BD51*VLOOKUP('Données projet'!$B$11,Paramètres!$A$1:$I$89,3,0)*VLOOKUP('Données projet'!$B$11,Paramètres!$A$1:$I$89,5,0)</f>
        <v>216.36064285714289</v>
      </c>
      <c r="BF51" s="13">
        <f t="shared" si="37"/>
        <v>53.323123145592824</v>
      </c>
      <c r="BG51" s="20">
        <f t="shared" si="7"/>
        <v>469.69922578809798</v>
      </c>
      <c r="BH51" s="59">
        <f t="shared" si="8"/>
        <v>763.03255912143129</v>
      </c>
      <c r="BI51" s="59">
        <f ca="1">AVERAGE(OFFSET($BH$3,0,0,'Données projet'!$E$11+1,1))-AVERAGE(OFFSET($H$3,0,0,'Données projet'!$E$11+1,1))</f>
        <v>224.7049802939942</v>
      </c>
      <c r="BJ51" s="59">
        <f t="shared" si="38"/>
        <v>203.48513862195352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1.5621235814568439</v>
      </c>
      <c r="BQ51" s="21">
        <f>EXP(-LN(2)/25)*BQ50+(1-EXP(-LN(2)/25))/(LN(2)/25)*Calculateur!BL51*Calculateur!BN51*VLOOKUP('Données projet'!$B$11,Paramètres!$A$1:$I$89,3,0)*0.475*44/12</f>
        <v>11.853290728022435</v>
      </c>
      <c r="BR51" s="21">
        <f>EXP(-LN(2)/2)*BR50+(1-EXP(-LN(2)/2))/(LN(2)/2)*BL51*BO51*VLOOKUP('Données projet'!$B$11,Paramètres!$A$1:$I$89,3,0)*0.475*44/12</f>
        <v>1.7501196466968759E-2</v>
      </c>
      <c r="BS51" s="22">
        <f t="shared" si="9"/>
        <v>13.432915505946246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10.423076923076922</v>
      </c>
      <c r="BY51" s="12">
        <f>IF('Données projet'!$A$114&gt;35,BY50+BX51-CG50,IF(A51&lt;'Données projet'!$A$114,$BV$205^A51,IF(A51='Données projet'!$A$114,'Données projet'!$B$114,BY50+BX51-CG50)))</f>
        <v>246.99230769230783</v>
      </c>
      <c r="BZ51" s="13">
        <f>BY51*VLOOKUP('Données projet'!$B$12,Paramètres!$A$1:$I$89,3,0)*VLOOKUP('Données projet'!$B$12,Paramètres!$A$1:$I$89,5,0)</f>
        <v>138.06870000000009</v>
      </c>
      <c r="CA51" s="13">
        <f t="shared" si="39"/>
        <v>35.854214731947295</v>
      </c>
      <c r="CB51" s="20">
        <f t="shared" si="10"/>
        <v>302.91574315814171</v>
      </c>
      <c r="CC51" s="59">
        <f t="shared" si="11"/>
        <v>596.24907649147508</v>
      </c>
      <c r="CD51" s="59">
        <f ca="1">AVERAGE(OFFSET($CC$3,0,0,'Données projet'!$E$12+1,1))-AVERAGE(OFFSET($H$3,0,0,'Données projet'!$E$12+1,1))</f>
        <v>190.08613104982993</v>
      </c>
      <c r="CE51" s="59">
        <f t="shared" si="40"/>
        <v>180.55054525447781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0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16.2</v>
      </c>
      <c r="CT51" s="12">
        <f>IF('Données projet'!$A$140&gt;35,CT50+CS51-DB50,IF(A51&lt;'Données projet'!$A$140,$CQ$205^A51,IF(A51='Données projet'!$A$140,'Données projet'!$B$140,CT50+CS51-DB50)))</f>
        <v>347.59999999999985</v>
      </c>
      <c r="CU51" s="17">
        <f>CT51*VLOOKUP('Données projet'!$B$13,Paramètres!$A$1:$I$89,3,0)*VLOOKUP('Données projet'!$B$13,Paramètres!$A$1:$I$89,5,0)</f>
        <v>207.86479999999992</v>
      </c>
      <c r="CV51" s="13">
        <f t="shared" si="41"/>
        <v>51.468713616997725</v>
      </c>
      <c r="CW51" s="20">
        <f t="shared" si="13"/>
        <v>451.67253621627088</v>
      </c>
      <c r="CX51" s="59">
        <f t="shared" si="14"/>
        <v>745.0058695496042</v>
      </c>
      <c r="CY51" s="59">
        <f ca="1">AVERAGE(OFFSET($CX$3,0,0,'Données projet'!$E$13+1,1))-AVERAGE(OFFSET($H$3,0,0,'Données projet'!$E$13+1,1))</f>
        <v>270.30888762640245</v>
      </c>
      <c r="CZ51" s="59">
        <f t="shared" si="42"/>
        <v>202.23783851977691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1.4996084476626532</v>
      </c>
      <c r="DG51" s="21">
        <f>EXP(-LN(2)/25)*DG50+(1-EXP(-LN(2)/25))/(LN(2)/25)*Calculateur!DB51*Calculateur!DD51*VLOOKUP('Données projet'!$B$13,Paramètres!$A$1:$I$89,3,0)*0.475*44/12</f>
        <v>7.4643894326534381</v>
      </c>
      <c r="DH51" s="21">
        <f>EXP(-LN(2)/2)*DH50+(1-EXP(-LN(2)/2))/(LN(2)/2)*DB51*DE51*VLOOKUP('Données projet'!$B$13,Paramètres!$A$1:$I$89,3,0)*0.475*44/12</f>
        <v>3.6118376145434734E-2</v>
      </c>
      <c r="DI51" s="22">
        <f t="shared" si="15"/>
        <v>9.000116256461526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13.5</v>
      </c>
      <c r="DO51" s="12">
        <f>IF('Données projet'!$A$166&gt;35,DO50+DN51-DW50,IF(A51&lt;'Données projet'!$A$166,$DL$205^A51,IF(A51='Données projet'!$A$166,'Données projet'!$B$166,DO50+DN51-DW50)))</f>
        <v>294</v>
      </c>
      <c r="DP51" s="17">
        <f>DO51*VLOOKUP('Données projet'!$B$14,Paramètres!$A$1:$I$89,3,0)*VLOOKUP('Données projet'!$B$14,Paramètres!$A$1:$I$89,5,0)</f>
        <v>175.81200000000001</v>
      </c>
      <c r="DQ51" s="13">
        <f t="shared" si="43"/>
        <v>44.389160560041141</v>
      </c>
      <c r="DR51" s="20">
        <f t="shared" si="16"/>
        <v>383.51702130873832</v>
      </c>
      <c r="DS51" s="59">
        <f t="shared" si="17"/>
        <v>676.85035464207158</v>
      </c>
      <c r="DT51" s="59">
        <f ca="1">AVERAGE(OFFSET($DS$3,0,0,'Données projet'!$E$14+1,1))-AVERAGE(OFFSET($H$3,0,0,'Données projet'!$E$14+1,1))</f>
        <v>221.14988592347311</v>
      </c>
      <c r="DU51" s="59">
        <f t="shared" si="44"/>
        <v>179.09262081171607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1.5995823441734969</v>
      </c>
      <c r="EB51" s="21">
        <f>EXP(-LN(2)/25)*EB50+(1-EXP(-LN(2)/25))/(LN(2)/25)*Calculateur!DW51*Calculateur!DY51*VLOOKUP('Données projet'!$B$14,Paramètres!$A$1:$I$89,3,0)*0.475*44/12</f>
        <v>6.216981670458857</v>
      </c>
      <c r="EC51" s="21">
        <f>EXP(-LN(2)/2)*EC50+(1-EXP(-LN(2)/2))/(LN(2)/2)*DW51*DZ51*VLOOKUP('Données projet'!$B$14,Paramètres!$A$1:$I$89,3,0)*0.475*44/12</f>
        <v>3.8085463908046513E-2</v>
      </c>
      <c r="ED51" s="22">
        <f t="shared" si="18"/>
        <v>7.8546494785404004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9.9</v>
      </c>
      <c r="EJ51" s="12">
        <f>IF('Données projet'!$A$192&gt;35,EJ50+EI51-ER50,IF(A51&lt;'Données projet'!$A$192,$EG$205^A51,IF(A51='Données projet'!$A$192,'Données projet'!$B$192,EJ50+EI51-ER50)))</f>
        <v>282.19999999999993</v>
      </c>
      <c r="EK51" s="17">
        <f>EJ51*VLOOKUP('Données projet'!$B$15,Paramètres!$A$1:$I$89,3,0)*VLOOKUP('Données projet'!$B$15,Paramètres!$A$1:$I$89,5,0)</f>
        <v>154.08119999999997</v>
      </c>
      <c r="EL51" s="13">
        <f t="shared" si="45"/>
        <v>39.504598975531827</v>
      </c>
      <c r="EM51" s="20">
        <f t="shared" si="19"/>
        <v>337.16193321571785</v>
      </c>
      <c r="EN51" s="59">
        <f t="shared" si="20"/>
        <v>630.49526654905117</v>
      </c>
      <c r="EO51" s="59">
        <f ca="1">AVERAGE(OFFSET($EN$3,0,0,'Données projet'!$E$15+1,1))-AVERAGE(OFFSET($H$3,0,0,'Données projet'!$E$15+1,1))</f>
        <v>168.72306536277267</v>
      </c>
      <c r="EP51" s="59">
        <f t="shared" si="46"/>
        <v>203.35476578922339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2.129878664796232</v>
      </c>
      <c r="EW51" s="21">
        <f>EXP(-LN(2)/25)*EW50+(1-EXP(-LN(2)/25))/(LN(2)/25)*Calculateur!ER51*Calculateur!ET51*VLOOKUP('Données projet'!$B$15,Paramètres!$A$1:$I$89,3,0)*0.475*44/12</f>
        <v>13.954147789667111</v>
      </c>
      <c r="EX51" s="21">
        <f>EXP(-LN(2)/2)*EX50+(1-EXP(-LN(2)/2))/(LN(2)/2)*ER51*EU51*VLOOKUP('Données projet'!$B$15,Paramètres!$A$1:$I$89,3,0)*0.475*44/12</f>
        <v>3.9109075433768084E-2</v>
      </c>
      <c r="EY51" s="22">
        <f t="shared" si="21"/>
        <v>16.123135529897109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8.1999999999999993</v>
      </c>
      <c r="FE51" s="12">
        <f>IF('Données projet'!$A$218&gt;35,FE50+FD51-FM50,IF(A51&lt;'Données projet'!$A$218,$FB$205^A51,IF(A51='Données projet'!$A$218,'Données projet'!$B$218,FE50+FD51-FM50)))</f>
        <v>237.6</v>
      </c>
      <c r="FF51" s="17">
        <f>FE51*VLOOKUP('Données projet'!$B$16,Paramètres!$A$1:$I$89,3,0)*VLOOKUP('Données projet'!$B$16,Paramètres!$A$1:$I$89,5,0)</f>
        <v>129.72959999999998</v>
      </c>
      <c r="FG51" s="13">
        <f t="shared" si="47"/>
        <v>33.933870261867483</v>
      </c>
      <c r="FH51" s="20">
        <f t="shared" si="22"/>
        <v>285.04721070608588</v>
      </c>
      <c r="FI51" s="59">
        <f t="shared" si="23"/>
        <v>578.38054403941919</v>
      </c>
      <c r="FJ51" s="59">
        <f ca="1">AVERAGE(OFFSET($FI$3,0,0,'Données projet'!$E$16+1,1))-AVERAGE(OFFSET($H$3,0,0,'Données projet'!$E$16+1,1))</f>
        <v>127.76128532861486</v>
      </c>
      <c r="FK51" s="59">
        <f t="shared" si="48"/>
        <v>157.52303491639736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>
        <f>EXP(-LN(2)/35)*FQ50+(1-EXP(-LN(2)/35))/(LN(2)/35)*FM51*FN51*VLOOKUP('Données projet'!$B$16,Paramètres!$A$1:$I$89,3,0)*0.475*44/12</f>
        <v>1.7039029318369854</v>
      </c>
      <c r="FR51" s="21">
        <f>EXP(-LN(2)/25)*FR50+(1-EXP(-LN(2)/25))/(LN(2)/25)*Calculateur!FM51*Calculateur!FO51*VLOOKUP('Données projet'!$B$16,Paramètres!$A$1:$I$89,3,0)*0.475*44/12</f>
        <v>9.9086010483948534</v>
      </c>
      <c r="FS51" s="21">
        <f>EXP(-LN(2)/2)*FS50+(1-EXP(-LN(2)/2))/(LN(2)/2)*FM51*FP51*VLOOKUP('Données projet'!$B$16,Paramètres!$A$1:$I$89,3,0)*0.475*44/12</f>
        <v>3.1049549613553072E-2</v>
      </c>
      <c r="FT51" s="22">
        <f t="shared" si="24"/>
        <v>11.643553529845391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6.8260073260073284</v>
      </c>
      <c r="N52" s="13">
        <f>IF('Données projet'!$A$36&gt;35,N51+M52-V51,IF(A52&lt;'Données projet'!$A$36,$K$205^A52,IF(A52='Données projet'!$A$36,'Données projet'!$B$36,N51+M52-V51)))</f>
        <v>132.13644688644683</v>
      </c>
      <c r="O52" s="13">
        <f>N52*VLOOKUP('Données projet'!$B$9,Paramètres!$A$1:$I$89,3,0)*VLOOKUP('Données projet'!$B$9,Paramètres!$A$1:$I$89,5,0)</f>
        <v>119.55705714285709</v>
      </c>
      <c r="P52" s="13">
        <f t="shared" si="33"/>
        <v>31.571667922473026</v>
      </c>
      <c r="Q52" s="20">
        <f t="shared" si="53"/>
        <v>263.21586282211655</v>
      </c>
      <c r="R52" s="59">
        <f t="shared" si="0"/>
        <v>556.54919615544986</v>
      </c>
      <c r="S52" s="59">
        <f ca="1">AVERAGE(OFFSET($R$3,0,0,'Données projet'!$E$9+1,1))-AVERAGE(OFFSET($H$3,0,0,'Données projet'!$E$9+1,1))</f>
        <v>153.45079678708987</v>
      </c>
      <c r="T52" s="59">
        <f t="shared" si="34"/>
        <v>115.4217868409637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0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0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3.5192307692307692</v>
      </c>
      <c r="AI52" s="13">
        <f>IF('Données projet'!$A$62&gt;35,AI51+AH52-AQ51,IF(A52&lt;'Données projet'!$A$62,$AF$205^A52,IF(A52='Données projet'!$A$62,'Données projet'!$B$62,AI51+AH52-AQ51)))</f>
        <v>123.60897435897442</v>
      </c>
      <c r="AJ52" s="13">
        <f>AI52*VLOOKUP('Données projet'!$B$10,Paramètres!$A$1:$I$89,3,0)*VLOOKUP('Données projet'!$B$10,Paramètres!$A$1:$I$89,5,0)</f>
        <v>111.84140000000006</v>
      </c>
      <c r="AK52" s="13">
        <f t="shared" si="35"/>
        <v>29.764412700564534</v>
      </c>
      <c r="AL52" s="20">
        <f t="shared" si="4"/>
        <v>246.63012378681665</v>
      </c>
      <c r="AM52" s="59">
        <f t="shared" si="5"/>
        <v>539.96345712015</v>
      </c>
      <c r="AN52" s="59">
        <f ca="1">AVERAGE(OFFSET($AM$3,0,0,'Données projet'!$E$10+1,1))-AVERAGE(OFFSET($H$3,0,0,'Données projet'!$E$10+1,1))</f>
        <v>123.92486590666675</v>
      </c>
      <c r="AO52" s="59">
        <f t="shared" si="36"/>
        <v>54.404493017418986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>
        <f>VLOOKUP(A52,'Données projet'!$A$87:$I$107,2,0)</f>
        <v>404.56923076923078</v>
      </c>
      <c r="BB52" s="12">
        <f>VLOOKUP(A52,'Données projet'!$A$87:$I$107,9,0)</f>
        <v>17.519780219780223</v>
      </c>
      <c r="BC52" s="12">
        <f t="array" ref="BC52">INDEX(BB:BB,MIN(IF(ISNUMBER(BB52:BB248),ROW(BB52:BB248),"")))</f>
        <v>17.519780219780223</v>
      </c>
      <c r="BD52" s="12">
        <f>IF('Données projet'!$A$88&gt;35,BD51+BC52-BL51,IF(A52&lt;'Données projet'!$A$88,$BA$205^A52,IF(A52='Données projet'!$A$88,'Données projet'!$B$88,BD51+BC52-BL51)))</f>
        <v>404.56923076923084</v>
      </c>
      <c r="BE52" s="13">
        <f>BD52*VLOOKUP('Données projet'!$B$11,Paramètres!$A$1:$I$89,3,0)*VLOOKUP('Données projet'!$B$11,Paramètres!$A$1:$I$89,5,0)</f>
        <v>226.15420000000006</v>
      </c>
      <c r="BF52" s="13">
        <f t="shared" si="37"/>
        <v>55.450315347427065</v>
      </c>
      <c r="BG52" s="20">
        <f t="shared" si="7"/>
        <v>490.46119756343563</v>
      </c>
      <c r="BH52" s="59">
        <f t="shared" si="8"/>
        <v>783.79453089676895</v>
      </c>
      <c r="BI52" s="59">
        <f ca="1">AVERAGE(OFFSET($BH$3,0,0,'Données projet'!$E$11+1,1))-AVERAGE(OFFSET($H$3,0,0,'Données projet'!$E$11+1,1))</f>
        <v>224.7049802939942</v>
      </c>
      <c r="BJ52" s="59">
        <f t="shared" si="38"/>
        <v>203.48513862195352</v>
      </c>
      <c r="BK52" s="15">
        <f>IF(ISNA(VLOOKUP(A52,'Données projet'!$A$87:$I$107,3,0)),0,VLOOKUP(A52,'Données projet'!$A$87:$I$107,3,0))</f>
        <v>5</v>
      </c>
      <c r="BL52" s="15">
        <f>IF(ISNA(VLOOKUP(A52,'Données projet'!$A$87:$I$107,4,0)),0,VLOOKUP(A52,'Données projet'!$A$87:$I$107,4,0))</f>
        <v>90.453846153846158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1.5314912908257785</v>
      </c>
      <c r="BQ52" s="21">
        <f>EXP(-LN(2)/25)*BQ51+(1-EXP(-LN(2)/25))/(LN(2)/25)*Calculateur!BL52*Calculateur!BN52*VLOOKUP('Données projet'!$B$11,Paramètres!$A$1:$I$89,3,0)*0.475*44/12</f>
        <v>11.529161869727194</v>
      </c>
      <c r="BR52" s="21">
        <f>EXP(-LN(2)/2)*BR51+(1-EXP(-LN(2)/2))/(LN(2)/2)*BL52*BO52*VLOOKUP('Données projet'!$B$11,Paramètres!$A$1:$I$89,3,0)*0.475*44/12</f>
        <v>1.2375214700671657E-2</v>
      </c>
      <c r="BS52" s="22">
        <f t="shared" si="9"/>
        <v>13.073028375253644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10.423076923076922</v>
      </c>
      <c r="BY52" s="12">
        <f>IF('Données projet'!$A$114&gt;35,BY51+BX52-CG51,IF(A52&lt;'Données projet'!$A$114,$BV$205^A52,IF(A52='Données projet'!$A$114,'Données projet'!$B$114,BY51+BX52-CG51)))</f>
        <v>257.41538461538477</v>
      </c>
      <c r="BZ52" s="13">
        <f>BY52*VLOOKUP('Données projet'!$B$12,Paramètres!$A$1:$I$89,3,0)*VLOOKUP('Données projet'!$B$12,Paramètres!$A$1:$I$89,5,0)</f>
        <v>143.89520000000007</v>
      </c>
      <c r="CA52" s="13">
        <f t="shared" si="39"/>
        <v>37.187910910663184</v>
      </c>
      <c r="CB52" s="20">
        <f t="shared" si="10"/>
        <v>315.38641816940515</v>
      </c>
      <c r="CC52" s="59">
        <f t="shared" si="11"/>
        <v>608.71975150273852</v>
      </c>
      <c r="CD52" s="59">
        <f ca="1">AVERAGE(OFFSET($CC$3,0,0,'Données projet'!$E$12+1,1))-AVERAGE(OFFSET($H$3,0,0,'Données projet'!$E$12+1,1))</f>
        <v>190.08613104982993</v>
      </c>
      <c r="CE52" s="59">
        <f t="shared" si="40"/>
        <v>180.55054525447781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0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16.2</v>
      </c>
      <c r="CT52" s="12">
        <f>IF('Données projet'!$A$140&gt;35,CT51+CS52-DB51,IF(A52&lt;'Données projet'!$A$140,$CQ$205^A52,IF(A52='Données projet'!$A$140,'Données projet'!$B$140,CT51+CS52-DB51)))</f>
        <v>363.79999999999984</v>
      </c>
      <c r="CU52" s="17">
        <f>CT52*VLOOKUP('Données projet'!$B$13,Paramètres!$A$1:$I$89,3,0)*VLOOKUP('Données projet'!$B$13,Paramètres!$A$1:$I$89,5,0)</f>
        <v>217.55239999999992</v>
      </c>
      <c r="CV52" s="13">
        <f t="shared" si="41"/>
        <v>53.58256606537995</v>
      </c>
      <c r="CW52" s="20">
        <f t="shared" si="13"/>
        <v>472.22673256386997</v>
      </c>
      <c r="CX52" s="59">
        <f t="shared" si="14"/>
        <v>765.56006589720323</v>
      </c>
      <c r="CY52" s="59">
        <f ca="1">AVERAGE(OFFSET($CX$3,0,0,'Données projet'!$E$13+1,1))-AVERAGE(OFFSET($H$3,0,0,'Données projet'!$E$13+1,1))</f>
        <v>270.30888762640245</v>
      </c>
      <c r="CZ52" s="59">
        <f t="shared" si="42"/>
        <v>202.23783851977691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1.4702020406748255</v>
      </c>
      <c r="DG52" s="21">
        <f>EXP(-LN(2)/25)*DG51+(1-EXP(-LN(2)/25))/(LN(2)/25)*Calculateur!DB52*Calculateur!DD52*VLOOKUP('Données projet'!$B$13,Paramètres!$A$1:$I$89,3,0)*0.475*44/12</f>
        <v>7.2602753110823501</v>
      </c>
      <c r="DH52" s="21">
        <f>EXP(-LN(2)/2)*DH51+(1-EXP(-LN(2)/2))/(LN(2)/2)*DB52*DE52*VLOOKUP('Données projet'!$B$13,Paramètres!$A$1:$I$89,3,0)*0.475*44/12</f>
        <v>2.5539548697883337E-2</v>
      </c>
      <c r="DI52" s="22">
        <f t="shared" si="15"/>
        <v>8.7560169004550588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13.5</v>
      </c>
      <c r="DO52" s="12">
        <f>IF('Données projet'!$A$166&gt;35,DO51+DN52-DW51,IF(A52&lt;'Données projet'!$A$166,$DL$205^A52,IF(A52='Données projet'!$A$166,'Données projet'!$B$166,DO51+DN52-DW51)))</f>
        <v>307.5</v>
      </c>
      <c r="DP52" s="17">
        <f>DO52*VLOOKUP('Données projet'!$B$14,Paramètres!$A$1:$I$89,3,0)*VLOOKUP('Données projet'!$B$14,Paramètres!$A$1:$I$89,5,0)</f>
        <v>183.88500000000002</v>
      </c>
      <c r="DQ52" s="13">
        <f t="shared" si="43"/>
        <v>46.185449970115151</v>
      </c>
      <c r="DR52" s="20">
        <f t="shared" si="16"/>
        <v>400.70603369795055</v>
      </c>
      <c r="DS52" s="59">
        <f t="shared" si="17"/>
        <v>694.03936703128386</v>
      </c>
      <c r="DT52" s="59">
        <f ca="1">AVERAGE(OFFSET($DS$3,0,0,'Données projet'!$E$14+1,1))-AVERAGE(OFFSET($H$3,0,0,'Données projet'!$E$14+1,1))</f>
        <v>221.14988592347311</v>
      </c>
      <c r="DU52" s="59">
        <f t="shared" si="44"/>
        <v>179.09262081171607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1.5682155100531472</v>
      </c>
      <c r="EB52" s="21">
        <f>EXP(-LN(2)/25)*EB51+(1-EXP(-LN(2)/25))/(LN(2)/25)*Calculateur!DW52*Calculateur!DY52*VLOOKUP('Données projet'!$B$14,Paramètres!$A$1:$I$89,3,0)*0.475*44/12</f>
        <v>6.0469779797433025</v>
      </c>
      <c r="EC52" s="21">
        <f>EXP(-LN(2)/2)*EC51+(1-EXP(-LN(2)/2))/(LN(2)/2)*DW52*DZ52*VLOOKUP('Données projet'!$B$14,Paramètres!$A$1:$I$89,3,0)*0.475*44/12</f>
        <v>2.6930489794015199E-2</v>
      </c>
      <c r="ED52" s="22">
        <f t="shared" si="18"/>
        <v>7.6421239795904654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9.9</v>
      </c>
      <c r="EJ52" s="12">
        <f>IF('Données projet'!$A$192&gt;35,EJ51+EI52-ER51,IF(A52&lt;'Données projet'!$A$192,$EG$205^A52,IF(A52='Données projet'!$A$192,'Données projet'!$B$192,EJ51+EI52-ER51)))</f>
        <v>292.09999999999991</v>
      </c>
      <c r="EK52" s="17">
        <f>EJ52*VLOOKUP('Données projet'!$B$15,Paramètres!$A$1:$I$89,3,0)*VLOOKUP('Données projet'!$B$15,Paramètres!$A$1:$I$89,5,0)</f>
        <v>159.48659999999995</v>
      </c>
      <c r="EL52" s="13">
        <f t="shared" si="45"/>
        <v>40.72669495241923</v>
      </c>
      <c r="EM52" s="20">
        <f t="shared" si="19"/>
        <v>348.70482204213005</v>
      </c>
      <c r="EN52" s="59">
        <f t="shared" si="20"/>
        <v>642.03815537546336</v>
      </c>
      <c r="EO52" s="59">
        <f ca="1">AVERAGE(OFFSET($EN$3,0,0,'Données projet'!$E$15+1,1))-AVERAGE(OFFSET($H$3,0,0,'Données projet'!$E$15+1,1))</f>
        <v>168.72306536277267</v>
      </c>
      <c r="EP52" s="59">
        <f t="shared" si="46"/>
        <v>203.35476578922339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2.0881130432772883</v>
      </c>
      <c r="EW52" s="21">
        <f>EXP(-LN(2)/25)*EW51+(1-EXP(-LN(2)/25))/(LN(2)/25)*Calculateur!ER52*Calculateur!ET52*VLOOKUP('Données projet'!$B$15,Paramètres!$A$1:$I$89,3,0)*0.475*44/12</f>
        <v>13.572570884541925</v>
      </c>
      <c r="EX52" s="21">
        <f>EXP(-LN(2)/2)*EX51+(1-EXP(-LN(2)/2))/(LN(2)/2)*ER52*EU52*VLOOKUP('Données projet'!$B$15,Paramètres!$A$1:$I$89,3,0)*0.475*44/12</f>
        <v>2.7654292445153633E-2</v>
      </c>
      <c r="EY52" s="22">
        <f t="shared" si="21"/>
        <v>15.688338220264368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8.1999999999999993</v>
      </c>
      <c r="FE52" s="12">
        <f>IF('Données projet'!$A$218&gt;35,FE51+FD52-FM51,IF(A52&lt;'Données projet'!$A$218,$FB$205^A52,IF(A52='Données projet'!$A$218,'Données projet'!$B$218,FE51+FD52-FM51)))</f>
        <v>245.79999999999998</v>
      </c>
      <c r="FF52" s="17">
        <f>FE52*VLOOKUP('Données projet'!$B$16,Paramètres!$A$1:$I$89,3,0)*VLOOKUP('Données projet'!$B$16,Paramètres!$A$1:$I$89,5,0)</f>
        <v>134.20679999999999</v>
      </c>
      <c r="FG52" s="13">
        <f t="shared" si="47"/>
        <v>34.966618227769111</v>
      </c>
      <c r="FH52" s="20">
        <f t="shared" si="22"/>
        <v>294.64370341336456</v>
      </c>
      <c r="FI52" s="59">
        <f t="shared" si="23"/>
        <v>587.97703674669788</v>
      </c>
      <c r="FJ52" s="59">
        <f ca="1">AVERAGE(OFFSET($FI$3,0,0,'Données projet'!$E$16+1,1))-AVERAGE(OFFSET($H$3,0,0,'Données projet'!$E$16+1,1))</f>
        <v>127.76128532861486</v>
      </c>
      <c r="FK52" s="59">
        <f t="shared" si="48"/>
        <v>157.52303491639736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>
        <f>EXP(-LN(2)/35)*FQ51+(1-EXP(-LN(2)/35))/(LN(2)/35)*FM52*FN52*VLOOKUP('Données projet'!$B$16,Paramètres!$A$1:$I$89,3,0)*0.475*44/12</f>
        <v>1.6704904346218303</v>
      </c>
      <c r="FR52" s="21">
        <f>EXP(-LN(2)/25)*FR51+(1-EXP(-LN(2)/25))/(LN(2)/25)*Calculateur!FM52*Calculateur!FO52*VLOOKUP('Données projet'!$B$16,Paramètres!$A$1:$I$89,3,0)*0.475*44/12</f>
        <v>9.6376498316558141</v>
      </c>
      <c r="FS52" s="21">
        <f>EXP(-LN(2)/2)*FS51+(1-EXP(-LN(2)/2))/(LN(2)/2)*FM52*FP52*VLOOKUP('Données projet'!$B$16,Paramètres!$A$1:$I$89,3,0)*0.475*44/12</f>
        <v>2.1955347084531524E-2</v>
      </c>
      <c r="FT52" s="22">
        <f t="shared" si="24"/>
        <v>11.330095613362177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6.8260073260073284</v>
      </c>
      <c r="N53" s="13">
        <f>IF('Données projet'!$A$36&gt;35,N52+M53-V52,IF(A53&lt;'Données projet'!$A$36,$K$205^A53,IF(A53='Données projet'!$A$36,'Données projet'!$B$36,N52+M53-V52)))</f>
        <v>138.96245421245416</v>
      </c>
      <c r="O53" s="13">
        <f>N53*VLOOKUP('Données projet'!$B$9,Paramètres!$A$1:$I$89,3,0)*VLOOKUP('Données projet'!$B$9,Paramètres!$A$1:$I$89,5,0)</f>
        <v>125.73322857142851</v>
      </c>
      <c r="P53" s="13">
        <f t="shared" si="33"/>
        <v>33.008527004415768</v>
      </c>
      <c r="Q53" s="20">
        <f t="shared" si="53"/>
        <v>276.47522429459542</v>
      </c>
      <c r="R53" s="59">
        <f t="shared" si="0"/>
        <v>569.80855762792874</v>
      </c>
      <c r="S53" s="59">
        <f ca="1">AVERAGE(OFFSET($R$3,0,0,'Données projet'!$E$9+1,1))-AVERAGE(OFFSET($H$3,0,0,'Données projet'!$E$9+1,1))</f>
        <v>153.45079678708987</v>
      </c>
      <c r="T53" s="59">
        <f t="shared" si="34"/>
        <v>115.4217868409637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0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0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3.5192307692307692</v>
      </c>
      <c r="AI53" s="13">
        <f>IF('Données projet'!$A$62&gt;35,AI52+AH53-AQ52,IF(A53&lt;'Données projet'!$A$62,$AF$205^A53,IF(A53='Données projet'!$A$62,'Données projet'!$B$62,AI52+AH53-AQ52)))</f>
        <v>127.1282051282052</v>
      </c>
      <c r="AJ53" s="13">
        <f>AI53*VLOOKUP('Données projet'!$B$10,Paramètres!$A$1:$I$89,3,0)*VLOOKUP('Données projet'!$B$10,Paramètres!$A$1:$I$89,5,0)</f>
        <v>115.02560000000007</v>
      </c>
      <c r="AK53" s="13">
        <f t="shared" si="35"/>
        <v>30.511958958861083</v>
      </c>
      <c r="AL53" s="20">
        <f t="shared" si="4"/>
        <v>253.47791518668316</v>
      </c>
      <c r="AM53" s="59">
        <f t="shared" si="5"/>
        <v>546.81124852001653</v>
      </c>
      <c r="AN53" s="59">
        <f ca="1">AVERAGE(OFFSET($AM$3,0,0,'Données projet'!$E$10+1,1))-AVERAGE(OFFSET($H$3,0,0,'Données projet'!$E$10+1,1))</f>
        <v>123.92486590666675</v>
      </c>
      <c r="AO53" s="59">
        <f t="shared" si="36"/>
        <v>54.404493017418986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0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16.227472527472521</v>
      </c>
      <c r="BD53" s="12">
        <f>IF('Données projet'!$A$88&gt;35,BD52+BC53-BL52,IF(A53&lt;'Données projet'!$A$88,$BA$205^A53,IF(A53='Données projet'!$A$88,'Données projet'!$B$88,BD52+BC53-BL52)))</f>
        <v>330.34285714285721</v>
      </c>
      <c r="BE53" s="13">
        <f>BD53*VLOOKUP('Données projet'!$B$11,Paramètres!$A$1:$I$89,3,0)*VLOOKUP('Données projet'!$B$11,Paramètres!$A$1:$I$89,5,0)</f>
        <v>184.66165714285719</v>
      </c>
      <c r="BF53" s="13">
        <f t="shared" si="37"/>
        <v>46.357770619215231</v>
      </c>
      <c r="BG53" s="20">
        <f t="shared" si="7"/>
        <v>402.3588366856095</v>
      </c>
      <c r="BH53" s="59">
        <f t="shared" si="8"/>
        <v>695.69217001894276</v>
      </c>
      <c r="BI53" s="59">
        <f ca="1">AVERAGE(OFFSET($BH$3,0,0,'Données projet'!$E$11+1,1))-AVERAGE(OFFSET($H$3,0,0,'Données projet'!$E$11+1,1))</f>
        <v>224.7049802939942</v>
      </c>
      <c r="BJ53" s="59">
        <f t="shared" si="38"/>
        <v>203.48513862195352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1.5014596807301359</v>
      </c>
      <c r="BQ53" s="21">
        <f>EXP(-LN(2)/25)*BQ52+(1-EXP(-LN(2)/25))/(LN(2)/25)*Calculateur!BL53*Calculateur!BN53*VLOOKUP('Données projet'!$B$11,Paramètres!$A$1:$I$89,3,0)*0.475*44/12</f>
        <v>11.213896332107231</v>
      </c>
      <c r="BR53" s="21">
        <f>EXP(-LN(2)/2)*BR52+(1-EXP(-LN(2)/2))/(LN(2)/2)*BL53*BO53*VLOOKUP('Données projet'!$B$11,Paramètres!$A$1:$I$89,3,0)*0.475*44/12</f>
        <v>8.7505982334843795E-3</v>
      </c>
      <c r="BS53" s="22">
        <f t="shared" si="9"/>
        <v>12.724106611070852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10.423076923076922</v>
      </c>
      <c r="BY53" s="12">
        <f>IF('Données projet'!$A$114&gt;35,BY52+BX53-CG52,IF(A53&lt;'Données projet'!$A$114,$BV$205^A53,IF(A53='Données projet'!$A$114,'Données projet'!$B$114,BY52+BX53-CG52)))</f>
        <v>267.83846153846167</v>
      </c>
      <c r="BZ53" s="13">
        <f>BY53*VLOOKUP('Données projet'!$B$12,Paramètres!$A$1:$I$89,3,0)*VLOOKUP('Données projet'!$B$12,Paramètres!$A$1:$I$89,5,0)</f>
        <v>149.72170000000008</v>
      </c>
      <c r="CA53" s="13">
        <f t="shared" si="39"/>
        <v>38.515334113307162</v>
      </c>
      <c r="CB53" s="20">
        <f t="shared" si="10"/>
        <v>327.84616774734343</v>
      </c>
      <c r="CC53" s="59">
        <f t="shared" si="11"/>
        <v>621.1795010806768</v>
      </c>
      <c r="CD53" s="59">
        <f ca="1">AVERAGE(OFFSET($CC$3,0,0,'Données projet'!$E$12+1,1))-AVERAGE(OFFSET($H$3,0,0,'Données projet'!$E$12+1,1))</f>
        <v>190.08613104982993</v>
      </c>
      <c r="CE53" s="59">
        <f t="shared" si="40"/>
        <v>180.55054525447781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0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380</v>
      </c>
      <c r="CR53" s="12">
        <f>VLOOKUP(A53,'Données projet'!$A$139:$I$159,9,0)</f>
        <v>16.2</v>
      </c>
      <c r="CS53" s="12">
        <f t="array" ref="CS53">INDEX(CR:CR,MIN(IF(ISNUMBER(CR53:CR249),ROW(CR53:CR249),"")))</f>
        <v>16.2</v>
      </c>
      <c r="CT53" s="12">
        <f>IF('Données projet'!$A$140&gt;35,CT52+CS53-DB52,IF(A53&lt;'Données projet'!$A$140,$CQ$205^A53,IF(A53='Données projet'!$A$140,'Données projet'!$B$140,CT52+CS53-DB52)))</f>
        <v>379.99999999999983</v>
      </c>
      <c r="CU53" s="17">
        <f>CT53*VLOOKUP('Données projet'!$B$13,Paramètres!$A$1:$I$89,3,0)*VLOOKUP('Données projet'!$B$13,Paramètres!$A$1:$I$89,5,0)</f>
        <v>227.23999999999992</v>
      </c>
      <c r="CV53" s="13">
        <f t="shared" si="41"/>
        <v>55.685486340484204</v>
      </c>
      <c r="CW53" s="20">
        <f t="shared" si="13"/>
        <v>492.76188870967644</v>
      </c>
      <c r="CX53" s="59">
        <f t="shared" si="14"/>
        <v>786.0952220430097</v>
      </c>
      <c r="CY53" s="59">
        <f ca="1">AVERAGE(OFFSET($CX$3,0,0,'Données projet'!$E$13+1,1))-AVERAGE(OFFSET($H$3,0,0,'Données projet'!$E$13+1,1))</f>
        <v>270.30888762640245</v>
      </c>
      <c r="CZ53" s="59">
        <f t="shared" si="42"/>
        <v>202.23783851977691</v>
      </c>
      <c r="DA53" s="15">
        <f>IF(ISNA(VLOOKUP(A53,'Données projet'!$A$139:$I$159,3,0)),0,VLOOKUP(A53,'Données projet'!$A$139:$I$159,3,0))</f>
        <v>4</v>
      </c>
      <c r="DB53" s="15">
        <f>IF(ISNA(VLOOKUP(A53,'Données projet'!$A$139:$I$159,4,0)),0,VLOOKUP(A53,'Données projet'!$A$139:$I$159,4,0))</f>
        <v>89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1.4413722753918918</v>
      </c>
      <c r="DG53" s="21">
        <f>EXP(-LN(2)/25)*DG52+(1-EXP(-LN(2)/25))/(LN(2)/25)*Calculateur!DB53*Calculateur!DD53*VLOOKUP('Données projet'!$B$13,Paramètres!$A$1:$I$89,3,0)*0.475*44/12</f>
        <v>7.0617427008995186</v>
      </c>
      <c r="DH53" s="21">
        <f>EXP(-LN(2)/2)*DH52+(1-EXP(-LN(2)/2))/(LN(2)/2)*DB53*DE53*VLOOKUP('Données projet'!$B$13,Paramètres!$A$1:$I$89,3,0)*0.475*44/12</f>
        <v>1.8059188072717367E-2</v>
      </c>
      <c r="DI53" s="22">
        <f t="shared" si="15"/>
        <v>8.5211741643641279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projet'!$A$165:$I$185,2,0)</f>
        <v>321</v>
      </c>
      <c r="DM53" s="12">
        <f>VLOOKUP(A53,'Données projet'!$A$165:$I$185,9,0)</f>
        <v>13.5</v>
      </c>
      <c r="DN53" s="12">
        <f t="array" ref="DN53">INDEX(DM:DM,MIN(IF(ISNUMBER(DM53:DM249),ROW(DM53:DM249),"")))</f>
        <v>13.5</v>
      </c>
      <c r="DO53" s="12">
        <f>IF('Données projet'!$A$166&gt;35,DO52+DN53-DW52,IF(A53&lt;'Données projet'!$A$166,$DL$205^A53,IF(A53='Données projet'!$A$166,'Données projet'!$B$166,DO52+DN53-DW52)))</f>
        <v>321</v>
      </c>
      <c r="DP53" s="17">
        <f>DO53*VLOOKUP('Données projet'!$B$14,Paramètres!$A$1:$I$89,3,0)*VLOOKUP('Données projet'!$B$14,Paramètres!$A$1:$I$89,5,0)</f>
        <v>191.958</v>
      </c>
      <c r="DQ53" s="13">
        <f t="shared" si="43"/>
        <v>47.972580210954568</v>
      </c>
      <c r="DR53" s="20">
        <f t="shared" si="16"/>
        <v>417.87909386741256</v>
      </c>
      <c r="DS53" s="59">
        <f t="shared" si="17"/>
        <v>711.21242720074588</v>
      </c>
      <c r="DT53" s="59">
        <f ca="1">AVERAGE(OFFSET($DS$3,0,0,'Données projet'!$E$14+1,1))-AVERAGE(OFFSET($H$3,0,0,'Données projet'!$E$14+1,1))</f>
        <v>221.14988592347311</v>
      </c>
      <c r="DU53" s="59">
        <f t="shared" si="44"/>
        <v>179.09262081171607</v>
      </c>
      <c r="DV53" s="15">
        <f>IF(ISNA(VLOOKUP(A53,'Données projet'!$A$165:$I$185,3,0)),0,VLOOKUP(A53,'Données projet'!$A$165:$I$185,3,0))</f>
        <v>3</v>
      </c>
      <c r="DW53" s="15">
        <f>IF(ISNA(VLOOKUP(A53,'Données projet'!$A$165:$I$185,4,0)),0,VLOOKUP(A53,'Données projet'!$A$165:$I$185,4,0))</f>
        <v>71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1.5374637604180179</v>
      </c>
      <c r="EB53" s="21">
        <f>EXP(-LN(2)/25)*EB52+(1-EXP(-LN(2)/25))/(LN(2)/25)*Calculateur!DW53*Calculateur!DY53*VLOOKUP('Données projet'!$B$14,Paramètres!$A$1:$I$89,3,0)*0.475*44/12</f>
        <v>5.8816230488904706</v>
      </c>
      <c r="EC53" s="21">
        <f>EXP(-LN(2)/2)*EC52+(1-EXP(-LN(2)/2))/(LN(2)/2)*DW53*DZ53*VLOOKUP('Données projet'!$B$14,Paramètres!$A$1:$I$89,3,0)*0.475*44/12</f>
        <v>1.9042731954023256E-2</v>
      </c>
      <c r="ED53" s="22">
        <f t="shared" si="18"/>
        <v>7.4381295412625121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>
        <f>VLOOKUP(A53,'Données projet'!$A$191:$I$211,2,0)</f>
        <v>302</v>
      </c>
      <c r="EH53" s="12">
        <f>VLOOKUP(A53,'Données projet'!$A$191:$I$211,9,0)</f>
        <v>9.9</v>
      </c>
      <c r="EI53" s="12">
        <f t="array" ref="EI53">INDEX(EH:EH,MIN(IF(ISNUMBER(EH53:EH249),ROW(EH53:EH249),"")))</f>
        <v>9.9</v>
      </c>
      <c r="EJ53" s="12">
        <f>IF('Données projet'!$A$192&gt;35,EJ52+EI53-ER52,IF(A53&lt;'Données projet'!$A$192,$EG$205^A53,IF(A53='Données projet'!$A$192,'Données projet'!$B$192,EJ52+EI53-ER52)))</f>
        <v>301.99999999999989</v>
      </c>
      <c r="EK53" s="17">
        <f>EJ53*VLOOKUP('Données projet'!$B$15,Paramètres!$A$1:$I$89,3,0)*VLOOKUP('Données projet'!$B$15,Paramètres!$A$1:$I$89,5,0)</f>
        <v>164.89199999999994</v>
      </c>
      <c r="EL53" s="13">
        <f t="shared" si="45"/>
        <v>41.943978178295076</v>
      </c>
      <c r="EM53" s="20">
        <f t="shared" si="19"/>
        <v>360.23932866053048</v>
      </c>
      <c r="EN53" s="59">
        <f t="shared" si="20"/>
        <v>653.57266199386379</v>
      </c>
      <c r="EO53" s="59">
        <f ca="1">AVERAGE(OFFSET($EN$3,0,0,'Données projet'!$E$15+1,1))-AVERAGE(OFFSET($H$3,0,0,'Données projet'!$E$15+1,1))</f>
        <v>168.72306536277267</v>
      </c>
      <c r="EP53" s="59">
        <f t="shared" si="46"/>
        <v>203.35476578922339</v>
      </c>
      <c r="EQ53" s="15">
        <f>IF(ISNA(VLOOKUP(A53,'Données projet'!$A$191:$I$211,3,0)),0,VLOOKUP(A53,'Données projet'!$A$191:$I$211,3,0))</f>
        <v>4</v>
      </c>
      <c r="ER53" s="15">
        <f>IF(ISNA(VLOOKUP(A53,'Données projet'!$A$191:$I$211,4,0)),0,VLOOKUP(A53,'Données projet'!$A$191:$I$211,4,0))</f>
        <v>55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2.0471664201218172</v>
      </c>
      <c r="EW53" s="21">
        <f>EXP(-LN(2)/25)*EW52+(1-EXP(-LN(2)/25))/(LN(2)/25)*Calculateur!ER53*Calculateur!ET53*VLOOKUP('Données projet'!$B$15,Paramètres!$A$1:$I$89,3,0)*0.475*44/12</f>
        <v>13.201428219953643</v>
      </c>
      <c r="EX53" s="21">
        <f>EXP(-LN(2)/2)*EX52+(1-EXP(-LN(2)/2))/(LN(2)/2)*ER53*EU53*VLOOKUP('Données projet'!$B$15,Paramètres!$A$1:$I$89,3,0)*0.475*44/12</f>
        <v>1.9554537716884045E-2</v>
      </c>
      <c r="EY53" s="22">
        <f t="shared" si="21"/>
        <v>15.268149177792344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>
        <f>VLOOKUP(A53,'Données projet'!$A$217:$I$237,2,0)</f>
        <v>254</v>
      </c>
      <c r="FC53" s="12">
        <f>VLOOKUP(A53,'Données projet'!$A$217:$I$237,9,0)</f>
        <v>8.1999999999999993</v>
      </c>
      <c r="FD53" s="12">
        <f t="array" ref="FD53">INDEX(FC:FC,MIN(IF(ISNUMBER(FC53:FC249),ROW(FC53:FC249),"")))</f>
        <v>8.1999999999999993</v>
      </c>
      <c r="FE53" s="12">
        <f>IF('Données projet'!$A$218&gt;35,FE52+FD53-FM52,IF(A53&lt;'Données projet'!$A$218,$FB$205^A53,IF(A53='Données projet'!$A$218,'Données projet'!$B$218,FE52+FD53-FM52)))</f>
        <v>253.99999999999997</v>
      </c>
      <c r="FF53" s="17">
        <f>FE53*VLOOKUP('Données projet'!$B$16,Paramètres!$A$1:$I$89,3,0)*VLOOKUP('Données projet'!$B$16,Paramètres!$A$1:$I$89,5,0)</f>
        <v>138.68399999999997</v>
      </c>
      <c r="FG53" s="13">
        <f t="shared" si="47"/>
        <v>35.995362862956796</v>
      </c>
      <c r="FH53" s="20">
        <f t="shared" si="22"/>
        <v>304.23322365298299</v>
      </c>
      <c r="FI53" s="59">
        <f t="shared" si="23"/>
        <v>597.5665569863163</v>
      </c>
      <c r="FJ53" s="59">
        <f ca="1">AVERAGE(OFFSET($FI$3,0,0,'Données projet'!$E$16+1,1))-AVERAGE(OFFSET($H$3,0,0,'Données projet'!$E$16+1,1))</f>
        <v>127.76128532861486</v>
      </c>
      <c r="FK53" s="59">
        <f t="shared" si="48"/>
        <v>157.52303491639736</v>
      </c>
      <c r="FL53" s="15">
        <f>IF(ISNA(VLOOKUP(A53,'Données projet'!$A$217:$I$237,3,0)),0,VLOOKUP(A53,'Données projet'!$A$217:$I$237,3,0))</f>
        <v>4</v>
      </c>
      <c r="FM53" s="15">
        <f>IF(ISNA(VLOOKUP(A53,'Données projet'!$A$217:$I$237,4,0)),0,VLOOKUP(A53,'Données projet'!$A$217:$I$237,4,0))</f>
        <v>45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>
        <f>EXP(-LN(2)/35)*FQ52+(1-EXP(-LN(2)/35))/(LN(2)/35)*FM53*FN53*VLOOKUP('Données projet'!$B$16,Paramètres!$A$1:$I$89,3,0)*0.475*44/12</f>
        <v>1.6377331360974534</v>
      </c>
      <c r="FR53" s="21">
        <f>EXP(-LN(2)/25)*FR52+(1-EXP(-LN(2)/25))/(LN(2)/25)*Calculateur!FM53*Calculateur!FO53*VLOOKUP('Données projet'!$B$16,Paramètres!$A$1:$I$89,3,0)*0.475*44/12</f>
        <v>9.3741077901872085</v>
      </c>
      <c r="FS53" s="21">
        <f>EXP(-LN(2)/2)*FS52+(1-EXP(-LN(2)/2))/(LN(2)/2)*FM53*FP53*VLOOKUP('Données projet'!$B$16,Paramètres!$A$1:$I$89,3,0)*0.475*44/12</f>
        <v>1.5524774806776538E-2</v>
      </c>
      <c r="FT53" s="22">
        <f t="shared" si="24"/>
        <v>11.027365701091439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>
        <f>VLOOKUP(A54,'Données projet'!$A$35:$I$55,2,0)</f>
        <v>145.78846153846155</v>
      </c>
      <c r="L54" s="12">
        <f>VLOOKUP(A54,'Données projet'!$A$35:$I$55,9,0)</f>
        <v>6.8260073260073284</v>
      </c>
      <c r="M54" s="12">
        <f t="array" ref="M54">INDEX(L:L,MIN(IF(ISNUMBER(L54:L250),ROW(L54:L250),"")))</f>
        <v>6.8260073260073284</v>
      </c>
      <c r="N54" s="13">
        <f>IF('Données projet'!$A$36&gt;35,N53+M54-V53,IF(A54&lt;'Données projet'!$A$36,$K$205^A54,IF(A54='Données projet'!$A$36,'Données projet'!$B$36,N53+M54-V53)))</f>
        <v>145.78846153846149</v>
      </c>
      <c r="O54" s="13">
        <f>N54*VLOOKUP('Données projet'!$B$9,Paramètres!$A$1:$I$89,3,0)*VLOOKUP('Données projet'!$B$9,Paramètres!$A$1:$I$89,5,0)</f>
        <v>131.90939999999995</v>
      </c>
      <c r="P54" s="13">
        <f t="shared" si="33"/>
        <v>34.437190502969557</v>
      </c>
      <c r="Q54" s="20">
        <f t="shared" si="53"/>
        <v>289.72031179267179</v>
      </c>
      <c r="R54" s="59">
        <f t="shared" si="0"/>
        <v>583.05364512600511</v>
      </c>
      <c r="S54" s="59">
        <f ca="1">AVERAGE(OFFSET($R$3,0,0,'Données projet'!$E$9+1,1))-AVERAGE(OFFSET($H$3,0,0,'Données projet'!$E$9+1,1))</f>
        <v>153.45079678708987</v>
      </c>
      <c r="T54" s="59">
        <f t="shared" si="34"/>
        <v>115.4217868409637</v>
      </c>
      <c r="U54" s="15">
        <f>IF(ISNA(VLOOKUP(A54,'Données projet'!$A$35:$I$55,3,0)),0,VLOOKUP(A54,'Données projet'!$A$35:$I$55,3,0))</f>
        <v>2</v>
      </c>
      <c r="V54" s="15">
        <f>IF(ISNA(VLOOKUP(A54,'Données projet'!$A$35:$I$55,4,0)),0,VLOOKUP(A54,'Données projet'!$A$35:$I$55,4,0))</f>
        <v>37.685897435897431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0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0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3.5192307692307692</v>
      </c>
      <c r="AI54" s="13">
        <f>IF('Données projet'!$A$62&gt;35,AI53+AH54-AQ53,IF(A54&lt;'Données projet'!$A$62,$AF$205^A54,IF(A54='Données projet'!$A$62,'Données projet'!$B$62,AI53+AH54-AQ53)))</f>
        <v>130.64743589743597</v>
      </c>
      <c r="AJ54" s="13">
        <f>AI54*VLOOKUP('Données projet'!$B$10,Paramètres!$A$1:$I$89,3,0)*VLOOKUP('Données projet'!$B$10,Paramètres!$A$1:$I$89,5,0)</f>
        <v>118.20980000000006</v>
      </c>
      <c r="AK54" s="13">
        <f t="shared" si="35"/>
        <v>31.257099990626237</v>
      </c>
      <c r="AL54" s="20">
        <f t="shared" si="4"/>
        <v>260.32151748367414</v>
      </c>
      <c r="AM54" s="59">
        <f t="shared" si="5"/>
        <v>553.6548508170074</v>
      </c>
      <c r="AN54" s="59">
        <f ca="1">AVERAGE(OFFSET($AM$3,0,0,'Données projet'!$E$10+1,1))-AVERAGE(OFFSET($H$3,0,0,'Données projet'!$E$10+1,1))</f>
        <v>123.92486590666675</v>
      </c>
      <c r="AO54" s="59">
        <f t="shared" si="36"/>
        <v>54.404493017418986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0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16.227472527472521</v>
      </c>
      <c r="BD54" s="12">
        <f>IF('Données projet'!$A$88&gt;35,BD53+BC54-BL53,IF(A54&lt;'Données projet'!$A$88,$BA$205^A54,IF(A54='Données projet'!$A$88,'Données projet'!$B$88,BD53+BC54-BL53)))</f>
        <v>346.57032967032973</v>
      </c>
      <c r="BE54" s="13">
        <f>BD54*VLOOKUP('Données projet'!$B$11,Paramètres!$A$1:$I$89,3,0)*VLOOKUP('Données projet'!$B$11,Paramètres!$A$1:$I$89,5,0)</f>
        <v>193.73281428571431</v>
      </c>
      <c r="BF54" s="13">
        <f t="shared" si="37"/>
        <v>48.364288285880889</v>
      </c>
      <c r="BG54" s="20">
        <f t="shared" si="7"/>
        <v>421.65245364552828</v>
      </c>
      <c r="BH54" s="59">
        <f t="shared" si="8"/>
        <v>714.9857869788616</v>
      </c>
      <c r="BI54" s="59">
        <f ca="1">AVERAGE(OFFSET($BH$3,0,0,'Données projet'!$E$11+1,1))-AVERAGE(OFFSET($H$3,0,0,'Données projet'!$E$11+1,1))</f>
        <v>224.7049802939942</v>
      </c>
      <c r="BJ54" s="59">
        <f t="shared" si="38"/>
        <v>203.48513862195352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1.4720169721909955</v>
      </c>
      <c r="BQ54" s="21">
        <f>EXP(-LN(2)/25)*BQ53+(1-EXP(-LN(2)/25))/(LN(2)/25)*Calculateur!BL54*Calculateur!BN54*VLOOKUP('Données projet'!$B$11,Paramètres!$A$1:$I$89,3,0)*0.475*44/12</f>
        <v>10.90725174719258</v>
      </c>
      <c r="BR54" s="21">
        <f>EXP(-LN(2)/2)*BR53+(1-EXP(-LN(2)/2))/(LN(2)/2)*BL54*BO54*VLOOKUP('Données projet'!$B$11,Paramètres!$A$1:$I$89,3,0)*0.475*44/12</f>
        <v>6.1876073503358284E-3</v>
      </c>
      <c r="BS54" s="22">
        <f t="shared" si="9"/>
        <v>12.385456326733912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10.423076923076922</v>
      </c>
      <c r="BY54" s="12">
        <f>IF('Données projet'!$A$114&gt;35,BY53+BX54-CG53,IF(A54&lt;'Données projet'!$A$114,$BV$205^A54,IF(A54='Données projet'!$A$114,'Données projet'!$B$114,BY53+BX54-CG53)))</f>
        <v>278.26153846153858</v>
      </c>
      <c r="BZ54" s="13">
        <f>BY54*VLOOKUP('Données projet'!$B$12,Paramètres!$A$1:$I$89,3,0)*VLOOKUP('Données projet'!$B$12,Paramètres!$A$1:$I$89,5,0)</f>
        <v>155.54820000000007</v>
      </c>
      <c r="CA54" s="13">
        <f t="shared" si="39"/>
        <v>39.836756394762013</v>
      </c>
      <c r="CB54" s="20">
        <f t="shared" si="10"/>
        <v>340.29546572087725</v>
      </c>
      <c r="CC54" s="59">
        <f t="shared" si="11"/>
        <v>633.6287990542105</v>
      </c>
      <c r="CD54" s="59">
        <f ca="1">AVERAGE(OFFSET($CC$3,0,0,'Données projet'!$E$12+1,1))-AVERAGE(OFFSET($H$3,0,0,'Données projet'!$E$12+1,1))</f>
        <v>190.08613104982993</v>
      </c>
      <c r="CE54" s="59">
        <f t="shared" si="40"/>
        <v>180.55054525447781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0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15.6</v>
      </c>
      <c r="CT54" s="12">
        <f>IF('Données projet'!$A$140&gt;35,CT53+CS54-DB53,IF(A54&lt;'Données projet'!$A$140,$CQ$205^A54,IF(A54='Données projet'!$A$140,'Données projet'!$B$140,CT53+CS54-DB53)))</f>
        <v>306.59999999999985</v>
      </c>
      <c r="CU54" s="17">
        <f>CT54*VLOOKUP('Données projet'!$B$13,Paramètres!$A$1:$I$89,3,0)*VLOOKUP('Données projet'!$B$13,Paramètres!$A$1:$I$89,5,0)</f>
        <v>183.34679999999994</v>
      </c>
      <c r="CV54" s="13">
        <f t="shared" si="41"/>
        <v>46.06598726946973</v>
      </c>
      <c r="CW54" s="20">
        <f t="shared" si="13"/>
        <v>399.56060449432636</v>
      </c>
      <c r="CX54" s="59">
        <f t="shared" si="14"/>
        <v>692.89393782765967</v>
      </c>
      <c r="CY54" s="59">
        <f ca="1">AVERAGE(OFFSET($CX$3,0,0,'Données projet'!$E$13+1,1))-AVERAGE(OFFSET($H$3,0,0,'Données projet'!$E$13+1,1))</f>
        <v>270.30888762640245</v>
      </c>
      <c r="CZ54" s="59">
        <f t="shared" si="42"/>
        <v>202.23783851977691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1.413107844221736</v>
      </c>
      <c r="DG54" s="21">
        <f>EXP(-LN(2)/25)*DG53+(1-EXP(-LN(2)/25))/(LN(2)/25)*Calculateur!DB54*Calculateur!DD54*VLOOKUP('Données projet'!$B$13,Paramètres!$A$1:$I$89,3,0)*0.475*44/12</f>
        <v>6.8686389753825123</v>
      </c>
      <c r="DH54" s="21">
        <f>EXP(-LN(2)/2)*DH53+(1-EXP(-LN(2)/2))/(LN(2)/2)*DB54*DE54*VLOOKUP('Données projet'!$B$13,Paramètres!$A$1:$I$89,3,0)*0.475*44/12</f>
        <v>1.2769774348941668E-2</v>
      </c>
      <c r="DI54" s="22">
        <f t="shared" si="15"/>
        <v>8.2945165939531886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13</v>
      </c>
      <c r="DO54" s="12">
        <f>IF('Données projet'!$A$166&gt;35,DO53+DN54-DW53,IF(A54&lt;'Données projet'!$A$166,$DL$205^A54,IF(A54='Données projet'!$A$166,'Données projet'!$B$166,DO53+DN54-DW53)))</f>
        <v>263</v>
      </c>
      <c r="DP54" s="17">
        <f>DO54*VLOOKUP('Données projet'!$B$14,Paramètres!$A$1:$I$89,3,0)*VLOOKUP('Données projet'!$B$14,Paramètres!$A$1:$I$89,5,0)</f>
        <v>157.274</v>
      </c>
      <c r="DQ54" s="13">
        <f t="shared" si="43"/>
        <v>40.227044915434455</v>
      </c>
      <c r="DR54" s="20">
        <f t="shared" si="16"/>
        <v>343.98098656104827</v>
      </c>
      <c r="DS54" s="59">
        <f t="shared" si="17"/>
        <v>637.31431989438158</v>
      </c>
      <c r="DT54" s="59">
        <f ca="1">AVERAGE(OFFSET($DS$3,0,0,'Données projet'!$E$14+1,1))-AVERAGE(OFFSET($H$3,0,0,'Données projet'!$E$14+1,1))</f>
        <v>221.14988592347311</v>
      </c>
      <c r="DU54" s="59">
        <f t="shared" si="44"/>
        <v>179.09262081171607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1.5073150338365182</v>
      </c>
      <c r="EB54" s="21">
        <f>EXP(-LN(2)/25)*EB53+(1-EXP(-LN(2)/25))/(LN(2)/25)*Calculateur!DW54*Calculateur!DY54*VLOOKUP('Données projet'!$B$14,Paramètres!$A$1:$I$89,3,0)*0.475*44/12</f>
        <v>5.7207897573174469</v>
      </c>
      <c r="EC54" s="21">
        <f>EXP(-LN(2)/2)*EC53+(1-EXP(-LN(2)/2))/(LN(2)/2)*DW54*DZ54*VLOOKUP('Données projet'!$B$14,Paramètres!$A$1:$I$89,3,0)*0.475*44/12</f>
        <v>1.34652448970076E-2</v>
      </c>
      <c r="ED54" s="22">
        <f t="shared" si="18"/>
        <v>7.2415700360509732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8.1999999999999993</v>
      </c>
      <c r="EJ54" s="12">
        <f>IF('Données projet'!$A$192&gt;35,EJ53+EI54-ER53,IF(A54&lt;'Données projet'!$A$192,$EG$205^A54,IF(A54='Données projet'!$A$192,'Données projet'!$B$192,EJ53+EI54-ER53)))</f>
        <v>255.19999999999987</v>
      </c>
      <c r="EK54" s="17">
        <f>EJ54*VLOOKUP('Données projet'!$B$15,Paramètres!$A$1:$I$89,3,0)*VLOOKUP('Données projet'!$B$15,Paramètres!$A$1:$I$89,5,0)</f>
        <v>139.33919999999992</v>
      </c>
      <c r="EL54" s="13">
        <f t="shared" si="45"/>
        <v>36.145583836349623</v>
      </c>
      <c r="EM54" s="20">
        <f t="shared" si="19"/>
        <v>305.63599851497548</v>
      </c>
      <c r="EN54" s="59">
        <f t="shared" si="20"/>
        <v>598.9693318483088</v>
      </c>
      <c r="EO54" s="59">
        <f ca="1">AVERAGE(OFFSET($EN$3,0,0,'Données projet'!$E$15+1,1))-AVERAGE(OFFSET($H$3,0,0,'Données projet'!$E$15+1,1))</f>
        <v>168.72306536277267</v>
      </c>
      <c r="EP54" s="59">
        <f t="shared" si="46"/>
        <v>203.35476578922339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2.0070227352714509</v>
      </c>
      <c r="EW54" s="21">
        <f>EXP(-LN(2)/25)*EW53+(1-EXP(-LN(2)/25))/(LN(2)/25)*Calculateur!ER54*Calculateur!ET54*VLOOKUP('Données projet'!$B$15,Paramètres!$A$1:$I$89,3,0)*0.475*44/12</f>
        <v>12.840434471046073</v>
      </c>
      <c r="EX54" s="21">
        <f>EXP(-LN(2)/2)*EX53+(1-EXP(-LN(2)/2))/(LN(2)/2)*ER54*EU54*VLOOKUP('Données projet'!$B$15,Paramètres!$A$1:$I$89,3,0)*0.475*44/12</f>
        <v>1.3827146222576818E-2</v>
      </c>
      <c r="EY54" s="22">
        <f t="shared" si="21"/>
        <v>14.861284352540101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6.9</v>
      </c>
      <c r="FE54" s="12">
        <f>IF('Données projet'!$A$218&gt;35,FE53+FD54-FM53,IF(A54&lt;'Données projet'!$A$218,$FB$205^A54,IF(A54='Données projet'!$A$218,'Données projet'!$B$218,FE53+FD54-FM53)))</f>
        <v>215.89999999999998</v>
      </c>
      <c r="FF54" s="17">
        <f>FE54*VLOOKUP('Données projet'!$B$16,Paramètres!$A$1:$I$89,3,0)*VLOOKUP('Données projet'!$B$16,Paramètres!$A$1:$I$89,5,0)</f>
        <v>117.88139999999999</v>
      </c>
      <c r="FG54" s="13">
        <f t="shared" si="47"/>
        <v>31.180359540626533</v>
      </c>
      <c r="FH54" s="20">
        <f t="shared" si="22"/>
        <v>259.61589786659118</v>
      </c>
      <c r="FI54" s="59">
        <f t="shared" si="23"/>
        <v>552.9492311999245</v>
      </c>
      <c r="FJ54" s="59">
        <f ca="1">AVERAGE(OFFSET($FI$3,0,0,'Données projet'!$E$16+1,1))-AVERAGE(OFFSET($H$3,0,0,'Données projet'!$E$16+1,1))</f>
        <v>127.76128532861486</v>
      </c>
      <c r="FK54" s="59">
        <f t="shared" si="48"/>
        <v>157.52303491639736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>
        <f>EXP(-LN(2)/35)*FQ53+(1-EXP(-LN(2)/35))/(LN(2)/35)*FM54*FN54*VLOOKUP('Données projet'!$B$16,Paramètres!$A$1:$I$89,3,0)*0.475*44/12</f>
        <v>1.6056181882171603</v>
      </c>
      <c r="FR54" s="21">
        <f>EXP(-LN(2)/25)*FR53+(1-EXP(-LN(2)/25))/(LN(2)/25)*Calculateur!FM54*Calculateur!FO54*VLOOKUP('Données projet'!$B$16,Paramètres!$A$1:$I$89,3,0)*0.475*44/12</f>
        <v>9.1177723197016363</v>
      </c>
      <c r="FS54" s="21">
        <f>EXP(-LN(2)/2)*FS53+(1-EXP(-LN(2)/2))/(LN(2)/2)*FM54*FP54*VLOOKUP('Données projet'!$B$16,Paramètres!$A$1:$I$89,3,0)*0.475*44/12</f>
        <v>1.0977673542265764E-2</v>
      </c>
      <c r="FT54" s="22">
        <f t="shared" si="24"/>
        <v>10.734368181461063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6.3942307692307665</v>
      </c>
      <c r="N55" s="13">
        <f>IF('Données projet'!$A$36&gt;35,N54+M55-V54,IF(A55&lt;'Données projet'!$A$36,$K$205^A55,IF(A55='Données projet'!$A$36,'Données projet'!$B$36,N54+M55-V54)))</f>
        <v>114.49679487179483</v>
      </c>
      <c r="O55" s="13">
        <f>N55*VLOOKUP('Données projet'!$B$9,Paramètres!$A$1:$I$89,3,0)*VLOOKUP('Données projet'!$B$9,Paramètres!$A$1:$I$89,5,0)</f>
        <v>103.59669999999997</v>
      </c>
      <c r="P55" s="13">
        <f t="shared" si="33"/>
        <v>27.817091630299288</v>
      </c>
      <c r="Q55" s="20">
        <f t="shared" si="53"/>
        <v>228.87902042277122</v>
      </c>
      <c r="R55" s="59">
        <f t="shared" si="0"/>
        <v>522.21235375610456</v>
      </c>
      <c r="S55" s="59">
        <f ca="1">AVERAGE(OFFSET($R$3,0,0,'Données projet'!$E$9+1,1))-AVERAGE(OFFSET($H$3,0,0,'Données projet'!$E$9+1,1))</f>
        <v>153.45079678708987</v>
      </c>
      <c r="T55" s="59">
        <f t="shared" si="34"/>
        <v>115.4217868409637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0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0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3.5192307692307692</v>
      </c>
      <c r="AI55" s="13">
        <f>IF('Données projet'!$A$62&gt;35,AI54+AH55-AQ54,IF(A55&lt;'Données projet'!$A$62,$AF$205^A55,IF(A55='Données projet'!$A$62,'Données projet'!$B$62,AI54+AH55-AQ54)))</f>
        <v>134.16666666666674</v>
      </c>
      <c r="AJ55" s="13">
        <f>AI55*VLOOKUP('Données projet'!$B$10,Paramètres!$A$1:$I$89,3,0)*VLOOKUP('Données projet'!$B$10,Paramètres!$A$1:$I$89,5,0)</f>
        <v>121.39400000000006</v>
      </c>
      <c r="AK55" s="13">
        <f t="shared" si="35"/>
        <v>31.999908030972463</v>
      </c>
      <c r="AL55" s="20">
        <f t="shared" si="4"/>
        <v>267.16105648727711</v>
      </c>
      <c r="AM55" s="59">
        <f t="shared" si="5"/>
        <v>560.49438982061042</v>
      </c>
      <c r="AN55" s="59">
        <f ca="1">AVERAGE(OFFSET($AM$3,0,0,'Données projet'!$E$10+1,1))-AVERAGE(OFFSET($H$3,0,0,'Données projet'!$E$10+1,1))</f>
        <v>123.92486590666675</v>
      </c>
      <c r="AO55" s="59">
        <f t="shared" si="36"/>
        <v>54.404493017418986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0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16.227472527472521</v>
      </c>
      <c r="BD55" s="12">
        <f>IF('Données projet'!$A$88&gt;35,BD54+BC55-BL54,IF(A55&lt;'Données projet'!$A$88,$BA$205^A55,IF(A55='Données projet'!$A$88,'Données projet'!$B$88,BD54+BC55-BL54)))</f>
        <v>362.79780219780224</v>
      </c>
      <c r="BE55" s="13">
        <f>BD55*VLOOKUP('Données projet'!$B$11,Paramètres!$A$1:$I$89,3,0)*VLOOKUP('Données projet'!$B$11,Paramètres!$A$1:$I$89,5,0)</f>
        <v>202.80397142857146</v>
      </c>
      <c r="BF55" s="13">
        <f t="shared" si="37"/>
        <v>50.359895566849652</v>
      </c>
      <c r="BG55" s="20">
        <f t="shared" si="7"/>
        <v>440.92706835035841</v>
      </c>
      <c r="BH55" s="59">
        <f t="shared" si="8"/>
        <v>734.26040168369173</v>
      </c>
      <c r="BI55" s="59">
        <f ca="1">AVERAGE(OFFSET($BH$3,0,0,'Données projet'!$E$11+1,1))-AVERAGE(OFFSET($H$3,0,0,'Données projet'!$E$11+1,1))</f>
        <v>224.7049802939942</v>
      </c>
      <c r="BJ55" s="59">
        <f t="shared" si="38"/>
        <v>203.48513862195352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1.4431516172080285</v>
      </c>
      <c r="BQ55" s="21">
        <f>EXP(-LN(2)/25)*BQ54+(1-EXP(-LN(2)/25))/(LN(2)/25)*Calculateur!BL55*Calculateur!BN55*VLOOKUP('Données projet'!$B$11,Paramètres!$A$1:$I$89,3,0)*0.475*44/12</f>
        <v>10.608992374578159</v>
      </c>
      <c r="BR55" s="21">
        <f>EXP(-LN(2)/2)*BR54+(1-EXP(-LN(2)/2))/(LN(2)/2)*BL55*BO55*VLOOKUP('Données projet'!$B$11,Paramètres!$A$1:$I$89,3,0)*0.475*44/12</f>
        <v>4.3752991167421897E-3</v>
      </c>
      <c r="BS55" s="22">
        <f t="shared" si="9"/>
        <v>12.05651929090293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>
        <f>VLOOKUP(A55,'Données projet'!$A$113:$I$133,2,0)</f>
        <v>288.68461538461537</v>
      </c>
      <c r="BW55" s="12">
        <f>VLOOKUP(A55,'Données projet'!$A$113:$I$133,9,0)</f>
        <v>10.423076923076922</v>
      </c>
      <c r="BX55" s="12">
        <f t="array" ref="BX55">INDEX(BW:BW,MIN(IF(ISNUMBER(BW55:BW251),ROW(BW55:BW251),"")))</f>
        <v>10.423076923076922</v>
      </c>
      <c r="BY55" s="12">
        <f>IF('Données projet'!$A$114&gt;35,BY54+BX55-CG54,IF(A55&lt;'Données projet'!$A$114,$BV$205^A55,IF(A55='Données projet'!$A$114,'Données projet'!$B$114,BY54+BX55-CG54)))</f>
        <v>288.68461538461548</v>
      </c>
      <c r="BZ55" s="13">
        <f>BY55*VLOOKUP('Données projet'!$B$12,Paramètres!$A$1:$I$89,3,0)*VLOOKUP('Données projet'!$B$12,Paramètres!$A$1:$I$89,5,0)</f>
        <v>161.37470000000008</v>
      </c>
      <c r="CA55" s="13">
        <f t="shared" si="39"/>
        <v>41.152428274116893</v>
      </c>
      <c r="CB55" s="20">
        <f t="shared" si="10"/>
        <v>352.73474841075375</v>
      </c>
      <c r="CC55" s="59">
        <f t="shared" si="11"/>
        <v>646.06808174408707</v>
      </c>
      <c r="CD55" s="59">
        <f ca="1">AVERAGE(OFFSET($CC$3,0,0,'Données projet'!$E$12+1,1))-AVERAGE(OFFSET($H$3,0,0,'Données projet'!$E$12+1,1))</f>
        <v>190.08613104982993</v>
      </c>
      <c r="CE55" s="59">
        <f t="shared" si="40"/>
        <v>180.55054525447781</v>
      </c>
      <c r="CF55" s="15">
        <f>IF(ISNA(VLOOKUP(A55,'Données projet'!$A$113:$I$133,3,0)),0,VLOOKUP(A55,'Données projet'!$A$113:$I$133,3,0))</f>
        <v>3</v>
      </c>
      <c r="CG55" s="15">
        <f>IF(ISNA(VLOOKUP(A55,'Données projet'!$A$113:$I$133,4,0)),0,VLOOKUP(A55,'Données projet'!$A$113:$I$133,4,0))</f>
        <v>50.353846153846149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0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15.6</v>
      </c>
      <c r="CT55" s="12">
        <f>IF('Données projet'!$A$140&gt;35,CT54+CS55-DB54,IF(A55&lt;'Données projet'!$A$140,$CQ$205^A55,IF(A55='Données projet'!$A$140,'Données projet'!$B$140,CT54+CS55-DB54)))</f>
        <v>322.19999999999987</v>
      </c>
      <c r="CU55" s="17">
        <f>CT55*VLOOKUP('Données projet'!$B$13,Paramètres!$A$1:$I$89,3,0)*VLOOKUP('Données projet'!$B$13,Paramètres!$A$1:$I$89,5,0)</f>
        <v>192.67559999999995</v>
      </c>
      <c r="CV55" s="13">
        <f t="shared" si="41"/>
        <v>48.131007733172943</v>
      </c>
      <c r="CW55" s="20">
        <f t="shared" si="13"/>
        <v>419.40484180194272</v>
      </c>
      <c r="CX55" s="59">
        <f t="shared" si="14"/>
        <v>712.73817513527604</v>
      </c>
      <c r="CY55" s="59">
        <f ca="1">AVERAGE(OFFSET($CX$3,0,0,'Données projet'!$E$13+1,1))-AVERAGE(OFFSET($H$3,0,0,'Données projet'!$E$13+1,1))</f>
        <v>270.30888762640245</v>
      </c>
      <c r="CZ55" s="59">
        <f t="shared" si="42"/>
        <v>202.23783851977691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1.3853976613072261</v>
      </c>
      <c r="DG55" s="21">
        <f>EXP(-LN(2)/25)*DG54+(1-EXP(-LN(2)/25))/(LN(2)/25)*Calculateur!DB55*Calculateur!DD55*VLOOKUP('Données projet'!$B$13,Paramètres!$A$1:$I$89,3,0)*0.475*44/12</f>
        <v>6.6808156813946526</v>
      </c>
      <c r="DH55" s="21">
        <f>EXP(-LN(2)/2)*DH54+(1-EXP(-LN(2)/2))/(LN(2)/2)*DB55*DE55*VLOOKUP('Données projet'!$B$13,Paramètres!$A$1:$I$89,3,0)*0.475*44/12</f>
        <v>9.0295940363586836E-3</v>
      </c>
      <c r="DI55" s="22">
        <f t="shared" si="15"/>
        <v>8.0752429367382366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13</v>
      </c>
      <c r="DO55" s="12">
        <f>IF('Données projet'!$A$166&gt;35,DO54+DN55-DW54,IF(A55&lt;'Données projet'!$A$166,$DL$205^A55,IF(A55='Données projet'!$A$166,'Données projet'!$B$166,DO54+DN55-DW54)))</f>
        <v>276</v>
      </c>
      <c r="DP55" s="17">
        <f>DO55*VLOOKUP('Données projet'!$B$14,Paramètres!$A$1:$I$89,3,0)*VLOOKUP('Données projet'!$B$14,Paramètres!$A$1:$I$89,5,0)</f>
        <v>165.048</v>
      </c>
      <c r="DQ55" s="13">
        <f t="shared" si="43"/>
        <v>41.979039350635581</v>
      </c>
      <c r="DR55" s="20">
        <f t="shared" si="16"/>
        <v>360.57209353569027</v>
      </c>
      <c r="DS55" s="59">
        <f t="shared" si="17"/>
        <v>653.90542686902359</v>
      </c>
      <c r="DT55" s="59">
        <f ca="1">AVERAGE(OFFSET($DS$3,0,0,'Données projet'!$E$14+1,1))-AVERAGE(OFFSET($H$3,0,0,'Données projet'!$E$14+1,1))</f>
        <v>221.14988592347311</v>
      </c>
      <c r="DU55" s="59">
        <f t="shared" si="44"/>
        <v>179.09262081171607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1.4777575053943743</v>
      </c>
      <c r="EB55" s="21">
        <f>EXP(-LN(2)/25)*EB54+(1-EXP(-LN(2)/25))/(LN(2)/25)*Calculateur!DW55*Calculateur!DY55*VLOOKUP('Données projet'!$B$14,Paramètres!$A$1:$I$89,3,0)*0.475*44/12</f>
        <v>5.5643544605603434</v>
      </c>
      <c r="EC55" s="21">
        <f>EXP(-LN(2)/2)*EC54+(1-EXP(-LN(2)/2))/(LN(2)/2)*DW55*DZ55*VLOOKUP('Données projet'!$B$14,Paramètres!$A$1:$I$89,3,0)*0.475*44/12</f>
        <v>9.5213659770116282E-3</v>
      </c>
      <c r="ED55" s="22">
        <f t="shared" si="18"/>
        <v>7.051633331931729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8.1999999999999993</v>
      </c>
      <c r="EJ55" s="12">
        <f>IF('Données projet'!$A$192&gt;35,EJ54+EI55-ER54,IF(A55&lt;'Données projet'!$A$192,$EG$205^A55,IF(A55='Données projet'!$A$192,'Données projet'!$B$192,EJ54+EI55-ER54)))</f>
        <v>263.39999999999986</v>
      </c>
      <c r="EK55" s="17">
        <f>EJ55*VLOOKUP('Données projet'!$B$15,Paramètres!$A$1:$I$89,3,0)*VLOOKUP('Données projet'!$B$15,Paramètres!$A$1:$I$89,5,0)</f>
        <v>143.81639999999993</v>
      </c>
      <c r="EL55" s="13">
        <f t="shared" si="45"/>
        <v>37.169915935828818</v>
      </c>
      <c r="EM55" s="20">
        <f t="shared" si="19"/>
        <v>315.21783358823507</v>
      </c>
      <c r="EN55" s="59">
        <f t="shared" si="20"/>
        <v>608.55116692156844</v>
      </c>
      <c r="EO55" s="59">
        <f ca="1">AVERAGE(OFFSET($EN$3,0,0,'Données projet'!$E$15+1,1))-AVERAGE(OFFSET($H$3,0,0,'Données projet'!$E$15+1,1))</f>
        <v>168.72306536277267</v>
      </c>
      <c r="EP55" s="59">
        <f t="shared" si="46"/>
        <v>203.35476578922339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1.9676662435957701</v>
      </c>
      <c r="EW55" s="21">
        <f>EXP(-LN(2)/25)*EW54+(1-EXP(-LN(2)/25))/(LN(2)/25)*Calculateur!ER55*Calculateur!ET55*VLOOKUP('Données projet'!$B$15,Paramètres!$A$1:$I$89,3,0)*0.475*44/12</f>
        <v>12.489312115186216</v>
      </c>
      <c r="EX55" s="21">
        <f>EXP(-LN(2)/2)*EX54+(1-EXP(-LN(2)/2))/(LN(2)/2)*ER55*EU55*VLOOKUP('Données projet'!$B$15,Paramètres!$A$1:$I$89,3,0)*0.475*44/12</f>
        <v>9.7772688584420245E-3</v>
      </c>
      <c r="EY55" s="22">
        <f t="shared" si="21"/>
        <v>14.466755627640429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6.9</v>
      </c>
      <c r="FE55" s="12">
        <f>IF('Données projet'!$A$218&gt;35,FE54+FD55-FM54,IF(A55&lt;'Données projet'!$A$218,$FB$205^A55,IF(A55='Données projet'!$A$218,'Données projet'!$B$218,FE54+FD55-FM54)))</f>
        <v>222.79999999999998</v>
      </c>
      <c r="FF55" s="17">
        <f>FE55*VLOOKUP('Données projet'!$B$16,Paramètres!$A$1:$I$89,3,0)*VLOOKUP('Données projet'!$B$16,Paramètres!$A$1:$I$89,5,0)</f>
        <v>121.64879999999999</v>
      </c>
      <c r="FG55" s="13">
        <f t="shared" si="47"/>
        <v>32.059248862040441</v>
      </c>
      <c r="FH55" s="20">
        <f t="shared" si="22"/>
        <v>267.70818510138707</v>
      </c>
      <c r="FI55" s="59">
        <f t="shared" si="23"/>
        <v>561.04151843472039</v>
      </c>
      <c r="FJ55" s="59">
        <f ca="1">AVERAGE(OFFSET($FI$3,0,0,'Données projet'!$E$16+1,1))-AVERAGE(OFFSET($H$3,0,0,'Données projet'!$E$16+1,1))</f>
        <v>127.76128532861486</v>
      </c>
      <c r="FK55" s="59">
        <f t="shared" si="48"/>
        <v>157.52303491639736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>
        <f>EXP(-LN(2)/35)*FQ54+(1-EXP(-LN(2)/35))/(LN(2)/35)*FM55*FN55*VLOOKUP('Données projet'!$B$16,Paramètres!$A$1:$I$89,3,0)*0.475*44/12</f>
        <v>1.5741329948766158</v>
      </c>
      <c r="FR55" s="21">
        <f>EXP(-LN(2)/25)*FR54+(1-EXP(-LN(2)/25))/(LN(2)/25)*Calculateur!FM55*Calculateur!FO55*VLOOKUP('Données projet'!$B$16,Paramètres!$A$1:$I$89,3,0)*0.475*44/12</f>
        <v>8.8684463561365874</v>
      </c>
      <c r="FS55" s="21">
        <f>EXP(-LN(2)/2)*FS54+(1-EXP(-LN(2)/2))/(LN(2)/2)*FM55*FP55*VLOOKUP('Données projet'!$B$16,Paramètres!$A$1:$I$89,3,0)*0.475*44/12</f>
        <v>7.7623874033882698E-3</v>
      </c>
      <c r="FT55" s="22">
        <f t="shared" si="24"/>
        <v>10.450341738416592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6.3942307692307665</v>
      </c>
      <c r="N56" s="13">
        <f>IF('Données projet'!$A$36&gt;35,N55+M56-V55,IF(A56&lt;'Données projet'!$A$36,$K$205^A56,IF(A56='Données projet'!$A$36,'Données projet'!$B$36,N55+M56-V55)))</f>
        <v>120.89102564102561</v>
      </c>
      <c r="O56" s="13">
        <f>N56*VLOOKUP('Données projet'!$B$9,Paramètres!$A$1:$I$89,3,0)*VLOOKUP('Données projet'!$B$9,Paramètres!$A$1:$I$89,5,0)</f>
        <v>109.38219999999997</v>
      </c>
      <c r="P56" s="13">
        <f t="shared" si="33"/>
        <v>29.185378395108014</v>
      </c>
      <c r="Q56" s="20">
        <f t="shared" si="53"/>
        <v>241.33853237147972</v>
      </c>
      <c r="R56" s="59">
        <f t="shared" si="0"/>
        <v>534.67186570481306</v>
      </c>
      <c r="S56" s="59">
        <f ca="1">AVERAGE(OFFSET($R$3,0,0,'Données projet'!$E$9+1,1))-AVERAGE(OFFSET($H$3,0,0,'Données projet'!$E$9+1,1))</f>
        <v>153.45079678708987</v>
      </c>
      <c r="T56" s="59">
        <f t="shared" si="34"/>
        <v>115.4217868409637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0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0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3.5192307692307692</v>
      </c>
      <c r="AI56" s="13">
        <f>IF('Données projet'!$A$62&gt;35,AI55+AH56-AQ55,IF(A56&lt;'Données projet'!$A$62,$AF$205^A56,IF(A56='Données projet'!$A$62,'Données projet'!$B$62,AI55+AH56-AQ55)))</f>
        <v>137.68589743589752</v>
      </c>
      <c r="AJ56" s="13">
        <f>AI56*VLOOKUP('Données projet'!$B$10,Paramètres!$A$1:$I$89,3,0)*VLOOKUP('Données projet'!$B$10,Paramètres!$A$1:$I$89,5,0)</f>
        <v>124.57820000000007</v>
      </c>
      <c r="AK56" s="13">
        <f t="shared" si="35"/>
        <v>32.740451309696624</v>
      </c>
      <c r="AL56" s="20">
        <f t="shared" si="4"/>
        <v>273.99665103105502</v>
      </c>
      <c r="AM56" s="59">
        <f t="shared" si="5"/>
        <v>567.32998436438834</v>
      </c>
      <c r="AN56" s="59">
        <f ca="1">AVERAGE(OFFSET($AM$3,0,0,'Données projet'!$E$10+1,1))-AVERAGE(OFFSET($H$3,0,0,'Données projet'!$E$10+1,1))</f>
        <v>123.92486590666675</v>
      </c>
      <c r="AO56" s="59">
        <f t="shared" si="36"/>
        <v>54.404493017418986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0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16.227472527472521</v>
      </c>
      <c r="BD56" s="12">
        <f>IF('Données projet'!$A$88&gt;35,BD55+BC56-BL55,IF(A56&lt;'Données projet'!$A$88,$BA$205^A56,IF(A56='Données projet'!$A$88,'Données projet'!$B$88,BD55+BC56-BL55)))</f>
        <v>379.02527472527476</v>
      </c>
      <c r="BE56" s="13">
        <f>BD56*VLOOKUP('Données projet'!$B$11,Paramètres!$A$1:$I$89,3,0)*VLOOKUP('Données projet'!$B$11,Paramètres!$A$1:$I$89,5,0)</f>
        <v>211.87512857142858</v>
      </c>
      <c r="BF56" s="13">
        <f t="shared" si="37"/>
        <v>52.345136228066735</v>
      </c>
      <c r="BG56" s="20">
        <f t="shared" si="7"/>
        <v>460.18362785912103</v>
      </c>
      <c r="BH56" s="59">
        <f t="shared" si="8"/>
        <v>753.51696119245435</v>
      </c>
      <c r="BI56" s="59">
        <f ca="1">AVERAGE(OFFSET($BH$3,0,0,'Données projet'!$E$11+1,1))-AVERAGE(OFFSET($H$3,0,0,'Données projet'!$E$11+1,1))</f>
        <v>224.7049802939942</v>
      </c>
      <c r="BJ56" s="59">
        <f t="shared" si="38"/>
        <v>203.48513862195352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1.4148522942301496</v>
      </c>
      <c r="BQ56" s="21">
        <f>EXP(-LN(2)/25)*BQ55+(1-EXP(-LN(2)/25))/(LN(2)/25)*Calculateur!BL56*Calculateur!BN56*VLOOKUP('Données projet'!$B$11,Paramètres!$A$1:$I$89,3,0)*0.475*44/12</f>
        <v>10.318888920192657</v>
      </c>
      <c r="BR56" s="21">
        <f>EXP(-LN(2)/2)*BR55+(1-EXP(-LN(2)/2))/(LN(2)/2)*BL56*BO56*VLOOKUP('Données projet'!$B$11,Paramètres!$A$1:$I$89,3,0)*0.475*44/12</f>
        <v>3.0938036751679142E-3</v>
      </c>
      <c r="BS56" s="22">
        <f t="shared" si="9"/>
        <v>11.736835018097974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9.5646153846153847</v>
      </c>
      <c r="BY56" s="12">
        <f>IF('Données projet'!$A$114&gt;35,BY55+BX56-CG55,IF(A56&lt;'Données projet'!$A$114,$BV$205^A56,IF(A56='Données projet'!$A$114,'Données projet'!$B$114,BY55+BX56-CG55)))</f>
        <v>247.8953846153847</v>
      </c>
      <c r="BZ56" s="13">
        <f>BY56*VLOOKUP('Données projet'!$B$12,Paramètres!$A$1:$I$89,3,0)*VLOOKUP('Données projet'!$B$12,Paramètres!$A$1:$I$89,5,0)</f>
        <v>138.57352000000006</v>
      </c>
      <c r="CA56" s="13">
        <f t="shared" si="39"/>
        <v>35.970024432457734</v>
      </c>
      <c r="CB56" s="20">
        <f t="shared" si="10"/>
        <v>303.99667321986396</v>
      </c>
      <c r="CC56" s="59">
        <f t="shared" si="11"/>
        <v>597.33000655319734</v>
      </c>
      <c r="CD56" s="59">
        <f ca="1">AVERAGE(OFFSET($CC$3,0,0,'Données projet'!$E$12+1,1))-AVERAGE(OFFSET($H$3,0,0,'Données projet'!$E$12+1,1))</f>
        <v>190.08613104982993</v>
      </c>
      <c r="CE56" s="59">
        <f t="shared" si="40"/>
        <v>180.55054525447781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0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15.6</v>
      </c>
      <c r="CT56" s="12">
        <f>IF('Données projet'!$A$140&gt;35,CT55+CS56-DB55,IF(A56&lt;'Données projet'!$A$140,$CQ$205^A56,IF(A56='Données projet'!$A$140,'Données projet'!$B$140,CT55+CS56-DB55)))</f>
        <v>337.7999999999999</v>
      </c>
      <c r="CU56" s="17">
        <f>CT56*VLOOKUP('Données projet'!$B$13,Paramètres!$A$1:$I$89,3,0)*VLOOKUP('Données projet'!$B$13,Paramètres!$A$1:$I$89,5,0)</f>
        <v>202.00439999999995</v>
      </c>
      <c r="CV56" s="13">
        <f t="shared" si="41"/>
        <v>50.184418192658491</v>
      </c>
      <c r="CW56" s="20">
        <f t="shared" si="13"/>
        <v>439.22885835221342</v>
      </c>
      <c r="CX56" s="59">
        <f t="shared" si="14"/>
        <v>732.56219168554674</v>
      </c>
      <c r="CY56" s="59">
        <f ca="1">AVERAGE(OFFSET($CX$3,0,0,'Données projet'!$E$13+1,1))-AVERAGE(OFFSET($H$3,0,0,'Données projet'!$E$13+1,1))</f>
        <v>270.30888762640245</v>
      </c>
      <c r="CZ56" s="59">
        <f t="shared" si="42"/>
        <v>202.23783851977691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1.3582308581781271</v>
      </c>
      <c r="DG56" s="21">
        <f>EXP(-LN(2)/25)*DG55+(1-EXP(-LN(2)/25))/(LN(2)/25)*Calculateur!DB56*Calculateur!DD56*VLOOKUP('Données projet'!$B$13,Paramètres!$A$1:$I$89,3,0)*0.475*44/12</f>
        <v>6.4981284252580886</v>
      </c>
      <c r="DH56" s="21">
        <f>EXP(-LN(2)/2)*DH55+(1-EXP(-LN(2)/2))/(LN(2)/2)*DB56*DE56*VLOOKUP('Données projet'!$B$13,Paramètres!$A$1:$I$89,3,0)*0.475*44/12</f>
        <v>6.3848871744708342E-3</v>
      </c>
      <c r="DI56" s="22">
        <f t="shared" si="15"/>
        <v>7.8627441706106866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13</v>
      </c>
      <c r="DO56" s="12">
        <f>IF('Données projet'!$A$166&gt;35,DO55+DN56-DW55,IF(A56&lt;'Données projet'!$A$166,$DL$205^A56,IF(A56='Données projet'!$A$166,'Données projet'!$B$166,DO55+DN56-DW55)))</f>
        <v>289</v>
      </c>
      <c r="DP56" s="17">
        <f>DO56*VLOOKUP('Données projet'!$B$14,Paramètres!$A$1:$I$89,3,0)*VLOOKUP('Données projet'!$B$14,Paramètres!$A$1:$I$89,5,0)</f>
        <v>172.822</v>
      </c>
      <c r="DQ56" s="13">
        <f t="shared" si="43"/>
        <v>43.721450828113454</v>
      </c>
      <c r="DR56" s="20">
        <f t="shared" si="16"/>
        <v>377.14651019229763</v>
      </c>
      <c r="DS56" s="59">
        <f t="shared" si="17"/>
        <v>670.47984352563094</v>
      </c>
      <c r="DT56" s="59">
        <f ca="1">AVERAGE(OFFSET($DS$3,0,0,'Données projet'!$E$14+1,1))-AVERAGE(OFFSET($H$3,0,0,'Données projet'!$E$14+1,1))</f>
        <v>221.14988592347311</v>
      </c>
      <c r="DU56" s="59">
        <f t="shared" si="44"/>
        <v>179.09262081171607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1.4487795820566687</v>
      </c>
      <c r="EB56" s="21">
        <f>EXP(-LN(2)/25)*EB55+(1-EXP(-LN(2)/25))/(LN(2)/25)*Calculateur!DW56*Calculateur!DY56*VLOOKUP('Données projet'!$B$14,Paramètres!$A$1:$I$89,3,0)*0.475*44/12</f>
        <v>5.4121968952196369</v>
      </c>
      <c r="EC56" s="21">
        <f>EXP(-LN(2)/2)*EC55+(1-EXP(-LN(2)/2))/(LN(2)/2)*DW56*DZ56*VLOOKUP('Données projet'!$B$14,Paramètres!$A$1:$I$89,3,0)*0.475*44/12</f>
        <v>6.7326224485037998E-3</v>
      </c>
      <c r="ED56" s="22">
        <f t="shared" si="18"/>
        <v>6.8677090997248094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8.1999999999999993</v>
      </c>
      <c r="EJ56" s="12">
        <f>IF('Données projet'!$A$192&gt;35,EJ55+EI56-ER55,IF(A56&lt;'Données projet'!$A$192,$EG$205^A56,IF(A56='Données projet'!$A$192,'Données projet'!$B$192,EJ55+EI56-ER55)))</f>
        <v>271.59999999999985</v>
      </c>
      <c r="EK56" s="17">
        <f>EJ56*VLOOKUP('Données projet'!$B$15,Paramètres!$A$1:$I$89,3,0)*VLOOKUP('Données projet'!$B$15,Paramètres!$A$1:$I$89,5,0)</f>
        <v>148.29359999999991</v>
      </c>
      <c r="EL56" s="13">
        <f t="shared" si="45"/>
        <v>38.190542257893661</v>
      </c>
      <c r="EM56" s="20">
        <f t="shared" si="19"/>
        <v>324.79321443249796</v>
      </c>
      <c r="EN56" s="59">
        <f t="shared" si="20"/>
        <v>618.12654776583122</v>
      </c>
      <c r="EO56" s="59">
        <f ca="1">AVERAGE(OFFSET($EN$3,0,0,'Données projet'!$E$15+1,1))-AVERAGE(OFFSET($H$3,0,0,'Données projet'!$E$15+1,1))</f>
        <v>168.72306536277267</v>
      </c>
      <c r="EP56" s="59">
        <f t="shared" si="46"/>
        <v>203.35476578922339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1.9290815087167599</v>
      </c>
      <c r="EW56" s="21">
        <f>EXP(-LN(2)/25)*EW55+(1-EXP(-LN(2)/25))/(LN(2)/25)*Calculateur!ER56*Calculateur!ET56*VLOOKUP('Données projet'!$B$15,Paramètres!$A$1:$I$89,3,0)*0.475*44/12</f>
        <v>12.14779121861207</v>
      </c>
      <c r="EX56" s="21">
        <f>EXP(-LN(2)/2)*EX55+(1-EXP(-LN(2)/2))/(LN(2)/2)*ER56*EU56*VLOOKUP('Données projet'!$B$15,Paramètres!$A$1:$I$89,3,0)*0.475*44/12</f>
        <v>6.91357311128841E-3</v>
      </c>
      <c r="EY56" s="22">
        <f t="shared" si="21"/>
        <v>14.083786300440119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6.9</v>
      </c>
      <c r="FE56" s="12">
        <f>IF('Données projet'!$A$218&gt;35,FE55+FD56-FM55,IF(A56&lt;'Données projet'!$A$218,$FB$205^A56,IF(A56='Données projet'!$A$218,'Données projet'!$B$218,FE55+FD56-FM55)))</f>
        <v>229.7</v>
      </c>
      <c r="FF56" s="17">
        <f>FE56*VLOOKUP('Données projet'!$B$16,Paramètres!$A$1:$I$89,3,0)*VLOOKUP('Données projet'!$B$16,Paramètres!$A$1:$I$89,5,0)</f>
        <v>125.41619999999999</v>
      </c>
      <c r="FG56" s="13">
        <f t="shared" si="47"/>
        <v>32.934975091053964</v>
      </c>
      <c r="FH56" s="20">
        <f t="shared" si="22"/>
        <v>275.79496328358562</v>
      </c>
      <c r="FI56" s="59">
        <f t="shared" si="23"/>
        <v>569.12829661691899</v>
      </c>
      <c r="FJ56" s="59">
        <f ca="1">AVERAGE(OFFSET($FI$3,0,0,'Données projet'!$E$16+1,1))-AVERAGE(OFFSET($H$3,0,0,'Données projet'!$E$16+1,1))</f>
        <v>127.76128532861486</v>
      </c>
      <c r="FK56" s="59">
        <f t="shared" si="48"/>
        <v>157.52303491639736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>
        <f>EXP(-LN(2)/35)*FQ55+(1-EXP(-LN(2)/35))/(LN(2)/35)*FM56*FN56*VLOOKUP('Données projet'!$B$16,Paramètres!$A$1:$I$89,3,0)*0.475*44/12</f>
        <v>1.5432652069734076</v>
      </c>
      <c r="FR56" s="21">
        <f>EXP(-LN(2)/25)*FR55+(1-EXP(-LN(2)/25))/(LN(2)/25)*Calculateur!FM56*Calculateur!FO56*VLOOKUP('Données projet'!$B$16,Paramètres!$A$1:$I$89,3,0)*0.475*44/12</f>
        <v>8.6259382241567071</v>
      </c>
      <c r="FS56" s="21">
        <f>EXP(-LN(2)/2)*FS55+(1-EXP(-LN(2)/2))/(LN(2)/2)*FM56*FP56*VLOOKUP('Données projet'!$B$16,Paramètres!$A$1:$I$89,3,0)*0.475*44/12</f>
        <v>5.4888367711328828E-3</v>
      </c>
      <c r="FT56" s="22">
        <f t="shared" si="24"/>
        <v>10.174692267901246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6.3942307692307665</v>
      </c>
      <c r="N57" s="13">
        <f>IF('Données projet'!$A$36&gt;35,N56+M57-V56,IF(A57&lt;'Données projet'!$A$36,$K$205^A57,IF(A57='Données projet'!$A$36,'Données projet'!$B$36,N56+M57-V56)))</f>
        <v>127.28525641025638</v>
      </c>
      <c r="O57" s="13">
        <f>N57*VLOOKUP('Données projet'!$B$9,Paramètres!$A$1:$I$89,3,0)*VLOOKUP('Données projet'!$B$9,Paramètres!$A$1:$I$89,5,0)</f>
        <v>115.16769999999995</v>
      </c>
      <c r="P57" s="13">
        <f t="shared" si="33"/>
        <v>30.545262787038261</v>
      </c>
      <c r="Q57" s="20">
        <f t="shared" si="53"/>
        <v>253.78341018742489</v>
      </c>
      <c r="R57" s="59">
        <f t="shared" si="0"/>
        <v>547.11674352075818</v>
      </c>
      <c r="S57" s="59">
        <f ca="1">AVERAGE(OFFSET($R$3,0,0,'Données projet'!$E$9+1,1))-AVERAGE(OFFSET($H$3,0,0,'Données projet'!$E$9+1,1))</f>
        <v>153.45079678708987</v>
      </c>
      <c r="T57" s="59">
        <f t="shared" si="34"/>
        <v>115.4217868409637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0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0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3.5192307692307692</v>
      </c>
      <c r="AI57" s="13">
        <f>IF('Données projet'!$A$62&gt;35,AI56+AH57-AQ56,IF(A57&lt;'Données projet'!$A$62,$AF$205^A57,IF(A57='Données projet'!$A$62,'Données projet'!$B$62,AI56+AH57-AQ56)))</f>
        <v>141.20512820512829</v>
      </c>
      <c r="AJ57" s="13">
        <f>AI57*VLOOKUP('Données projet'!$B$10,Paramètres!$A$1:$I$89,3,0)*VLOOKUP('Données projet'!$B$10,Paramètres!$A$1:$I$89,5,0)</f>
        <v>127.76240000000007</v>
      </c>
      <c r="AK57" s="13">
        <f t="shared" si="35"/>
        <v>33.47879436998813</v>
      </c>
      <c r="AL57" s="20">
        <f t="shared" si="4"/>
        <v>280.82841352772942</v>
      </c>
      <c r="AM57" s="59">
        <f t="shared" si="5"/>
        <v>574.16174686106274</v>
      </c>
      <c r="AN57" s="59">
        <f ca="1">AVERAGE(OFFSET($AM$3,0,0,'Données projet'!$E$10+1,1))-AVERAGE(OFFSET($H$3,0,0,'Données projet'!$E$10+1,1))</f>
        <v>123.92486590666675</v>
      </c>
      <c r="AO57" s="59">
        <f t="shared" si="36"/>
        <v>54.404493017418986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0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16.227472527472521</v>
      </c>
      <c r="BD57" s="12">
        <f>IF('Données projet'!$A$88&gt;35,BD56+BC57-BL56,IF(A57&lt;'Données projet'!$A$88,$BA$205^A57,IF(A57='Données projet'!$A$88,'Données projet'!$B$88,BD56+BC57-BL56)))</f>
        <v>395.25274725274727</v>
      </c>
      <c r="BE57" s="13">
        <f>BD57*VLOOKUP('Données projet'!$B$11,Paramètres!$A$1:$I$89,3,0)*VLOOKUP('Données projet'!$B$11,Paramètres!$A$1:$I$89,5,0)</f>
        <v>220.94628571428572</v>
      </c>
      <c r="BF57" s="13">
        <f t="shared" si="37"/>
        <v>54.320504840756463</v>
      </c>
      <c r="BG57" s="20">
        <f t="shared" si="7"/>
        <v>479.42299355003178</v>
      </c>
      <c r="BH57" s="59">
        <f t="shared" si="8"/>
        <v>772.75632688336509</v>
      </c>
      <c r="BI57" s="59">
        <f ca="1">AVERAGE(OFFSET($BH$3,0,0,'Données projet'!$E$11+1,1))-AVERAGE(OFFSET($H$3,0,0,'Données projet'!$E$11+1,1))</f>
        <v>224.7049802939942</v>
      </c>
      <c r="BJ57" s="59">
        <f t="shared" si="38"/>
        <v>203.48513862195352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1.387107903714984</v>
      </c>
      <c r="BQ57" s="21">
        <f>EXP(-LN(2)/25)*BQ56+(1-EXP(-LN(2)/25))/(LN(2)/25)*Calculateur!BL57*Calculateur!BN57*VLOOKUP('Données projet'!$B$11,Paramètres!$A$1:$I$89,3,0)*0.475*44/12</f>
        <v>10.036718360023205</v>
      </c>
      <c r="BR57" s="21">
        <f>EXP(-LN(2)/2)*BR56+(1-EXP(-LN(2)/2))/(LN(2)/2)*BL57*BO57*VLOOKUP('Données projet'!$B$11,Paramètres!$A$1:$I$89,3,0)*0.475*44/12</f>
        <v>2.1876495583710949E-3</v>
      </c>
      <c r="BS57" s="22">
        <f t="shared" si="9"/>
        <v>11.426013913296559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9.5646153846153847</v>
      </c>
      <c r="BY57" s="12">
        <f>IF('Données projet'!$A$114&gt;35,BY56+BX57-CG56,IF(A57&lt;'Données projet'!$A$114,$BV$205^A57,IF(A57='Données projet'!$A$114,'Données projet'!$B$114,BY56+BX57-CG56)))</f>
        <v>257.46000000000009</v>
      </c>
      <c r="BZ57" s="13">
        <f>BY57*VLOOKUP('Données projet'!$B$12,Paramètres!$A$1:$I$89,3,0)*VLOOKUP('Données projet'!$B$12,Paramètres!$A$1:$I$89,5,0)</f>
        <v>143.92014000000006</v>
      </c>
      <c r="CA57" s="13">
        <f t="shared" si="39"/>
        <v>37.193606035529477</v>
      </c>
      <c r="CB57" s="20">
        <f t="shared" si="10"/>
        <v>315.43977434521395</v>
      </c>
      <c r="CC57" s="59">
        <f t="shared" si="11"/>
        <v>608.77310767854726</v>
      </c>
      <c r="CD57" s="59">
        <f ca="1">AVERAGE(OFFSET($CC$3,0,0,'Données projet'!$E$12+1,1))-AVERAGE(OFFSET($H$3,0,0,'Données projet'!$E$12+1,1))</f>
        <v>190.08613104982993</v>
      </c>
      <c r="CE57" s="59">
        <f t="shared" si="40"/>
        <v>180.55054525447781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0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15.6</v>
      </c>
      <c r="CT57" s="12">
        <f>IF('Données projet'!$A$140&gt;35,CT56+CS57-DB56,IF(A57&lt;'Données projet'!$A$140,$CQ$205^A57,IF(A57='Données projet'!$A$140,'Données projet'!$B$140,CT56+CS57-DB56)))</f>
        <v>353.39999999999992</v>
      </c>
      <c r="CU57" s="17">
        <f>CT57*VLOOKUP('Données projet'!$B$13,Paramètres!$A$1:$I$89,3,0)*VLOOKUP('Données projet'!$B$13,Paramètres!$A$1:$I$89,5,0)</f>
        <v>211.33319999999995</v>
      </c>
      <c r="CV57" s="13">
        <f t="shared" si="41"/>
        <v>52.226816049120416</v>
      </c>
      <c r="CW57" s="20">
        <f t="shared" si="13"/>
        <v>459.03369461888457</v>
      </c>
      <c r="CX57" s="59">
        <f t="shared" si="14"/>
        <v>752.36702795221788</v>
      </c>
      <c r="CY57" s="59">
        <f ca="1">AVERAGE(OFFSET($CX$3,0,0,'Données projet'!$E$13+1,1))-AVERAGE(OFFSET($H$3,0,0,'Données projet'!$E$13+1,1))</f>
        <v>270.30888762640245</v>
      </c>
      <c r="CZ57" s="59">
        <f t="shared" si="42"/>
        <v>202.23783851977691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1.3315967794882759</v>
      </c>
      <c r="DG57" s="21">
        <f>EXP(-LN(2)/25)*DG56+(1-EXP(-LN(2)/25))/(LN(2)/25)*Calculateur!DB57*Calculateur!DD57*VLOOKUP('Données projet'!$B$13,Paramètres!$A$1:$I$89,3,0)*0.475*44/12</f>
        <v>6.3204367617476844</v>
      </c>
      <c r="DH57" s="21">
        <f>EXP(-LN(2)/2)*DH56+(1-EXP(-LN(2)/2))/(LN(2)/2)*DB57*DE57*VLOOKUP('Données projet'!$B$13,Paramètres!$A$1:$I$89,3,0)*0.475*44/12</f>
        <v>4.5147970181793418E-3</v>
      </c>
      <c r="DI57" s="22">
        <f t="shared" si="15"/>
        <v>7.6565483382541393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13</v>
      </c>
      <c r="DO57" s="12">
        <f>IF('Données projet'!$A$166&gt;35,DO56+DN57-DW56,IF(A57&lt;'Données projet'!$A$166,$DL$205^A57,IF(A57='Données projet'!$A$166,'Données projet'!$B$166,DO56+DN57-DW56)))</f>
        <v>302</v>
      </c>
      <c r="DP57" s="17">
        <f>DO57*VLOOKUP('Données projet'!$B$14,Paramètres!$A$1:$I$89,3,0)*VLOOKUP('Données projet'!$B$14,Paramètres!$A$1:$I$89,5,0)</f>
        <v>180.59600000000003</v>
      </c>
      <c r="DQ57" s="13">
        <f t="shared" si="43"/>
        <v>45.45475966463092</v>
      </c>
      <c r="DR57" s="20">
        <f t="shared" si="16"/>
        <v>393.70507308256555</v>
      </c>
      <c r="DS57" s="59">
        <f t="shared" si="17"/>
        <v>687.03840641589886</v>
      </c>
      <c r="DT57" s="59">
        <f ca="1">AVERAGE(OFFSET($DS$3,0,0,'Données projet'!$E$14+1,1))-AVERAGE(OFFSET($H$3,0,0,'Données projet'!$E$14+1,1))</f>
        <v>221.14988592347311</v>
      </c>
      <c r="DU57" s="59">
        <f t="shared" si="44"/>
        <v>179.09262081171607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1.4203698981208275</v>
      </c>
      <c r="EB57" s="21">
        <f>EXP(-LN(2)/25)*EB56+(1-EXP(-LN(2)/25))/(LN(2)/25)*Calculateur!DW57*Calculateur!DY57*VLOOKUP('Données projet'!$B$14,Paramètres!$A$1:$I$89,3,0)*0.475*44/12</f>
        <v>5.2642000865047907</v>
      </c>
      <c r="EC57" s="21">
        <f>EXP(-LN(2)/2)*EC56+(1-EXP(-LN(2)/2))/(LN(2)/2)*DW57*DZ57*VLOOKUP('Données projet'!$B$14,Paramètres!$A$1:$I$89,3,0)*0.475*44/12</f>
        <v>4.7606829885058141E-3</v>
      </c>
      <c r="ED57" s="22">
        <f t="shared" si="18"/>
        <v>6.689330667614124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8.1999999999999993</v>
      </c>
      <c r="EJ57" s="12">
        <f>IF('Données projet'!$A$192&gt;35,EJ56+EI57-ER56,IF(A57&lt;'Données projet'!$A$192,$EG$205^A57,IF(A57='Données projet'!$A$192,'Données projet'!$B$192,EJ56+EI57-ER56)))</f>
        <v>279.79999999999984</v>
      </c>
      <c r="EK57" s="17">
        <f>EJ57*VLOOKUP('Données projet'!$B$15,Paramètres!$A$1:$I$89,3,0)*VLOOKUP('Données projet'!$B$15,Paramètres!$A$1:$I$89,5,0)</f>
        <v>152.77079999999992</v>
      </c>
      <c r="EL57" s="13">
        <f t="shared" si="45"/>
        <v>39.207587527735704</v>
      </c>
      <c r="EM57" s="20">
        <f t="shared" si="19"/>
        <v>334.36235827747288</v>
      </c>
      <c r="EN57" s="59">
        <f t="shared" si="20"/>
        <v>627.69569161080619</v>
      </c>
      <c r="EO57" s="59">
        <f ca="1">AVERAGE(OFFSET($EN$3,0,0,'Données projet'!$E$15+1,1))-AVERAGE(OFFSET($H$3,0,0,'Données projet'!$E$15+1,1))</f>
        <v>168.72306536277267</v>
      </c>
      <c r="EP57" s="59">
        <f t="shared" si="46"/>
        <v>203.35476578922339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1.8912533969543626</v>
      </c>
      <c r="EW57" s="21">
        <f>EXP(-LN(2)/25)*EW56+(1-EXP(-LN(2)/25))/(LN(2)/25)*Calculateur!ER57*Calculateur!ET57*VLOOKUP('Données projet'!$B$15,Paramètres!$A$1:$I$89,3,0)*0.475*44/12</f>
        <v>11.815609228914548</v>
      </c>
      <c r="EX57" s="21">
        <f>EXP(-LN(2)/2)*EX56+(1-EXP(-LN(2)/2))/(LN(2)/2)*ER57*EU57*VLOOKUP('Données projet'!$B$15,Paramètres!$A$1:$I$89,3,0)*0.475*44/12</f>
        <v>4.8886344292210122E-3</v>
      </c>
      <c r="EY57" s="22">
        <f t="shared" si="21"/>
        <v>13.711751260298133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6.9</v>
      </c>
      <c r="FE57" s="12">
        <f>IF('Données projet'!$A$218&gt;35,FE56+FD57-FM56,IF(A57&lt;'Données projet'!$A$218,$FB$205^A57,IF(A57='Données projet'!$A$218,'Données projet'!$B$218,FE56+FD57-FM56)))</f>
        <v>236.6</v>
      </c>
      <c r="FF57" s="17">
        <f>FE57*VLOOKUP('Données projet'!$B$16,Paramètres!$A$1:$I$89,3,0)*VLOOKUP('Données projet'!$B$16,Paramètres!$A$1:$I$89,5,0)</f>
        <v>129.18360000000001</v>
      </c>
      <c r="FG57" s="13">
        <f t="shared" si="47"/>
        <v>33.807644151387684</v>
      </c>
      <c r="FH57" s="20">
        <f t="shared" si="22"/>
        <v>283.87641689700018</v>
      </c>
      <c r="FI57" s="59">
        <f t="shared" si="23"/>
        <v>577.2097502303335</v>
      </c>
      <c r="FJ57" s="59">
        <f ca="1">AVERAGE(OFFSET($FI$3,0,0,'Données projet'!$E$16+1,1))-AVERAGE(OFFSET($H$3,0,0,'Données projet'!$E$16+1,1))</f>
        <v>127.76128532861486</v>
      </c>
      <c r="FK57" s="59">
        <f t="shared" si="48"/>
        <v>157.52303491639736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>
        <f>EXP(-LN(2)/35)*FQ56+(1-EXP(-LN(2)/35))/(LN(2)/35)*FM57*FN57*VLOOKUP('Données projet'!$B$16,Paramètres!$A$1:$I$89,3,0)*0.475*44/12</f>
        <v>1.5130027175634899</v>
      </c>
      <c r="FR57" s="21">
        <f>EXP(-LN(2)/25)*FR56+(1-EXP(-LN(2)/25))/(LN(2)/25)*Calculateur!FM57*Calculateur!FO57*VLOOKUP('Données projet'!$B$16,Paramètres!$A$1:$I$89,3,0)*0.475*44/12</f>
        <v>8.3900614897987662</v>
      </c>
      <c r="FS57" s="21">
        <f>EXP(-LN(2)/2)*FS56+(1-EXP(-LN(2)/2))/(LN(2)/2)*FM57*FP57*VLOOKUP('Données projet'!$B$16,Paramètres!$A$1:$I$89,3,0)*0.475*44/12</f>
        <v>3.8811937016941358E-3</v>
      </c>
      <c r="FT57" s="22">
        <f t="shared" si="24"/>
        <v>9.9069454010639504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6.3942307692307665</v>
      </c>
      <c r="N58" s="13">
        <f>IF('Données projet'!$A$36&gt;35,N57+M58-V57,IF(A58&lt;'Données projet'!$A$36,$K$205^A58,IF(A58='Données projet'!$A$36,'Données projet'!$B$36,N57+M58-V57)))</f>
        <v>133.67948717948715</v>
      </c>
      <c r="O58" s="13">
        <f>N58*VLOOKUP('Données projet'!$B$9,Paramètres!$A$1:$I$89,3,0)*VLOOKUP('Données projet'!$B$9,Paramètres!$A$1:$I$89,5,0)</f>
        <v>120.95319999999997</v>
      </c>
      <c r="P58" s="13">
        <f t="shared" si="33"/>
        <v>31.897215065171491</v>
      </c>
      <c r="Q58" s="20">
        <f t="shared" si="53"/>
        <v>266.21447290517364</v>
      </c>
      <c r="R58" s="59">
        <f t="shared" si="0"/>
        <v>559.54780623850695</v>
      </c>
      <c r="S58" s="59">
        <f ca="1">AVERAGE(OFFSET($R$3,0,0,'Données projet'!$E$9+1,1))-AVERAGE(OFFSET($H$3,0,0,'Données projet'!$E$9+1,1))</f>
        <v>153.45079678708987</v>
      </c>
      <c r="T58" s="59">
        <f t="shared" si="34"/>
        <v>115.4217868409637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0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0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3.5192307692307692</v>
      </c>
      <c r="AI58" s="13">
        <f>IF('Données projet'!$A$62&gt;35,AI57+AH58-AQ57,IF(A58&lt;'Données projet'!$A$62,$AF$205^A58,IF(A58='Données projet'!$A$62,'Données projet'!$B$62,AI57+AH58-AQ57)))</f>
        <v>144.72435897435906</v>
      </c>
      <c r="AJ58" s="13">
        <f>AI58*VLOOKUP('Données projet'!$B$10,Paramètres!$A$1:$I$89,3,0)*VLOOKUP('Données projet'!$B$10,Paramètres!$A$1:$I$89,5,0)</f>
        <v>130.94660000000007</v>
      </c>
      <c r="AK58" s="13">
        <f t="shared" si="35"/>
        <v>34.214998354470438</v>
      </c>
      <c r="AL58" s="20">
        <f t="shared" si="4"/>
        <v>287.6564504673695</v>
      </c>
      <c r="AM58" s="59">
        <f t="shared" si="5"/>
        <v>580.98978380070275</v>
      </c>
      <c r="AN58" s="59">
        <f ca="1">AVERAGE(OFFSET($AM$3,0,0,'Données projet'!$E$10+1,1))-AVERAGE(OFFSET($H$3,0,0,'Données projet'!$E$10+1,1))</f>
        <v>123.92486590666675</v>
      </c>
      <c r="AO58" s="59">
        <f t="shared" si="36"/>
        <v>54.404493017418986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0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16.227472527472521</v>
      </c>
      <c r="BD58" s="12">
        <f>IF('Données projet'!$A$88&gt;35,BD57+BC58-BL57,IF(A58&lt;'Données projet'!$A$88,$BA$205^A58,IF(A58='Données projet'!$A$88,'Données projet'!$B$88,BD57+BC58-BL57)))</f>
        <v>411.48021978021978</v>
      </c>
      <c r="BE58" s="13">
        <f>BD58*VLOOKUP('Données projet'!$B$11,Paramètres!$A$1:$I$89,3,0)*VLOOKUP('Données projet'!$B$11,Paramètres!$A$1:$I$89,5,0)</f>
        <v>230.01744285714284</v>
      </c>
      <c r="BF58" s="13">
        <f t="shared" si="37"/>
        <v>56.286453068022915</v>
      </c>
      <c r="BG58" s="20">
        <f t="shared" si="7"/>
        <v>498.64595206966368</v>
      </c>
      <c r="BH58" s="59">
        <f t="shared" si="8"/>
        <v>791.97928540299699</v>
      </c>
      <c r="BI58" s="59">
        <f ca="1">AVERAGE(OFFSET($BH$3,0,0,'Données projet'!$E$11+1,1))-AVERAGE(OFFSET($H$3,0,0,'Données projet'!$E$11+1,1))</f>
        <v>224.7049802939942</v>
      </c>
      <c r="BJ58" s="59">
        <f t="shared" si="38"/>
        <v>203.48513862195352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1.3599075637754137</v>
      </c>
      <c r="BQ58" s="21">
        <f>EXP(-LN(2)/25)*BQ57+(1-EXP(-LN(2)/25))/(LN(2)/25)*Calculateur!BL58*Calculateur!BN58*VLOOKUP('Données projet'!$B$11,Paramètres!$A$1:$I$89,3,0)*0.475*44/12</f>
        <v>9.76226376866029</v>
      </c>
      <c r="BR58" s="21">
        <f>EXP(-LN(2)/2)*BR57+(1-EXP(-LN(2)/2))/(LN(2)/2)*BL58*BO58*VLOOKUP('Données projet'!$B$11,Paramètres!$A$1:$I$89,3,0)*0.475*44/12</f>
        <v>1.5469018375839571E-3</v>
      </c>
      <c r="BS58" s="22">
        <f t="shared" si="9"/>
        <v>11.123718234273287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9.5646153846153847</v>
      </c>
      <c r="BY58" s="12">
        <f>IF('Données projet'!$A$114&gt;35,BY57+BX58-CG57,IF(A58&lt;'Données projet'!$A$114,$BV$205^A58,IF(A58='Données projet'!$A$114,'Données projet'!$B$114,BY57+BX58-CG57)))</f>
        <v>267.02461538461546</v>
      </c>
      <c r="BZ58" s="13">
        <f>BY58*VLOOKUP('Données projet'!$B$12,Paramètres!$A$1:$I$89,3,0)*VLOOKUP('Données projet'!$B$12,Paramètres!$A$1:$I$89,5,0)</f>
        <v>149.26676000000003</v>
      </c>
      <c r="CA58" s="13">
        <f t="shared" si="39"/>
        <v>38.411906707102681</v>
      </c>
      <c r="CB58" s="20">
        <f t="shared" si="10"/>
        <v>326.87367784820384</v>
      </c>
      <c r="CC58" s="59">
        <f t="shared" si="11"/>
        <v>620.20701118153715</v>
      </c>
      <c r="CD58" s="59">
        <f ca="1">AVERAGE(OFFSET($CC$3,0,0,'Données projet'!$E$12+1,1))-AVERAGE(OFFSET($H$3,0,0,'Données projet'!$E$12+1,1))</f>
        <v>190.08613104982993</v>
      </c>
      <c r="CE58" s="59">
        <f t="shared" si="40"/>
        <v>180.55054525447781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0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15.6</v>
      </c>
      <c r="CT58" s="12">
        <f>IF('Données projet'!$A$140&gt;35,CT57+CS58-DB57,IF(A58&lt;'Données projet'!$A$140,$CQ$205^A58,IF(A58='Données projet'!$A$140,'Données projet'!$B$140,CT57+CS58-DB57)))</f>
        <v>368.99999999999994</v>
      </c>
      <c r="CU58" s="17">
        <f>CT58*VLOOKUP('Données projet'!$B$13,Paramètres!$A$1:$I$89,3,0)*VLOOKUP('Données projet'!$B$13,Paramètres!$A$1:$I$89,5,0)</f>
        <v>220.66199999999998</v>
      </c>
      <c r="CV58" s="13">
        <f t="shared" si="41"/>
        <v>54.258742979954953</v>
      </c>
      <c r="CW58" s="20">
        <f t="shared" si="13"/>
        <v>478.82029402342147</v>
      </c>
      <c r="CX58" s="59">
        <f t="shared" si="14"/>
        <v>772.15362735675478</v>
      </c>
      <c r="CY58" s="59">
        <f ca="1">AVERAGE(OFFSET($CX$3,0,0,'Données projet'!$E$13+1,1))-AVERAGE(OFFSET($H$3,0,0,'Données projet'!$E$13+1,1))</f>
        <v>270.30888762640245</v>
      </c>
      <c r="CZ58" s="59">
        <f t="shared" si="42"/>
        <v>202.23783851977691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1.305484978836349</v>
      </c>
      <c r="DG58" s="21">
        <f>EXP(-LN(2)/25)*DG57+(1-EXP(-LN(2)/25))/(LN(2)/25)*Calculateur!DB58*Calculateur!DD58*VLOOKUP('Données projet'!$B$13,Paramètres!$A$1:$I$89,3,0)*0.475*44/12</f>
        <v>6.1476040861203707</v>
      </c>
      <c r="DH58" s="21">
        <f>EXP(-LN(2)/2)*DH57+(1-EXP(-LN(2)/2))/(LN(2)/2)*DB58*DE58*VLOOKUP('Données projet'!$B$13,Paramètres!$A$1:$I$89,3,0)*0.475*44/12</f>
        <v>3.1924435872354171E-3</v>
      </c>
      <c r="DI58" s="22">
        <f t="shared" si="15"/>
        <v>7.4562815085439551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13</v>
      </c>
      <c r="DO58" s="12">
        <f>IF('Données projet'!$A$166&gt;35,DO57+DN58-DW57,IF(A58&lt;'Données projet'!$A$166,$DL$205^A58,IF(A58='Données projet'!$A$166,'Données projet'!$B$166,DO57+DN58-DW57)))</f>
        <v>315</v>
      </c>
      <c r="DP58" s="17">
        <f>DO58*VLOOKUP('Données projet'!$B$14,Paramètres!$A$1:$I$89,3,0)*VLOOKUP('Données projet'!$B$14,Paramètres!$A$1:$I$89,5,0)</f>
        <v>188.37</v>
      </c>
      <c r="DQ58" s="13">
        <f t="shared" si="43"/>
        <v>47.179402486491298</v>
      </c>
      <c r="DR58" s="20">
        <f t="shared" si="16"/>
        <v>410.24854266397239</v>
      </c>
      <c r="DS58" s="59">
        <f t="shared" si="17"/>
        <v>703.5818759973057</v>
      </c>
      <c r="DT58" s="59">
        <f ca="1">AVERAGE(OFFSET($DS$3,0,0,'Données projet'!$E$14+1,1))-AVERAGE(OFFSET($H$3,0,0,'Données projet'!$E$14+1,1))</f>
        <v>221.14988592347311</v>
      </c>
      <c r="DU58" s="59">
        <f t="shared" si="44"/>
        <v>179.09262081171607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1.3925173107587718</v>
      </c>
      <c r="EB58" s="21">
        <f>EXP(-LN(2)/25)*EB57+(1-EXP(-LN(2)/25))/(LN(2)/25)*Calculateur!DW58*Calculateur!DY58*VLOOKUP('Données projet'!$B$14,Paramètres!$A$1:$I$89,3,0)*0.475*44/12</f>
        <v>5.1202502583070659</v>
      </c>
      <c r="EC58" s="21">
        <f>EXP(-LN(2)/2)*EC57+(1-EXP(-LN(2)/2))/(LN(2)/2)*DW58*DZ58*VLOOKUP('Données projet'!$B$14,Paramètres!$A$1:$I$89,3,0)*0.475*44/12</f>
        <v>3.3663112242518999E-3</v>
      </c>
      <c r="ED58" s="22">
        <f t="shared" si="18"/>
        <v>6.5161338802900897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8.1999999999999993</v>
      </c>
      <c r="EJ58" s="12">
        <f>IF('Données projet'!$A$192&gt;35,EJ57+EI58-ER57,IF(A58&lt;'Données projet'!$A$192,$EG$205^A58,IF(A58='Données projet'!$A$192,'Données projet'!$B$192,EJ57+EI58-ER57)))</f>
        <v>287.99999999999983</v>
      </c>
      <c r="EK58" s="17">
        <f>EJ58*VLOOKUP('Données projet'!$B$15,Paramètres!$A$1:$I$89,3,0)*VLOOKUP('Données projet'!$B$15,Paramètres!$A$1:$I$89,5,0)</f>
        <v>157.24799999999991</v>
      </c>
      <c r="EL58" s="13">
        <f t="shared" si="45"/>
        <v>40.22116874434861</v>
      </c>
      <c r="EM58" s="20">
        <f t="shared" si="19"/>
        <v>343.92546889640698</v>
      </c>
      <c r="EN58" s="59">
        <f t="shared" si="20"/>
        <v>637.25880222974024</v>
      </c>
      <c r="EO58" s="59">
        <f ca="1">AVERAGE(OFFSET($EN$3,0,0,'Données projet'!$E$15+1,1))-AVERAGE(OFFSET($H$3,0,0,'Données projet'!$E$15+1,1))</f>
        <v>168.72306536277267</v>
      </c>
      <c r="EP58" s="59">
        <f t="shared" si="46"/>
        <v>203.35476578922339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1.8541670713907561</v>
      </c>
      <c r="EW58" s="21">
        <f>EXP(-LN(2)/25)*EW57+(1-EXP(-LN(2)/25))/(LN(2)/25)*Calculateur!ER58*Calculateur!ET58*VLOOKUP('Données projet'!$B$15,Paramètres!$A$1:$I$89,3,0)*0.475*44/12</f>
        <v>11.492510773193995</v>
      </c>
      <c r="EX58" s="21">
        <f>EXP(-LN(2)/2)*EX57+(1-EXP(-LN(2)/2))/(LN(2)/2)*ER58*EU58*VLOOKUP('Données projet'!$B$15,Paramètres!$A$1:$I$89,3,0)*0.475*44/12</f>
        <v>3.456786555644205E-3</v>
      </c>
      <c r="EY58" s="22">
        <f t="shared" si="21"/>
        <v>13.350134631140396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6.9</v>
      </c>
      <c r="FE58" s="12">
        <f>IF('Données projet'!$A$218&gt;35,FE57+FD58-FM57,IF(A58&lt;'Données projet'!$A$218,$FB$205^A58,IF(A58='Données projet'!$A$218,'Données projet'!$B$218,FE57+FD58-FM57)))</f>
        <v>243.5</v>
      </c>
      <c r="FF58" s="17">
        <f>FE58*VLOOKUP('Données projet'!$B$16,Paramètres!$A$1:$I$89,3,0)*VLOOKUP('Données projet'!$B$16,Paramètres!$A$1:$I$89,5,0)</f>
        <v>132.95099999999999</v>
      </c>
      <c r="FG58" s="13">
        <f t="shared" si="47"/>
        <v>34.677355437338647</v>
      </c>
      <c r="FH58" s="20">
        <f t="shared" si="22"/>
        <v>291.95271905336477</v>
      </c>
      <c r="FI58" s="59">
        <f t="shared" si="23"/>
        <v>585.28605238669809</v>
      </c>
      <c r="FJ58" s="59">
        <f ca="1">AVERAGE(OFFSET($FI$3,0,0,'Données projet'!$E$16+1,1))-AVERAGE(OFFSET($H$3,0,0,'Données projet'!$E$16+1,1))</f>
        <v>127.76128532861486</v>
      </c>
      <c r="FK58" s="59">
        <f t="shared" si="48"/>
        <v>157.52303491639736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>
        <f>EXP(-LN(2)/35)*FQ57+(1-EXP(-LN(2)/35))/(LN(2)/35)*FM58*FN58*VLOOKUP('Données projet'!$B$16,Paramètres!$A$1:$I$89,3,0)*0.475*44/12</f>
        <v>1.4833336571126046</v>
      </c>
      <c r="FR58" s="21">
        <f>EXP(-LN(2)/25)*FR57+(1-EXP(-LN(2)/25))/(LN(2)/25)*Calculateur!FM58*Calculateur!FO58*VLOOKUP('Données projet'!$B$16,Paramètres!$A$1:$I$89,3,0)*0.475*44/12</f>
        <v>8.160634817146061</v>
      </c>
      <c r="FS58" s="21">
        <f>EXP(-LN(2)/2)*FS57+(1-EXP(-LN(2)/2))/(LN(2)/2)*FM58*FP58*VLOOKUP('Données projet'!$B$16,Paramètres!$A$1:$I$89,3,0)*0.475*44/12</f>
        <v>2.7444183855664418E-3</v>
      </c>
      <c r="FT58" s="22">
        <f t="shared" si="24"/>
        <v>9.6467128926442314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6.3942307692307665</v>
      </c>
      <c r="N59" s="13">
        <f>IF('Données projet'!$A$36&gt;35,N58+M59-V58,IF(A59&lt;'Données projet'!$A$36,$K$205^A59,IF(A59='Données projet'!$A$36,'Données projet'!$B$36,N58+M59-V58)))</f>
        <v>140.07371794871793</v>
      </c>
      <c r="O59" s="13">
        <f>N59*VLOOKUP('Données projet'!$B$9,Paramètres!$A$1:$I$89,3,0)*VLOOKUP('Données projet'!$B$9,Paramètres!$A$1:$I$89,5,0)</f>
        <v>126.73869999999998</v>
      </c>
      <c r="P59" s="13">
        <f t="shared" si="33"/>
        <v>33.241657959244336</v>
      </c>
      <c r="Q59" s="20">
        <f t="shared" si="53"/>
        <v>278.63245677901716</v>
      </c>
      <c r="R59" s="59">
        <f t="shared" si="0"/>
        <v>571.96579011235053</v>
      </c>
      <c r="S59" s="59">
        <f ca="1">AVERAGE(OFFSET($R$3,0,0,'Données projet'!$E$9+1,1))-AVERAGE(OFFSET($H$3,0,0,'Données projet'!$E$9+1,1))</f>
        <v>153.45079678708987</v>
      </c>
      <c r="T59" s="59">
        <f t="shared" si="34"/>
        <v>115.4217868409637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0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0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3.5192307692307692</v>
      </c>
      <c r="AI59" s="13">
        <f>IF('Données projet'!$A$62&gt;35,AI58+AH59-AQ58,IF(A59&lt;'Données projet'!$A$62,$AF$205^A59,IF(A59='Données projet'!$A$62,'Données projet'!$B$62,AI58+AH59-AQ58)))</f>
        <v>148.24358974358984</v>
      </c>
      <c r="AJ59" s="13">
        <f>AI59*VLOOKUP('Données projet'!$B$10,Paramètres!$A$1:$I$89,3,0)*VLOOKUP('Données projet'!$B$10,Paramètres!$A$1:$I$89,5,0)</f>
        <v>134.13080000000008</v>
      </c>
      <c r="AK59" s="13">
        <f t="shared" si="35"/>
        <v>34.949121262636524</v>
      </c>
      <c r="AL59" s="20">
        <f t="shared" si="4"/>
        <v>294.48086286575875</v>
      </c>
      <c r="AM59" s="59">
        <f t="shared" si="5"/>
        <v>587.81419619909207</v>
      </c>
      <c r="AN59" s="59">
        <f ca="1">AVERAGE(OFFSET($AM$3,0,0,'Données projet'!$E$10+1,1))-AVERAGE(OFFSET($H$3,0,0,'Données projet'!$E$10+1,1))</f>
        <v>123.92486590666675</v>
      </c>
      <c r="AO59" s="59">
        <f t="shared" si="36"/>
        <v>54.404493017418986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0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>
        <f>VLOOKUP(A59,'Données projet'!$A$87:$I$107,2,0)</f>
        <v>427.7076923076923</v>
      </c>
      <c r="BB59" s="12">
        <f>VLOOKUP(A59,'Données projet'!$A$87:$I$107,9,0)</f>
        <v>16.227472527472521</v>
      </c>
      <c r="BC59" s="12">
        <f t="array" ref="BC59">INDEX(BB:BB,MIN(IF(ISNUMBER(BB59:BB255),ROW(BB59:BB255),"")))</f>
        <v>16.227472527472521</v>
      </c>
      <c r="BD59" s="12">
        <f>IF('Données projet'!$A$88&gt;35,BD58+BC59-BL58,IF(A59&lt;'Données projet'!$A$88,$BA$205^A59,IF(A59='Données projet'!$A$88,'Données projet'!$B$88,BD58+BC59-BL58)))</f>
        <v>427.7076923076923</v>
      </c>
      <c r="BE59" s="13">
        <f>BD59*VLOOKUP('Données projet'!$B$11,Paramètres!$A$1:$I$89,3,0)*VLOOKUP('Données projet'!$B$11,Paramètres!$A$1:$I$89,5,0)</f>
        <v>239.08860000000001</v>
      </c>
      <c r="BF59" s="13">
        <f t="shared" si="37"/>
        <v>58.243394931850105</v>
      </c>
      <c r="BG59" s="20">
        <f t="shared" si="7"/>
        <v>517.85322450630554</v>
      </c>
      <c r="BH59" s="59">
        <f t="shared" si="8"/>
        <v>811.18655783963891</v>
      </c>
      <c r="BI59" s="59">
        <f ca="1">AVERAGE(OFFSET($BH$3,0,0,'Données projet'!$E$11+1,1))-AVERAGE(OFFSET($H$3,0,0,'Données projet'!$E$11+1,1))</f>
        <v>224.7049802939942</v>
      </c>
      <c r="BJ59" s="59">
        <f t="shared" si="38"/>
        <v>203.48513862195352</v>
      </c>
      <c r="BK59" s="15">
        <f>IF(ISNA(VLOOKUP(A59,'Données projet'!$A$87:$I$107,3,0)),0,VLOOKUP(A59,'Données projet'!$A$87:$I$107,3,0))</f>
        <v>6</v>
      </c>
      <c r="BL59" s="15">
        <f>IF(ISNA(VLOOKUP(A59,'Données projet'!$A$87:$I$107,4,0)),0,VLOOKUP(A59,'Données projet'!$A$87:$I$107,4,0))</f>
        <v>75.869230769230768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1.3332406059114892</v>
      </c>
      <c r="BQ59" s="21">
        <f>EXP(-LN(2)/25)*BQ58+(1-EXP(-LN(2)/25))/(LN(2)/25)*Calculateur!BL59*Calculateur!BN59*VLOOKUP('Données projet'!$B$11,Paramètres!$A$1:$I$89,3,0)*0.475*44/12</f>
        <v>9.4953141525311349</v>
      </c>
      <c r="BR59" s="21">
        <f>EXP(-LN(2)/2)*BR58+(1-EXP(-LN(2)/2))/(LN(2)/2)*BL59*BO59*VLOOKUP('Données projet'!$B$11,Paramètres!$A$1:$I$89,3,0)*0.475*44/12</f>
        <v>1.0938247791855474E-3</v>
      </c>
      <c r="BS59" s="22">
        <f t="shared" si="9"/>
        <v>10.829648583221811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9.5646153846153847</v>
      </c>
      <c r="BY59" s="12">
        <f>IF('Données projet'!$A$114&gt;35,BY58+BX59-CG58,IF(A59&lt;'Données projet'!$A$114,$BV$205^A59,IF(A59='Données projet'!$A$114,'Données projet'!$B$114,BY58+BX59-CG58)))</f>
        <v>276.58923076923082</v>
      </c>
      <c r="BZ59" s="13">
        <f>BY59*VLOOKUP('Données projet'!$B$12,Paramètres!$A$1:$I$89,3,0)*VLOOKUP('Données projet'!$B$12,Paramètres!$A$1:$I$89,5,0)</f>
        <v>154.61338000000003</v>
      </c>
      <c r="CA59" s="13">
        <f t="shared" si="39"/>
        <v>39.625137276214204</v>
      </c>
      <c r="CB59" s="20">
        <f t="shared" si="10"/>
        <v>338.29875092273977</v>
      </c>
      <c r="CC59" s="59">
        <f t="shared" si="11"/>
        <v>631.63208425607309</v>
      </c>
      <c r="CD59" s="59">
        <f ca="1">AVERAGE(OFFSET($CC$3,0,0,'Données projet'!$E$12+1,1))-AVERAGE(OFFSET($H$3,0,0,'Données projet'!$E$12+1,1))</f>
        <v>190.08613104982993</v>
      </c>
      <c r="CE59" s="59">
        <f t="shared" si="40"/>
        <v>180.55054525447781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0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15.6</v>
      </c>
      <c r="CT59" s="12">
        <f>IF('Données projet'!$A$140&gt;35,CT58+CS59-DB58,IF(A59&lt;'Données projet'!$A$140,$CQ$205^A59,IF(A59='Données projet'!$A$140,'Données projet'!$B$140,CT58+CS59-DB58)))</f>
        <v>384.59999999999997</v>
      </c>
      <c r="CU59" s="17">
        <f>CT59*VLOOKUP('Données projet'!$B$13,Paramètres!$A$1:$I$89,3,0)*VLOOKUP('Données projet'!$B$13,Paramètres!$A$1:$I$89,5,0)</f>
        <v>229.99080000000001</v>
      </c>
      <c r="CV59" s="13">
        <f t="shared" si="41"/>
        <v>56.280692271413919</v>
      </c>
      <c r="CW59" s="20">
        <f t="shared" si="13"/>
        <v>498.58951570604586</v>
      </c>
      <c r="CX59" s="59">
        <f t="shared" si="14"/>
        <v>791.92284903937912</v>
      </c>
      <c r="CY59" s="59">
        <f ca="1">AVERAGE(OFFSET($CX$3,0,0,'Données projet'!$E$13+1,1))-AVERAGE(OFFSET($H$3,0,0,'Données projet'!$E$13+1,1))</f>
        <v>270.30888762640245</v>
      </c>
      <c r="CZ59" s="59">
        <f t="shared" si="42"/>
        <v>202.23783851977691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1.2798852146685804</v>
      </c>
      <c r="DG59" s="21">
        <f>EXP(-LN(2)/25)*DG58+(1-EXP(-LN(2)/25))/(LN(2)/25)*Calculateur!DB59*Calculateur!DD59*VLOOKUP('Données projet'!$B$13,Paramètres!$A$1:$I$89,3,0)*0.475*44/12</f>
        <v>5.9794975290969612</v>
      </c>
      <c r="DH59" s="21">
        <f>EXP(-LN(2)/2)*DH58+(1-EXP(-LN(2)/2))/(LN(2)/2)*DB59*DE59*VLOOKUP('Données projet'!$B$13,Paramètres!$A$1:$I$89,3,0)*0.475*44/12</f>
        <v>2.2573985090896709E-3</v>
      </c>
      <c r="DI59" s="22">
        <f t="shared" si="15"/>
        <v>7.2616401422746319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13</v>
      </c>
      <c r="DO59" s="12">
        <f>IF('Données projet'!$A$166&gt;35,DO58+DN59-DW58,IF(A59&lt;'Données projet'!$A$166,$DL$205^A59,IF(A59='Données projet'!$A$166,'Données projet'!$B$166,DO58+DN59-DW58)))</f>
        <v>328</v>
      </c>
      <c r="DP59" s="17">
        <f>DO59*VLOOKUP('Données projet'!$B$14,Paramètres!$A$1:$I$89,3,0)*VLOOKUP('Données projet'!$B$14,Paramètres!$A$1:$I$89,5,0)</f>
        <v>196.14400000000001</v>
      </c>
      <c r="DQ59" s="13">
        <f t="shared" si="43"/>
        <v>48.895777841838495</v>
      </c>
      <c r="DR59" s="20">
        <f t="shared" si="16"/>
        <v>426.77761307453534</v>
      </c>
      <c r="DS59" s="59">
        <f t="shared" si="17"/>
        <v>720.1109464078686</v>
      </c>
      <c r="DT59" s="59">
        <f ca="1">AVERAGE(OFFSET($DS$3,0,0,'Données projet'!$E$14+1,1))-AVERAGE(OFFSET($H$3,0,0,'Données projet'!$E$14+1,1))</f>
        <v>221.14988592347311</v>
      </c>
      <c r="DU59" s="59">
        <f t="shared" si="44"/>
        <v>179.09262081171607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1.3652108956464855</v>
      </c>
      <c r="EB59" s="21">
        <f>EXP(-LN(2)/25)*EB58+(1-EXP(-LN(2)/25))/(LN(2)/25)*Calculateur!DW59*Calculateur!DY59*VLOOKUP('Données projet'!$B$14,Paramètres!$A$1:$I$89,3,0)*0.475*44/12</f>
        <v>4.9802367457314007</v>
      </c>
      <c r="EC59" s="21">
        <f>EXP(-LN(2)/2)*EC58+(1-EXP(-LN(2)/2))/(LN(2)/2)*DW59*DZ59*VLOOKUP('Données projet'!$B$14,Paramètres!$A$1:$I$89,3,0)*0.475*44/12</f>
        <v>2.3803414942529071E-3</v>
      </c>
      <c r="ED59" s="22">
        <f t="shared" si="18"/>
        <v>6.3478279828721389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8.1999999999999993</v>
      </c>
      <c r="EJ59" s="12">
        <f>IF('Données projet'!$A$192&gt;35,EJ58+EI59-ER58,IF(A59&lt;'Données projet'!$A$192,$EG$205^A59,IF(A59='Données projet'!$A$192,'Données projet'!$B$192,EJ58+EI59-ER58)))</f>
        <v>296.19999999999982</v>
      </c>
      <c r="EK59" s="17">
        <f>EJ59*VLOOKUP('Données projet'!$B$15,Paramètres!$A$1:$I$89,3,0)*VLOOKUP('Données projet'!$B$15,Paramètres!$A$1:$I$89,5,0)</f>
        <v>161.72519999999992</v>
      </c>
      <c r="EL59" s="13">
        <f t="shared" si="45"/>
        <v>41.231395865320792</v>
      </c>
      <c r="EM59" s="20">
        <f t="shared" si="19"/>
        <v>353.48273779876689</v>
      </c>
      <c r="EN59" s="59">
        <f t="shared" si="20"/>
        <v>646.81607113210021</v>
      </c>
      <c r="EO59" s="59">
        <f ca="1">AVERAGE(OFFSET($EN$3,0,0,'Données projet'!$E$15+1,1))-AVERAGE(OFFSET($H$3,0,0,'Données projet'!$E$15+1,1))</f>
        <v>168.72306536277267</v>
      </c>
      <c r="EP59" s="59">
        <f t="shared" si="46"/>
        <v>203.35476578922339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1.8178079860510268</v>
      </c>
      <c r="EW59" s="21">
        <f>EXP(-LN(2)/25)*EW58+(1-EXP(-LN(2)/25))/(LN(2)/25)*Calculateur!ER59*Calculateur!ET59*VLOOKUP('Données projet'!$B$15,Paramètres!$A$1:$I$89,3,0)*0.475*44/12</f>
        <v>11.178247461736131</v>
      </c>
      <c r="EX59" s="21">
        <f>EXP(-LN(2)/2)*EX58+(1-EXP(-LN(2)/2))/(LN(2)/2)*ER59*EU59*VLOOKUP('Données projet'!$B$15,Paramètres!$A$1:$I$89,3,0)*0.475*44/12</f>
        <v>2.4443172146105061E-3</v>
      </c>
      <c r="EY59" s="22">
        <f t="shared" si="21"/>
        <v>12.998499765001768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6.9</v>
      </c>
      <c r="FE59" s="12">
        <f>IF('Données projet'!$A$218&gt;35,FE58+FD59-FM58,IF(A59&lt;'Données projet'!$A$218,$FB$205^A59,IF(A59='Données projet'!$A$218,'Données projet'!$B$218,FE58+FD59-FM58)))</f>
        <v>250.4</v>
      </c>
      <c r="FF59" s="17">
        <f>FE59*VLOOKUP('Données projet'!$B$16,Paramètres!$A$1:$I$89,3,0)*VLOOKUP('Données projet'!$B$16,Paramètres!$A$1:$I$89,5,0)</f>
        <v>136.7184</v>
      </c>
      <c r="FG59" s="13">
        <f t="shared" si="47"/>
        <v>35.544202389747873</v>
      </c>
      <c r="FH59" s="20">
        <f t="shared" si="22"/>
        <v>300.02403249547757</v>
      </c>
      <c r="FI59" s="59">
        <f t="shared" si="23"/>
        <v>593.35736582881088</v>
      </c>
      <c r="FJ59" s="59">
        <f ca="1">AVERAGE(OFFSET($FI$3,0,0,'Données projet'!$E$16+1,1))-AVERAGE(OFFSET($H$3,0,0,'Données projet'!$E$16+1,1))</f>
        <v>127.76128532861486</v>
      </c>
      <c r="FK59" s="59">
        <f t="shared" si="48"/>
        <v>157.52303491639736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>
        <f>EXP(-LN(2)/35)*FQ58+(1-EXP(-LN(2)/35))/(LN(2)/35)*FM59*FN59*VLOOKUP('Données projet'!$B$16,Paramètres!$A$1:$I$89,3,0)*0.475*44/12</f>
        <v>1.4542463888408212</v>
      </c>
      <c r="FR59" s="21">
        <f>EXP(-LN(2)/25)*FR58+(1-EXP(-LN(2)/25))/(LN(2)/25)*Calculateur!FM59*Calculateur!FO59*VLOOKUP('Données projet'!$B$16,Paramètres!$A$1:$I$89,3,0)*0.475*44/12</f>
        <v>7.9374818289220679</v>
      </c>
      <c r="FS59" s="21">
        <f>EXP(-LN(2)/2)*FS58+(1-EXP(-LN(2)/2))/(LN(2)/2)*FM59*FP59*VLOOKUP('Données projet'!$B$16,Paramètres!$A$1:$I$89,3,0)*0.475*44/12</f>
        <v>1.9405968508470681E-3</v>
      </c>
      <c r="FT59" s="22">
        <f t="shared" si="24"/>
        <v>9.3936688146137364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6.3942307692307665</v>
      </c>
      <c r="N60" s="13">
        <f>IF('Données projet'!$A$36&gt;35,N59+M60-V59,IF(A60&lt;'Données projet'!$A$36,$K$205^A60,IF(A60='Données projet'!$A$36,'Données projet'!$B$36,N59+M60-V59)))</f>
        <v>146.4679487179487</v>
      </c>
      <c r="O60" s="13">
        <f>N60*VLOOKUP('Données projet'!$B$9,Paramètres!$A$1:$I$89,3,0)*VLOOKUP('Données projet'!$B$9,Paramètres!$A$1:$I$89,5,0)</f>
        <v>132.52419999999998</v>
      </c>
      <c r="P60" s="13">
        <f t="shared" si="33"/>
        <v>34.578973423062216</v>
      </c>
      <c r="Q60" s="20">
        <f t="shared" si="53"/>
        <v>291.03802704516664</v>
      </c>
      <c r="R60" s="59">
        <f t="shared" si="0"/>
        <v>584.37136037849996</v>
      </c>
      <c r="S60" s="59">
        <f ca="1">AVERAGE(OFFSET($R$3,0,0,'Données projet'!$E$9+1,1))-AVERAGE(OFFSET($H$3,0,0,'Données projet'!$E$9+1,1))</f>
        <v>153.45079678708987</v>
      </c>
      <c r="T60" s="59">
        <f t="shared" si="34"/>
        <v>115.4217868409637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0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0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3.5192307692307692</v>
      </c>
      <c r="AI60" s="13">
        <f>IF('Données projet'!$A$62&gt;35,AI59+AH60-AQ59,IF(A60&lt;'Données projet'!$A$62,$AF$205^A60,IF(A60='Données projet'!$A$62,'Données projet'!$B$62,AI59+AH60-AQ59)))</f>
        <v>151.76282051282061</v>
      </c>
      <c r="AJ60" s="13">
        <f>AI60*VLOOKUP('Données projet'!$B$10,Paramètres!$A$1:$I$89,3,0)*VLOOKUP('Données projet'!$B$10,Paramètres!$A$1:$I$89,5,0)</f>
        <v>137.31500000000008</v>
      </c>
      <c r="AK60" s="13">
        <f t="shared" si="35"/>
        <v>35.681218183150271</v>
      </c>
      <c r="AL60" s="20">
        <f t="shared" si="4"/>
        <v>301.30174666898682</v>
      </c>
      <c r="AM60" s="59">
        <f t="shared" si="5"/>
        <v>594.63508000232014</v>
      </c>
      <c r="AN60" s="59">
        <f ca="1">AVERAGE(OFFSET($AM$3,0,0,'Données projet'!$E$10+1,1))-AVERAGE(OFFSET($H$3,0,0,'Données projet'!$E$10+1,1))</f>
        <v>123.92486590666675</v>
      </c>
      <c r="AO60" s="59">
        <f t="shared" si="36"/>
        <v>54.404493017418986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0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14.839560439560435</v>
      </c>
      <c r="BD60" s="12">
        <f>IF('Données projet'!$A$88&gt;35,BD59+BC60-BL59,IF(A60&lt;'Données projet'!$A$88,$BA$205^A60,IF(A60='Données projet'!$A$88,'Données projet'!$B$88,BD59+BC60-BL59)))</f>
        <v>366.678021978022</v>
      </c>
      <c r="BE60" s="13">
        <f>BD60*VLOOKUP('Données projet'!$B$11,Paramètres!$A$1:$I$89,3,0)*VLOOKUP('Données projet'!$B$11,Paramètres!$A$1:$I$89,5,0)</f>
        <v>204.9730142857143</v>
      </c>
      <c r="BF60" s="13">
        <f t="shared" si="37"/>
        <v>50.835518579260878</v>
      </c>
      <c r="BG60" s="20">
        <f t="shared" si="7"/>
        <v>445.53319473983174</v>
      </c>
      <c r="BH60" s="59">
        <f t="shared" si="8"/>
        <v>738.866528073165</v>
      </c>
      <c r="BI60" s="59">
        <f ca="1">AVERAGE(OFFSET($BH$3,0,0,'Données projet'!$E$11+1,1))-AVERAGE(OFFSET($H$3,0,0,'Données projet'!$E$11+1,1))</f>
        <v>224.7049802939942</v>
      </c>
      <c r="BJ60" s="59">
        <f t="shared" si="38"/>
        <v>203.48513862195352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1.307096570826038</v>
      </c>
      <c r="BQ60" s="21">
        <f>EXP(-LN(2)/25)*BQ59+(1-EXP(-LN(2)/25))/(LN(2)/25)*Calculateur!BL60*Calculateur!BN60*VLOOKUP('Données projet'!$B$11,Paramètres!$A$1:$I$89,3,0)*0.475*44/12</f>
        <v>9.2356642876933019</v>
      </c>
      <c r="BR60" s="21">
        <f>EXP(-LN(2)/2)*BR59+(1-EXP(-LN(2)/2))/(LN(2)/2)*BL60*BO60*VLOOKUP('Données projet'!$B$11,Paramètres!$A$1:$I$89,3,0)*0.475*44/12</f>
        <v>7.7345091879197855E-4</v>
      </c>
      <c r="BS60" s="22">
        <f t="shared" si="9"/>
        <v>10.543534309438133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9.5646153846153847</v>
      </c>
      <c r="BY60" s="12">
        <f>IF('Données projet'!$A$114&gt;35,BY59+BX60-CG59,IF(A60&lt;'Données projet'!$A$114,$BV$205^A60,IF(A60='Données projet'!$A$114,'Données projet'!$B$114,BY59+BX60-CG59)))</f>
        <v>286.15384615384619</v>
      </c>
      <c r="BZ60" s="13">
        <f>BY60*VLOOKUP('Données projet'!$B$12,Paramètres!$A$1:$I$89,3,0)*VLOOKUP('Données projet'!$B$12,Paramètres!$A$1:$I$89,5,0)</f>
        <v>159.96</v>
      </c>
      <c r="CA60" s="13">
        <f t="shared" si="39"/>
        <v>40.833493163758575</v>
      </c>
      <c r="CB60" s="20">
        <f t="shared" si="10"/>
        <v>349.71533392687951</v>
      </c>
      <c r="CC60" s="59">
        <f t="shared" si="11"/>
        <v>643.04866726021282</v>
      </c>
      <c r="CD60" s="59">
        <f ca="1">AVERAGE(OFFSET($CC$3,0,0,'Données projet'!$E$12+1,1))-AVERAGE(OFFSET($H$3,0,0,'Données projet'!$E$12+1,1))</f>
        <v>190.08613104982993</v>
      </c>
      <c r="CE60" s="59">
        <f t="shared" si="40"/>
        <v>180.55054525447781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0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15.6</v>
      </c>
      <c r="CT60" s="12">
        <f>IF('Données projet'!$A$140&gt;35,CT59+CS60-DB59,IF(A60&lt;'Données projet'!$A$140,$CQ$205^A60,IF(A60='Données projet'!$A$140,'Données projet'!$B$140,CT59+CS60-DB59)))</f>
        <v>400.2</v>
      </c>
      <c r="CU60" s="17">
        <f>CT60*VLOOKUP('Données projet'!$B$13,Paramètres!$A$1:$I$89,3,0)*VLOOKUP('Données projet'!$B$13,Paramètres!$A$1:$I$89,5,0)</f>
        <v>239.31960000000004</v>
      </c>
      <c r="CV60" s="13">
        <f t="shared" si="41"/>
        <v>58.293114928060938</v>
      </c>
      <c r="CW60" s="20">
        <f t="shared" si="13"/>
        <v>518.34214516637292</v>
      </c>
      <c r="CX60" s="59">
        <f t="shared" si="14"/>
        <v>811.67547849970629</v>
      </c>
      <c r="CY60" s="59">
        <f ca="1">AVERAGE(OFFSET($CX$3,0,0,'Données projet'!$E$13+1,1))-AVERAGE(OFFSET($H$3,0,0,'Données projet'!$E$13+1,1))</f>
        <v>270.30888762640245</v>
      </c>
      <c r="CZ60" s="59">
        <f t="shared" si="42"/>
        <v>202.23783851977691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1.2547874462618274</v>
      </c>
      <c r="DG60" s="21">
        <f>EXP(-LN(2)/25)*DG59+(1-EXP(-LN(2)/25))/(LN(2)/25)*Calculateur!DB60*Calculateur!DD60*VLOOKUP('Données projet'!$B$13,Paramètres!$A$1:$I$89,3,0)*0.475*44/12</f>
        <v>5.8159878547156962</v>
      </c>
      <c r="DH60" s="21">
        <f>EXP(-LN(2)/2)*DH59+(1-EXP(-LN(2)/2))/(LN(2)/2)*DB60*DE60*VLOOKUP('Données projet'!$B$13,Paramètres!$A$1:$I$89,3,0)*0.475*44/12</f>
        <v>1.5962217936177085E-3</v>
      </c>
      <c r="DI60" s="22">
        <f t="shared" si="15"/>
        <v>7.0723715227711406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13</v>
      </c>
      <c r="DO60" s="12">
        <f>IF('Données projet'!$A$166&gt;35,DO59+DN60-DW59,IF(A60&lt;'Données projet'!$A$166,$DL$205^A60,IF(A60='Données projet'!$A$166,'Données projet'!$B$166,DO59+DN60-DW59)))</f>
        <v>341</v>
      </c>
      <c r="DP60" s="17">
        <f>DO60*VLOOKUP('Données projet'!$B$14,Paramètres!$A$1:$I$89,3,0)*VLOOKUP('Données projet'!$B$14,Paramètres!$A$1:$I$89,5,0)</f>
        <v>203.91800000000003</v>
      </c>
      <c r="DQ60" s="13">
        <f t="shared" si="43"/>
        <v>50.604250898161411</v>
      </c>
      <c r="DR60" s="20">
        <f t="shared" si="16"/>
        <v>443.29292031429782</v>
      </c>
      <c r="DS60" s="59">
        <f t="shared" si="17"/>
        <v>736.62625364763107</v>
      </c>
      <c r="DT60" s="59">
        <f ca="1">AVERAGE(OFFSET($DS$3,0,0,'Données projet'!$E$14+1,1))-AVERAGE(OFFSET($H$3,0,0,'Données projet'!$E$14+1,1))</f>
        <v>221.14988592347311</v>
      </c>
      <c r="DU60" s="59">
        <f t="shared" si="44"/>
        <v>179.09262081171607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1.3384399426792823</v>
      </c>
      <c r="EB60" s="21">
        <f>EXP(-LN(2)/25)*EB59+(1-EXP(-LN(2)/25))/(LN(2)/25)*Calculateur!DW60*Calculateur!DY60*VLOOKUP('Données projet'!$B$14,Paramètres!$A$1:$I$89,3,0)*0.475*44/12</f>
        <v>4.8440519100201076</v>
      </c>
      <c r="EC60" s="21">
        <f>EXP(-LN(2)/2)*EC59+(1-EXP(-LN(2)/2))/(LN(2)/2)*DW60*DZ60*VLOOKUP('Données projet'!$B$14,Paramètres!$A$1:$I$89,3,0)*0.475*44/12</f>
        <v>1.68315561212595E-3</v>
      </c>
      <c r="ED60" s="22">
        <f t="shared" si="18"/>
        <v>6.1841750083115157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8.1999999999999993</v>
      </c>
      <c r="EJ60" s="12">
        <f>IF('Données projet'!$A$192&gt;35,EJ59+EI60-ER59,IF(A60&lt;'Données projet'!$A$192,$EG$205^A60,IF(A60='Données projet'!$A$192,'Données projet'!$B$192,EJ59+EI60-ER59)))</f>
        <v>304.39999999999981</v>
      </c>
      <c r="EK60" s="17">
        <f>EJ60*VLOOKUP('Données projet'!$B$15,Paramètres!$A$1:$I$89,3,0)*VLOOKUP('Données projet'!$B$15,Paramètres!$A$1:$I$89,5,0)</f>
        <v>166.2023999999999</v>
      </c>
      <c r="EL60" s="13">
        <f t="shared" si="45"/>
        <v>42.238372413664599</v>
      </c>
      <c r="EM60" s="20">
        <f t="shared" si="19"/>
        <v>363.03434528713234</v>
      </c>
      <c r="EN60" s="59">
        <f t="shared" si="20"/>
        <v>656.36767862046565</v>
      </c>
      <c r="EO60" s="59">
        <f ca="1">AVERAGE(OFFSET($EN$3,0,0,'Données projet'!$E$15+1,1))-AVERAGE(OFFSET($H$3,0,0,'Données projet'!$E$15+1,1))</f>
        <v>168.72306536277267</v>
      </c>
      <c r="EP60" s="59">
        <f t="shared" si="46"/>
        <v>203.35476578922339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1.7821618801979573</v>
      </c>
      <c r="EW60" s="21">
        <f>EXP(-LN(2)/25)*EW59+(1-EXP(-LN(2)/25))/(LN(2)/25)*Calculateur!ER60*Calculateur!ET60*VLOOKUP('Données projet'!$B$15,Paramètres!$A$1:$I$89,3,0)*0.475*44/12</f>
        <v>10.872577697056471</v>
      </c>
      <c r="EX60" s="21">
        <f>EXP(-LN(2)/2)*EX59+(1-EXP(-LN(2)/2))/(LN(2)/2)*ER60*EU60*VLOOKUP('Données projet'!$B$15,Paramètres!$A$1:$I$89,3,0)*0.475*44/12</f>
        <v>1.7283932778221025E-3</v>
      </c>
      <c r="EY60" s="22">
        <f t="shared" si="21"/>
        <v>12.656467970532251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6.9</v>
      </c>
      <c r="FE60" s="12">
        <f>IF('Données projet'!$A$218&gt;35,FE59+FD60-FM59,IF(A60&lt;'Données projet'!$A$218,$FB$205^A60,IF(A60='Données projet'!$A$218,'Données projet'!$B$218,FE59+FD60-FM59)))</f>
        <v>257.3</v>
      </c>
      <c r="FF60" s="17">
        <f>FE60*VLOOKUP('Données projet'!$B$16,Paramètres!$A$1:$I$89,3,0)*VLOOKUP('Données projet'!$B$16,Paramètres!$A$1:$I$89,5,0)</f>
        <v>140.48580000000001</v>
      </c>
      <c r="FG60" s="13">
        <f t="shared" si="47"/>
        <v>36.408273006697428</v>
      </c>
      <c r="FH60" s="20">
        <f t="shared" si="22"/>
        <v>308.09051048666475</v>
      </c>
      <c r="FI60" s="59">
        <f t="shared" si="23"/>
        <v>601.42384381999807</v>
      </c>
      <c r="FJ60" s="59">
        <f ca="1">AVERAGE(OFFSET($FI$3,0,0,'Données projet'!$E$16+1,1))-AVERAGE(OFFSET($H$3,0,0,'Données projet'!$E$16+1,1))</f>
        <v>127.76128532861486</v>
      </c>
      <c r="FK60" s="59">
        <f t="shared" si="48"/>
        <v>157.52303491639736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>
        <f>EXP(-LN(2)/35)*FQ59+(1-EXP(-LN(2)/35))/(LN(2)/35)*FM60*FN60*VLOOKUP('Données projet'!$B$16,Paramètres!$A$1:$I$89,3,0)*0.475*44/12</f>
        <v>1.4257295041583657</v>
      </c>
      <c r="FR60" s="21">
        <f>EXP(-LN(2)/25)*FR59+(1-EXP(-LN(2)/25))/(LN(2)/25)*Calculateur!FM60*Calculateur!FO60*VLOOKUP('Données projet'!$B$16,Paramètres!$A$1:$I$89,3,0)*0.475*44/12</f>
        <v>7.7204309708961656</v>
      </c>
      <c r="FS60" s="21">
        <f>EXP(-LN(2)/2)*FS59+(1-EXP(-LN(2)/2))/(LN(2)/2)*FM60*FP60*VLOOKUP('Données projet'!$B$16,Paramètres!$A$1:$I$89,3,0)*0.475*44/12</f>
        <v>1.3722091927832211E-3</v>
      </c>
      <c r="FT60" s="22">
        <f t="shared" si="24"/>
        <v>9.1475326842473148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6.3942307692307665</v>
      </c>
      <c r="N61" s="13">
        <f>IF('Données projet'!$A$36&gt;35,N60+M61-V60,IF(A61&lt;'Données projet'!$A$36,$K$205^A61,IF(A61='Données projet'!$A$36,'Données projet'!$B$36,N60+M61-V60)))</f>
        <v>152.86217948717947</v>
      </c>
      <c r="O61" s="13">
        <f>N61*VLOOKUP('Données projet'!$B$9,Paramètres!$A$1:$I$89,3,0)*VLOOKUP('Données projet'!$B$9,Paramètres!$A$1:$I$89,5,0)</f>
        <v>138.30969999999999</v>
      </c>
      <c r="P61" s="13">
        <f t="shared" si="33"/>
        <v>35.909508175318372</v>
      </c>
      <c r="Q61" s="20">
        <f t="shared" si="53"/>
        <v>303.43178757201281</v>
      </c>
      <c r="R61" s="59">
        <f t="shared" si="0"/>
        <v>596.76512090534607</v>
      </c>
      <c r="S61" s="59">
        <f ca="1">AVERAGE(OFFSET($R$3,0,0,'Données projet'!$E$9+1,1))-AVERAGE(OFFSET($H$3,0,0,'Données projet'!$E$9+1,1))</f>
        <v>153.45079678708987</v>
      </c>
      <c r="T61" s="59">
        <f t="shared" si="34"/>
        <v>115.4217868409637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0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0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3.5192307692307692</v>
      </c>
      <c r="AI61" s="13">
        <f>IF('Données projet'!$A$62&gt;35,AI60+AH61-AQ60,IF(A61&lt;'Données projet'!$A$62,$AF$205^A61,IF(A61='Données projet'!$A$62,'Données projet'!$B$62,AI60+AH61-AQ60)))</f>
        <v>155.28205128205138</v>
      </c>
      <c r="AJ61" s="13">
        <f>AI61*VLOOKUP('Données projet'!$B$10,Paramètres!$A$1:$I$89,3,0)*VLOOKUP('Données projet'!$B$10,Paramètres!$A$1:$I$89,5,0)</f>
        <v>140.49920000000009</v>
      </c>
      <c r="AK61" s="13">
        <f t="shared" si="35"/>
        <v>36.411341503993242</v>
      </c>
      <c r="AL61" s="20">
        <f t="shared" si="4"/>
        <v>308.11919311945502</v>
      </c>
      <c r="AM61" s="59">
        <f t="shared" si="5"/>
        <v>601.45252645278833</v>
      </c>
      <c r="AN61" s="59">
        <f ca="1">AVERAGE(OFFSET($AM$3,0,0,'Données projet'!$E$10+1,1))-AVERAGE(OFFSET($H$3,0,0,'Données projet'!$E$10+1,1))</f>
        <v>123.92486590666675</v>
      </c>
      <c r="AO61" s="59">
        <f t="shared" si="36"/>
        <v>54.404493017418986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0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14.839560439560435</v>
      </c>
      <c r="BD61" s="12">
        <f>IF('Données projet'!$A$88&gt;35,BD60+BC61-BL60,IF(A61&lt;'Données projet'!$A$88,$BA$205^A61,IF(A61='Données projet'!$A$88,'Données projet'!$B$88,BD60+BC61-BL60)))</f>
        <v>381.51758241758245</v>
      </c>
      <c r="BE61" s="13">
        <f>BD61*VLOOKUP('Données projet'!$B$11,Paramètres!$A$1:$I$89,3,0)*VLOOKUP('Données projet'!$B$11,Paramètres!$A$1:$I$89,5,0)</f>
        <v>213.26832857142858</v>
      </c>
      <c r="BF61" s="13">
        <f t="shared" si="37"/>
        <v>52.649154508451623</v>
      </c>
      <c r="BG61" s="20">
        <f t="shared" si="7"/>
        <v>463.13961636412461</v>
      </c>
      <c r="BH61" s="59">
        <f t="shared" si="8"/>
        <v>756.47294969745792</v>
      </c>
      <c r="BI61" s="59">
        <f ca="1">AVERAGE(OFFSET($BH$3,0,0,'Données projet'!$E$11+1,1))-AVERAGE(OFFSET($H$3,0,0,'Données projet'!$E$11+1,1))</f>
        <v>224.7049802939942</v>
      </c>
      <c r="BJ61" s="59">
        <f t="shared" si="38"/>
        <v>203.48513862195352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1.2814652043223258</v>
      </c>
      <c r="BQ61" s="21">
        <f>EXP(-LN(2)/25)*BQ60+(1-EXP(-LN(2)/25))/(LN(2)/25)*Calculateur!BL61*Calculateur!BN61*VLOOKUP('Données projet'!$B$11,Paramètres!$A$1:$I$89,3,0)*0.475*44/12</f>
        <v>8.9831145620638519</v>
      </c>
      <c r="BR61" s="21">
        <f>EXP(-LN(2)/2)*BR60+(1-EXP(-LN(2)/2))/(LN(2)/2)*BL61*BO61*VLOOKUP('Données projet'!$B$11,Paramètres!$A$1:$I$89,3,0)*0.475*44/12</f>
        <v>5.4691238959277372E-4</v>
      </c>
      <c r="BS61" s="22">
        <f t="shared" si="9"/>
        <v>10.26512667877577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9.5646153846153847</v>
      </c>
      <c r="BY61" s="12">
        <f>IF('Données projet'!$A$114&gt;35,BY60+BX61-CG60,IF(A61&lt;'Données projet'!$A$114,$BV$205^A61,IF(A61='Données projet'!$A$114,'Données projet'!$B$114,BY60+BX61-CG60)))</f>
        <v>295.71846153846155</v>
      </c>
      <c r="BZ61" s="13">
        <f>BY61*VLOOKUP('Données projet'!$B$12,Paramètres!$A$1:$I$89,3,0)*VLOOKUP('Données projet'!$B$12,Paramètres!$A$1:$I$89,5,0)</f>
        <v>165.30662000000001</v>
      </c>
      <c r="CA61" s="13">
        <f t="shared" si="39"/>
        <v>42.037155985576597</v>
      </c>
      <c r="CB61" s="20">
        <f t="shared" si="10"/>
        <v>361.12374317487928</v>
      </c>
      <c r="CC61" s="59">
        <f t="shared" si="11"/>
        <v>654.45707650821259</v>
      </c>
      <c r="CD61" s="59">
        <f ca="1">AVERAGE(OFFSET($CC$3,0,0,'Données projet'!$E$12+1,1))-AVERAGE(OFFSET($H$3,0,0,'Données projet'!$E$12+1,1))</f>
        <v>190.08613104982993</v>
      </c>
      <c r="CE61" s="59">
        <f t="shared" si="40"/>
        <v>180.55054525447781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0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15.6</v>
      </c>
      <c r="CT61" s="12">
        <f>IF('Données projet'!$A$140&gt;35,CT60+CS61-DB60,IF(A61&lt;'Données projet'!$A$140,$CQ$205^A61,IF(A61='Données projet'!$A$140,'Données projet'!$B$140,CT60+CS61-DB60)))</f>
        <v>415.8</v>
      </c>
      <c r="CU61" s="17">
        <f>CT61*VLOOKUP('Données projet'!$B$13,Paramètres!$A$1:$I$89,3,0)*VLOOKUP('Données projet'!$B$13,Paramètres!$A$1:$I$89,5,0)</f>
        <v>248.64840000000001</v>
      </c>
      <c r="CV61" s="13">
        <f t="shared" si="41"/>
        <v>60.296424802828774</v>
      </c>
      <c r="CW61" s="20">
        <f t="shared" si="13"/>
        <v>538.07890319826015</v>
      </c>
      <c r="CX61" s="59">
        <f t="shared" si="14"/>
        <v>831.41223653159341</v>
      </c>
      <c r="CY61" s="59">
        <f ca="1">AVERAGE(OFFSET($CX$3,0,0,'Données projet'!$E$13+1,1))-AVERAGE(OFFSET($H$3,0,0,'Données projet'!$E$13+1,1))</f>
        <v>270.30888762640245</v>
      </c>
      <c r="CZ61" s="59">
        <f t="shared" si="42"/>
        <v>202.23783851977691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1.2301818297854037</v>
      </c>
      <c r="DG61" s="21">
        <f>EXP(-LN(2)/25)*DG60+(1-EXP(-LN(2)/25))/(LN(2)/25)*Calculateur!DB61*Calculateur!DD61*VLOOKUP('Données projet'!$B$13,Paramètres!$A$1:$I$89,3,0)*0.475*44/12</f>
        <v>5.6569493609789872</v>
      </c>
      <c r="DH61" s="21">
        <f>EXP(-LN(2)/2)*DH60+(1-EXP(-LN(2)/2))/(LN(2)/2)*DB61*DE61*VLOOKUP('Données projet'!$B$13,Paramètres!$A$1:$I$89,3,0)*0.475*44/12</f>
        <v>1.1286992545448354E-3</v>
      </c>
      <c r="DI61" s="22">
        <f t="shared" si="15"/>
        <v>6.8882598900189356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13</v>
      </c>
      <c r="DO61" s="12">
        <f>IF('Données projet'!$A$166&gt;35,DO60+DN61-DW60,IF(A61&lt;'Données projet'!$A$166,$DL$205^A61,IF(A61='Données projet'!$A$166,'Données projet'!$B$166,DO60+DN61-DW60)))</f>
        <v>354</v>
      </c>
      <c r="DP61" s="17">
        <f>DO61*VLOOKUP('Données projet'!$B$14,Paramètres!$A$1:$I$89,3,0)*VLOOKUP('Données projet'!$B$14,Paramètres!$A$1:$I$89,5,0)</f>
        <v>211.69200000000001</v>
      </c>
      <c r="DQ61" s="13">
        <f t="shared" si="43"/>
        <v>52.305157403317835</v>
      </c>
      <c r="DR61" s="20">
        <f t="shared" si="16"/>
        <v>459.79504914411183</v>
      </c>
      <c r="DS61" s="59">
        <f t="shared" si="17"/>
        <v>753.12838247744514</v>
      </c>
      <c r="DT61" s="59">
        <f ca="1">AVERAGE(OFFSET($DS$3,0,0,'Données projet'!$E$14+1,1))-AVERAGE(OFFSET($H$3,0,0,'Données projet'!$E$14+1,1))</f>
        <v>221.14988592347311</v>
      </c>
      <c r="DU61" s="59">
        <f t="shared" si="44"/>
        <v>179.09262081171607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1.312193951771097</v>
      </c>
      <c r="EB61" s="21">
        <f>EXP(-LN(2)/25)*EB60+(1-EXP(-LN(2)/25))/(LN(2)/25)*Calculateur!DW61*Calculateur!DY61*VLOOKUP('Données projet'!$B$14,Paramètres!$A$1:$I$89,3,0)*0.475*44/12</f>
        <v>4.7115910558029892</v>
      </c>
      <c r="EC61" s="21">
        <f>EXP(-LN(2)/2)*EC60+(1-EXP(-LN(2)/2))/(LN(2)/2)*DW61*DZ61*VLOOKUP('Données projet'!$B$14,Paramètres!$A$1:$I$89,3,0)*0.475*44/12</f>
        <v>1.1901707471264535E-3</v>
      </c>
      <c r="ED61" s="22">
        <f t="shared" si="18"/>
        <v>6.0249751783212124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8.1999999999999993</v>
      </c>
      <c r="EJ61" s="12">
        <f>IF('Données projet'!$A$192&gt;35,EJ60+EI61-ER60,IF(A61&lt;'Données projet'!$A$192,$EG$205^A61,IF(A61='Données projet'!$A$192,'Données projet'!$B$192,EJ60+EI61-ER60)))</f>
        <v>312.5999999999998</v>
      </c>
      <c r="EK61" s="17">
        <f>EJ61*VLOOKUP('Données projet'!$B$15,Paramètres!$A$1:$I$89,3,0)*VLOOKUP('Données projet'!$B$15,Paramètres!$A$1:$I$89,5,0)</f>
        <v>170.67959999999991</v>
      </c>
      <c r="EL61" s="13">
        <f t="shared" si="45"/>
        <v>43.242196017419161</v>
      </c>
      <c r="EM61" s="20">
        <f t="shared" si="19"/>
        <v>372.58046139700485</v>
      </c>
      <c r="EN61" s="59">
        <f t="shared" si="20"/>
        <v>665.91379473033817</v>
      </c>
      <c r="EO61" s="59">
        <f ca="1">AVERAGE(OFFSET($EN$3,0,0,'Données projet'!$E$15+1,1))-AVERAGE(OFFSET($H$3,0,0,'Données projet'!$E$15+1,1))</f>
        <v>168.72306536277267</v>
      </c>
      <c r="EP61" s="59">
        <f t="shared" si="46"/>
        <v>203.35476578922339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1.7472147727386889</v>
      </c>
      <c r="EW61" s="21">
        <f>EXP(-LN(2)/25)*EW60+(1-EXP(-LN(2)/25))/(LN(2)/25)*Calculateur!ER61*Calculateur!ET61*VLOOKUP('Données projet'!$B$15,Paramètres!$A$1:$I$89,3,0)*0.475*44/12</f>
        <v>10.57526648816645</v>
      </c>
      <c r="EX61" s="21">
        <f>EXP(-LN(2)/2)*EX60+(1-EXP(-LN(2)/2))/(LN(2)/2)*ER61*EU61*VLOOKUP('Données projet'!$B$15,Paramètres!$A$1:$I$89,3,0)*0.475*44/12</f>
        <v>1.2221586073052531E-3</v>
      </c>
      <c r="EY61" s="22">
        <f t="shared" si="21"/>
        <v>12.323703419512444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6.9</v>
      </c>
      <c r="FE61" s="12">
        <f>IF('Données projet'!$A$218&gt;35,FE60+FD61-FM60,IF(A61&lt;'Données projet'!$A$218,$FB$205^A61,IF(A61='Données projet'!$A$218,'Données projet'!$B$218,FE60+FD61-FM60)))</f>
        <v>264.2</v>
      </c>
      <c r="FF61" s="17">
        <f>FE61*VLOOKUP('Données projet'!$B$16,Paramètres!$A$1:$I$89,3,0)*VLOOKUP('Données projet'!$B$16,Paramètres!$A$1:$I$89,5,0)</f>
        <v>144.25319999999999</v>
      </c>
      <c r="FG61" s="13">
        <f t="shared" si="47"/>
        <v>37.26965029788547</v>
      </c>
      <c r="FH61" s="20">
        <f t="shared" si="22"/>
        <v>316.1522976021505</v>
      </c>
      <c r="FI61" s="59">
        <f t="shared" si="23"/>
        <v>609.48563093548387</v>
      </c>
      <c r="FJ61" s="59">
        <f ca="1">AVERAGE(OFFSET($FI$3,0,0,'Données projet'!$E$16+1,1))-AVERAGE(OFFSET($H$3,0,0,'Données projet'!$E$16+1,1))</f>
        <v>127.76128532861486</v>
      </c>
      <c r="FK61" s="59">
        <f t="shared" si="48"/>
        <v>157.52303491639736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>
        <f>EXP(-LN(2)/35)*FQ60+(1-EXP(-LN(2)/35))/(LN(2)/35)*FM61*FN61*VLOOKUP('Données projet'!$B$16,Paramètres!$A$1:$I$89,3,0)*0.475*44/12</f>
        <v>1.3977718181909509</v>
      </c>
      <c r="FR61" s="21">
        <f>EXP(-LN(2)/25)*FR60+(1-EXP(-LN(2)/25))/(LN(2)/25)*Calculateur!FM61*Calculateur!FO61*VLOOKUP('Données projet'!$B$16,Paramètres!$A$1:$I$89,3,0)*0.475*44/12</f>
        <v>7.5093153799971901</v>
      </c>
      <c r="FS61" s="21">
        <f>EXP(-LN(2)/2)*FS60+(1-EXP(-LN(2)/2))/(LN(2)/2)*FM61*FP61*VLOOKUP('Données projet'!$B$16,Paramètres!$A$1:$I$89,3,0)*0.475*44/12</f>
        <v>9.7029842542353426E-4</v>
      </c>
      <c r="FT61" s="22">
        <f t="shared" si="24"/>
        <v>8.9080574966135639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>
        <f>VLOOKUP(A62,'Données projet'!$A$35:$I$55,2,0)</f>
        <v>159.25641025641025</v>
      </c>
      <c r="L62" s="12">
        <f>VLOOKUP(A62,'Données projet'!$A$35:$I$55,9,0)</f>
        <v>6.3942307692307665</v>
      </c>
      <c r="M62" s="12">
        <f t="array" ref="M62">INDEX(L:L,MIN(IF(ISNUMBER(L62:L258),ROW(L62:L258),"")))</f>
        <v>6.3942307692307665</v>
      </c>
      <c r="N62" s="13">
        <f>IF('Données projet'!$A$36&gt;35,N61+M62-V61,IF(A62&lt;'Données projet'!$A$36,$K$205^A62,IF(A62='Données projet'!$A$36,'Données projet'!$B$36,N61+M62-V61)))</f>
        <v>159.25641025641025</v>
      </c>
      <c r="O62" s="13">
        <f>N62*VLOOKUP('Données projet'!$B$9,Paramètres!$A$1:$I$89,3,0)*VLOOKUP('Données projet'!$B$9,Paramètres!$A$1:$I$89,5,0)</f>
        <v>144.09520000000001</v>
      </c>
      <c r="P62" s="13">
        <f t="shared" si="33"/>
        <v>37.23357828719589</v>
      </c>
      <c r="Q62" s="20">
        <f t="shared" si="53"/>
        <v>315.81428885019949</v>
      </c>
      <c r="R62" s="59">
        <f t="shared" si="0"/>
        <v>609.1476221835328</v>
      </c>
      <c r="S62" s="59">
        <f ca="1">AVERAGE(OFFSET($R$3,0,0,'Données projet'!$E$9+1,1))-AVERAGE(OFFSET($H$3,0,0,'Données projet'!$E$9+1,1))</f>
        <v>153.45079678708987</v>
      </c>
      <c r="T62" s="59">
        <f t="shared" si="34"/>
        <v>115.4217868409637</v>
      </c>
      <c r="U62" s="15">
        <f>IF(ISNA(VLOOKUP(A62,'Données projet'!$A$35:$I$55,3,0)),0,VLOOKUP(A62,'Données projet'!$A$35:$I$55,3,0))</f>
        <v>3</v>
      </c>
      <c r="V62" s="15">
        <f>IF(ISNA(VLOOKUP(A62,'Données projet'!$A$35:$I$55,4,0)),0,VLOOKUP(A62,'Données projet'!$A$35:$I$55,4,0))</f>
        <v>38.942307692307693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0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0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3.5192307692307692</v>
      </c>
      <c r="AI62" s="13">
        <f>IF('Données projet'!$A$62&gt;35,AI61+AH62-AQ61,IF(A62&lt;'Données projet'!$A$62,$AF$205^A62,IF(A62='Données projet'!$A$62,'Données projet'!$B$62,AI61+AH62-AQ61)))</f>
        <v>158.80128205128216</v>
      </c>
      <c r="AJ62" s="13">
        <f>AI62*VLOOKUP('Données projet'!$B$10,Paramètres!$A$1:$I$89,3,0)*VLOOKUP('Données projet'!$B$10,Paramètres!$A$1:$I$89,5,0)</f>
        <v>143.68340000000009</v>
      </c>
      <c r="AK62" s="13">
        <f t="shared" si="35"/>
        <v>37.139541103023952</v>
      </c>
      <c r="AL62" s="20">
        <f t="shared" si="4"/>
        <v>314.93328908776687</v>
      </c>
      <c r="AM62" s="59">
        <f t="shared" si="5"/>
        <v>608.26662242110024</v>
      </c>
      <c r="AN62" s="59">
        <f ca="1">AVERAGE(OFFSET($AM$3,0,0,'Données projet'!$E$10+1,1))-AVERAGE(OFFSET($H$3,0,0,'Données projet'!$E$10+1,1))</f>
        <v>123.92486590666675</v>
      </c>
      <c r="AO62" s="59">
        <f t="shared" si="36"/>
        <v>54.404493017418986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0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14.839560439560435</v>
      </c>
      <c r="BD62" s="12">
        <f>IF('Données projet'!$A$88&gt;35,BD61+BC62-BL61,IF(A62&lt;'Données projet'!$A$88,$BA$205^A62,IF(A62='Données projet'!$A$88,'Données projet'!$B$88,BD61+BC62-BL61)))</f>
        <v>396.35714285714289</v>
      </c>
      <c r="BE62" s="13">
        <f>BD62*VLOOKUP('Données projet'!$B$11,Paramètres!$A$1:$I$89,3,0)*VLOOKUP('Données projet'!$B$11,Paramètres!$A$1:$I$89,5,0)</f>
        <v>221.56364285714287</v>
      </c>
      <c r="BF62" s="13">
        <f t="shared" si="37"/>
        <v>54.45459555983345</v>
      </c>
      <c r="BG62" s="20">
        <f t="shared" si="7"/>
        <v>480.73176524290039</v>
      </c>
      <c r="BH62" s="59">
        <f t="shared" si="8"/>
        <v>774.06509857623371</v>
      </c>
      <c r="BI62" s="59">
        <f ca="1">AVERAGE(OFFSET($BH$3,0,0,'Données projet'!$E$11+1,1))-AVERAGE(OFFSET($H$3,0,0,'Données projet'!$E$11+1,1))</f>
        <v>224.7049802939942</v>
      </c>
      <c r="BJ62" s="59">
        <f t="shared" si="38"/>
        <v>203.48513862195352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1.2563364532821615</v>
      </c>
      <c r="BQ62" s="21">
        <f>EXP(-LN(2)/25)*BQ61+(1-EXP(-LN(2)/25))/(LN(2)/25)*Calculateur!BL62*Calculateur!BN62*VLOOKUP('Données projet'!$B$11,Paramètres!$A$1:$I$89,3,0)*0.475*44/12</f>
        <v>8.7374708219627522</v>
      </c>
      <c r="BR62" s="21">
        <f>EXP(-LN(2)/2)*BR61+(1-EXP(-LN(2)/2))/(LN(2)/2)*BL62*BO62*VLOOKUP('Données projet'!$B$11,Paramètres!$A$1:$I$89,3,0)*0.475*44/12</f>
        <v>3.8672545939598928E-4</v>
      </c>
      <c r="BS62" s="22">
        <f t="shared" si="9"/>
        <v>9.9941940007043097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9.5646153846153847</v>
      </c>
      <c r="BY62" s="12">
        <f>IF('Données projet'!$A$114&gt;35,BY61+BX62-CG61,IF(A62&lt;'Données projet'!$A$114,$BV$205^A62,IF(A62='Données projet'!$A$114,'Données projet'!$B$114,BY61+BX62-CG61)))</f>
        <v>305.28307692307692</v>
      </c>
      <c r="BZ62" s="13">
        <f>BY62*VLOOKUP('Données projet'!$B$12,Paramètres!$A$1:$I$89,3,0)*VLOOKUP('Données projet'!$B$12,Paramètres!$A$1:$I$89,5,0)</f>
        <v>170.65324000000001</v>
      </c>
      <c r="CA62" s="13">
        <f t="shared" si="39"/>
        <v>43.236294942319404</v>
      </c>
      <c r="CB62" s="20">
        <f t="shared" si="10"/>
        <v>372.52427335787297</v>
      </c>
      <c r="CC62" s="59">
        <f t="shared" si="11"/>
        <v>665.85760669120623</v>
      </c>
      <c r="CD62" s="59">
        <f ca="1">AVERAGE(OFFSET($CC$3,0,0,'Données projet'!$E$12+1,1))-AVERAGE(OFFSET($H$3,0,0,'Données projet'!$E$12+1,1))</f>
        <v>190.08613104982993</v>
      </c>
      <c r="CE62" s="59">
        <f t="shared" si="40"/>
        <v>180.55054525447781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0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15.6</v>
      </c>
      <c r="CT62" s="12">
        <f>IF('Données projet'!$A$140&gt;35,CT61+CS62-DB61,IF(A62&lt;'Données projet'!$A$140,$CQ$205^A62,IF(A62='Données projet'!$A$140,'Données projet'!$B$140,CT61+CS62-DB61)))</f>
        <v>431.40000000000003</v>
      </c>
      <c r="CU62" s="17">
        <f>CT62*VLOOKUP('Données projet'!$B$13,Paramètres!$A$1:$I$89,3,0)*VLOOKUP('Données projet'!$B$13,Paramètres!$A$1:$I$89,5,0)</f>
        <v>257.97720000000004</v>
      </c>
      <c r="CV62" s="13">
        <f t="shared" si="41"/>
        <v>62.291002935551688</v>
      </c>
      <c r="CW62" s="20">
        <f t="shared" si="13"/>
        <v>557.80045344608595</v>
      </c>
      <c r="CX62" s="59">
        <f t="shared" si="14"/>
        <v>851.13378677941932</v>
      </c>
      <c r="CY62" s="59">
        <f ca="1">AVERAGE(OFFSET($CX$3,0,0,'Données projet'!$E$13+1,1))-AVERAGE(OFFSET($H$3,0,0,'Données projet'!$E$13+1,1))</f>
        <v>270.30888762640245</v>
      </c>
      <c r="CZ62" s="59">
        <f t="shared" si="42"/>
        <v>202.23783851977691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1.2060587144401385</v>
      </c>
      <c r="DG62" s="21">
        <f>EXP(-LN(2)/25)*DG61+(1-EXP(-LN(2)/25))/(LN(2)/25)*Calculateur!DB62*Calculateur!DD62*VLOOKUP('Données projet'!$B$13,Paramètres!$A$1:$I$89,3,0)*0.475*44/12</f>
        <v>5.5022597832169788</v>
      </c>
      <c r="DH62" s="21">
        <f>EXP(-LN(2)/2)*DH61+(1-EXP(-LN(2)/2))/(LN(2)/2)*DB62*DE62*VLOOKUP('Données projet'!$B$13,Paramètres!$A$1:$I$89,3,0)*0.475*44/12</f>
        <v>7.9811089680885427E-4</v>
      </c>
      <c r="DI62" s="22">
        <f t="shared" si="15"/>
        <v>6.7091166085539262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13</v>
      </c>
      <c r="DO62" s="12">
        <f>IF('Données projet'!$A$166&gt;35,DO61+DN62-DW61,IF(A62&lt;'Données projet'!$A$166,$DL$205^A62,IF(A62='Données projet'!$A$166,'Données projet'!$B$166,DO61+DN62-DW61)))</f>
        <v>367</v>
      </c>
      <c r="DP62" s="17">
        <f>DO62*VLOOKUP('Données projet'!$B$14,Paramètres!$A$1:$I$89,3,0)*VLOOKUP('Données projet'!$B$14,Paramètres!$A$1:$I$89,5,0)</f>
        <v>219.46600000000001</v>
      </c>
      <c r="DQ62" s="13">
        <f t="shared" si="43"/>
        <v>53.998807048358273</v>
      </c>
      <c r="DR62" s="20">
        <f t="shared" si="16"/>
        <v>476.28453894255739</v>
      </c>
      <c r="DS62" s="59">
        <f t="shared" si="17"/>
        <v>769.6178722758907</v>
      </c>
      <c r="DT62" s="59">
        <f ca="1">AVERAGE(OFFSET($DS$3,0,0,'Données projet'!$E$14+1,1))-AVERAGE(OFFSET($H$3,0,0,'Données projet'!$E$14+1,1))</f>
        <v>221.14988592347311</v>
      </c>
      <c r="DU62" s="59">
        <f t="shared" si="44"/>
        <v>179.09262081171607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1.2864626287361474</v>
      </c>
      <c r="EB62" s="21">
        <f>EXP(-LN(2)/25)*EB61+(1-EXP(-LN(2)/25))/(LN(2)/25)*Calculateur!DW62*Calculateur!DY62*VLOOKUP('Données projet'!$B$14,Paramètres!$A$1:$I$89,3,0)*0.475*44/12</f>
        <v>4.5827523506102512</v>
      </c>
      <c r="EC62" s="21">
        <f>EXP(-LN(2)/2)*EC61+(1-EXP(-LN(2)/2))/(LN(2)/2)*DW62*DZ62*VLOOKUP('Données projet'!$B$14,Paramètres!$A$1:$I$89,3,0)*0.475*44/12</f>
        <v>8.4157780606297498E-4</v>
      </c>
      <c r="ED62" s="22">
        <f t="shared" si="18"/>
        <v>5.8700565571524619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8.1999999999999993</v>
      </c>
      <c r="EJ62" s="12">
        <f>IF('Données projet'!$A$192&gt;35,EJ61+EI62-ER61,IF(A62&lt;'Données projet'!$A$192,$EG$205^A62,IF(A62='Données projet'!$A$192,'Données projet'!$B$192,EJ61+EI62-ER61)))</f>
        <v>320.79999999999978</v>
      </c>
      <c r="EK62" s="17">
        <f>EJ62*VLOOKUP('Données projet'!$B$15,Paramètres!$A$1:$I$89,3,0)*VLOOKUP('Données projet'!$B$15,Paramètres!$A$1:$I$89,5,0)</f>
        <v>175.15679999999989</v>
      </c>
      <c r="EL62" s="13">
        <f t="shared" si="45"/>
        <v>44.242958891041738</v>
      </c>
      <c r="EM62" s="20">
        <f t="shared" si="19"/>
        <v>382.12124673523084</v>
      </c>
      <c r="EN62" s="59">
        <f t="shared" si="20"/>
        <v>675.45458006856416</v>
      </c>
      <c r="EO62" s="59">
        <f ca="1">AVERAGE(OFFSET($EN$3,0,0,'Données projet'!$E$15+1,1))-AVERAGE(OFFSET($H$3,0,0,'Données projet'!$E$15+1,1))</f>
        <v>168.72306536277267</v>
      </c>
      <c r="EP62" s="59">
        <f t="shared" si="46"/>
        <v>203.35476578922339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1.7129529567410657</v>
      </c>
      <c r="EW62" s="21">
        <f>EXP(-LN(2)/25)*EW61+(1-EXP(-LN(2)/25))/(LN(2)/25)*Calculateur!ER62*Calculateur!ET62*VLOOKUP('Données projet'!$B$15,Paramètres!$A$1:$I$89,3,0)*0.475*44/12</f>
        <v>10.286085269918445</v>
      </c>
      <c r="EX62" s="21">
        <f>EXP(-LN(2)/2)*EX61+(1-EXP(-LN(2)/2))/(LN(2)/2)*ER62*EU62*VLOOKUP('Données projet'!$B$15,Paramètres!$A$1:$I$89,3,0)*0.475*44/12</f>
        <v>8.6419663891105125E-4</v>
      </c>
      <c r="EY62" s="22">
        <f t="shared" si="21"/>
        <v>11.999902423298423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6.9</v>
      </c>
      <c r="FE62" s="12">
        <f>IF('Données projet'!$A$218&gt;35,FE61+FD62-FM61,IF(A62&lt;'Données projet'!$A$218,$FB$205^A62,IF(A62='Données projet'!$A$218,'Données projet'!$B$218,FE61+FD62-FM61)))</f>
        <v>271.09999999999997</v>
      </c>
      <c r="FF62" s="17">
        <f>FE62*VLOOKUP('Données projet'!$B$16,Paramètres!$A$1:$I$89,3,0)*VLOOKUP('Données projet'!$B$16,Paramètres!$A$1:$I$89,5,0)</f>
        <v>148.02059999999997</v>
      </c>
      <c r="FG62" s="13">
        <f t="shared" si="47"/>
        <v>38.128412690199248</v>
      </c>
      <c r="FH62" s="20">
        <f t="shared" si="22"/>
        <v>324.20953043543028</v>
      </c>
      <c r="FI62" s="59">
        <f t="shared" si="23"/>
        <v>617.5428637687636</v>
      </c>
      <c r="FJ62" s="59">
        <f ca="1">AVERAGE(OFFSET($FI$3,0,0,'Données projet'!$E$16+1,1))-AVERAGE(OFFSET($H$3,0,0,'Données projet'!$E$16+1,1))</f>
        <v>127.76128532861486</v>
      </c>
      <c r="FK62" s="59">
        <f t="shared" si="48"/>
        <v>157.52303491639736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>
        <f>EXP(-LN(2)/35)*FQ61+(1-EXP(-LN(2)/35))/(LN(2)/35)*FM62*FN62*VLOOKUP('Données projet'!$B$16,Paramètres!$A$1:$I$89,3,0)*0.475*44/12</f>
        <v>1.3703623653928525</v>
      </c>
      <c r="FR62" s="21">
        <f>EXP(-LN(2)/25)*FR61+(1-EXP(-LN(2)/25))/(LN(2)/25)*Calculateur!FM62*Calculateur!FO62*VLOOKUP('Données projet'!$B$16,Paramètres!$A$1:$I$89,3,0)*0.475*44/12</f>
        <v>7.303972756033434</v>
      </c>
      <c r="FS62" s="21">
        <f>EXP(-LN(2)/2)*FS61+(1-EXP(-LN(2)/2))/(LN(2)/2)*FM62*FP62*VLOOKUP('Données projet'!$B$16,Paramètres!$A$1:$I$89,3,0)*0.475*44/12</f>
        <v>6.8610459639161067E-4</v>
      </c>
      <c r="FT62" s="22">
        <f t="shared" si="24"/>
        <v>8.6750212260226789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5.9431089743589762</v>
      </c>
      <c r="N63" s="13">
        <f>IF('Données projet'!$A$36&gt;35,N62+M63-V62,IF(A63&lt;'Données projet'!$A$36,$K$205^A63,IF(A63='Données projet'!$A$36,'Données projet'!$B$36,N62+M63-V62)))</f>
        <v>126.25721153846153</v>
      </c>
      <c r="O63" s="13">
        <f>N63*VLOOKUP('Données projet'!$B$9,Paramètres!$A$1:$I$89,3,0)*VLOOKUP('Données projet'!$B$9,Paramètres!$A$1:$I$89,5,0)</f>
        <v>114.23752499999999</v>
      </c>
      <c r="P63" s="13">
        <f t="shared" si="33"/>
        <v>30.327171529636239</v>
      </c>
      <c r="Q63" s="20">
        <f t="shared" si="53"/>
        <v>251.78351312244976</v>
      </c>
      <c r="R63" s="59">
        <f t="shared" si="0"/>
        <v>545.11684645578305</v>
      </c>
      <c r="S63" s="59">
        <f ca="1">AVERAGE(OFFSET($R$3,0,0,'Données projet'!$E$9+1,1))-AVERAGE(OFFSET($H$3,0,0,'Données projet'!$E$9+1,1))</f>
        <v>153.45079678708987</v>
      </c>
      <c r="T63" s="59">
        <f t="shared" si="34"/>
        <v>115.4217868409637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0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0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162.32051282051282</v>
      </c>
      <c r="AG63" s="12">
        <f>VLOOKUP(A63,'Données projet'!$A$61:$I$81,9,0)</f>
        <v>3.5192307692307692</v>
      </c>
      <c r="AH63" s="12">
        <f t="array" ref="AH63">INDEX(AG:AG,MIN(IF(ISNUMBER(AG63:AG259),ROW(AG63:AG259),"")))</f>
        <v>3.5192307692307692</v>
      </c>
      <c r="AI63" s="13">
        <f>IF('Données projet'!$A$62&gt;35,AI62+AH63-AQ62,IF(A63&lt;'Données projet'!$A$62,$AF$205^A63,IF(A63='Données projet'!$A$62,'Données projet'!$B$62,AI62+AH63-AQ62)))</f>
        <v>162.32051282051293</v>
      </c>
      <c r="AJ63" s="13">
        <f>AI63*VLOOKUP('Données projet'!$B$10,Paramètres!$A$1:$I$89,3,0)*VLOOKUP('Données projet'!$B$10,Paramètres!$A$1:$I$89,5,0)</f>
        <v>146.8676000000001</v>
      </c>
      <c r="AK63" s="13">
        <f t="shared" si="35"/>
        <v>37.865864521168575</v>
      </c>
      <c r="AL63" s="20">
        <f t="shared" si="4"/>
        <v>321.74411737436884</v>
      </c>
      <c r="AM63" s="59">
        <f t="shared" si="5"/>
        <v>615.07745070770216</v>
      </c>
      <c r="AN63" s="59">
        <f ca="1">AVERAGE(OFFSET($AM$3,0,0,'Données projet'!$E$10+1,1))-AVERAGE(OFFSET($H$3,0,0,'Données projet'!$E$10+1,1))</f>
        <v>123.92486590666675</v>
      </c>
      <c r="AO63" s="59">
        <f t="shared" si="36"/>
        <v>54.404493017418986</v>
      </c>
      <c r="AP63" s="15">
        <f>IF(ISNA(VLOOKUP(A63,'Données projet'!$A$61:$I$81,3,0)),0,VLOOKUP(A63,'Données projet'!$A$61:$I$81,3,0))</f>
        <v>1</v>
      </c>
      <c r="AQ63" s="15">
        <f>IF(ISNA(VLOOKUP(A63,'Données projet'!$A$61:$I$81,4,0)),0,VLOOKUP(A63,'Données projet'!$A$61:$I$81,4,0))</f>
        <v>60.096153846153847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0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14.839560439560435</v>
      </c>
      <c r="BD63" s="12">
        <f>IF('Données projet'!$A$88&gt;35,BD62+BC63-BL62,IF(A63&lt;'Données projet'!$A$88,$BA$205^A63,IF(A63='Données projet'!$A$88,'Données projet'!$B$88,BD62+BC63-BL62)))</f>
        <v>411.19670329670333</v>
      </c>
      <c r="BE63" s="13">
        <f>BD63*VLOOKUP('Données projet'!$B$11,Paramètres!$A$1:$I$89,3,0)*VLOOKUP('Données projet'!$B$11,Paramètres!$A$1:$I$89,5,0)</f>
        <v>229.85895714285718</v>
      </c>
      <c r="BF63" s="13">
        <f t="shared" si="37"/>
        <v>56.252183679167004</v>
      </c>
      <c r="BG63" s="20">
        <f t="shared" si="7"/>
        <v>498.31023693169209</v>
      </c>
      <c r="BH63" s="59">
        <f t="shared" si="8"/>
        <v>791.64357026502535</v>
      </c>
      <c r="BI63" s="59">
        <f ca="1">AVERAGE(OFFSET($BH$3,0,0,'Données projet'!$E$11+1,1))-AVERAGE(OFFSET($H$3,0,0,'Données projet'!$E$11+1,1))</f>
        <v>224.7049802939942</v>
      </c>
      <c r="BJ63" s="59">
        <f t="shared" si="38"/>
        <v>203.48513862195352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1.23170046172287</v>
      </c>
      <c r="BQ63" s="21">
        <f>EXP(-LN(2)/25)*BQ62+(1-EXP(-LN(2)/25))/(LN(2)/25)*Calculateur!BL63*Calculateur!BN63*VLOOKUP('Données projet'!$B$11,Paramètres!$A$1:$I$89,3,0)*0.475*44/12</f>
        <v>8.4985442228525603</v>
      </c>
      <c r="BR63" s="21">
        <f>EXP(-LN(2)/2)*BR62+(1-EXP(-LN(2)/2))/(LN(2)/2)*BL63*BO63*VLOOKUP('Données projet'!$B$11,Paramètres!$A$1:$I$89,3,0)*0.475*44/12</f>
        <v>2.7345619479638686E-4</v>
      </c>
      <c r="BS63" s="22">
        <f t="shared" si="9"/>
        <v>9.7305181407702257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9.5646153846153847</v>
      </c>
      <c r="BY63" s="12">
        <f>IF('Données projet'!$A$114&gt;35,BY62+BX63-CG62,IF(A63&lt;'Données projet'!$A$114,$BV$205^A63,IF(A63='Données projet'!$A$114,'Données projet'!$B$114,BY62+BX63-CG62)))</f>
        <v>314.84769230769228</v>
      </c>
      <c r="BZ63" s="13">
        <f>BY63*VLOOKUP('Données projet'!$B$12,Paramètres!$A$1:$I$89,3,0)*VLOOKUP('Données projet'!$B$12,Paramètres!$A$1:$I$89,5,0)</f>
        <v>175.99986000000001</v>
      </c>
      <c r="CA63" s="13">
        <f t="shared" si="39"/>
        <v>44.43106803023948</v>
      </c>
      <c r="CB63" s="20">
        <f t="shared" si="10"/>
        <v>383.91719965266708</v>
      </c>
      <c r="CC63" s="59">
        <f t="shared" si="11"/>
        <v>677.25053298600039</v>
      </c>
      <c r="CD63" s="59">
        <f ca="1">AVERAGE(OFFSET($CC$3,0,0,'Données projet'!$E$12+1,1))-AVERAGE(OFFSET($H$3,0,0,'Données projet'!$E$12+1,1))</f>
        <v>190.08613104982993</v>
      </c>
      <c r="CE63" s="59">
        <f t="shared" si="40"/>
        <v>180.55054525447781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0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447</v>
      </c>
      <c r="CR63" s="12">
        <f>VLOOKUP(A63,'Données projet'!$A$139:$I$159,9,0)</f>
        <v>15.6</v>
      </c>
      <c r="CS63" s="12">
        <f t="array" ref="CS63">INDEX(CR:CR,MIN(IF(ISNUMBER(CR63:CR259),ROW(CR63:CR259),"")))</f>
        <v>15.6</v>
      </c>
      <c r="CT63" s="12">
        <f>IF('Données projet'!$A$140&gt;35,CT62+CS63-DB62,IF(A63&lt;'Données projet'!$A$140,$CQ$205^A63,IF(A63='Données projet'!$A$140,'Données projet'!$B$140,CT62+CS63-DB62)))</f>
        <v>447.00000000000006</v>
      </c>
      <c r="CU63" s="17">
        <f>CT63*VLOOKUP('Données projet'!$B$13,Paramètres!$A$1:$I$89,3,0)*VLOOKUP('Données projet'!$B$13,Paramètres!$A$1:$I$89,5,0)</f>
        <v>267.30600000000004</v>
      </c>
      <c r="CV63" s="13">
        <f t="shared" si="41"/>
        <v>64.27720124631206</v>
      </c>
      <c r="CW63" s="20">
        <f t="shared" si="13"/>
        <v>577.50740883732692</v>
      </c>
      <c r="CX63" s="59">
        <f t="shared" si="14"/>
        <v>870.84074217066018</v>
      </c>
      <c r="CY63" s="59">
        <f ca="1">AVERAGE(OFFSET($CX$3,0,0,'Données projet'!$E$13+1,1))-AVERAGE(OFFSET($H$3,0,0,'Données projet'!$E$13+1,1))</f>
        <v>270.30888762640245</v>
      </c>
      <c r="CZ63" s="59">
        <f t="shared" si="42"/>
        <v>202.23783851977691</v>
      </c>
      <c r="DA63" s="15">
        <f>IF(ISNA(VLOOKUP(A63,'Données projet'!$A$139:$I$159,3,0)),0,VLOOKUP(A63,'Données projet'!$A$139:$I$159,3,0))</f>
        <v>5</v>
      </c>
      <c r="DB63" s="15">
        <f>IF(ISNA(VLOOKUP(A63,'Données projet'!$A$139:$I$159,4,0)),0,VLOOKUP(A63,'Données projet'!$A$139:$I$159,4,0))</f>
        <v>90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1.1824086386731465</v>
      </c>
      <c r="DG63" s="21">
        <f>EXP(-LN(2)/25)*DG62+(1-EXP(-LN(2)/25))/(LN(2)/25)*Calculateur!DB63*Calculateur!DD63*VLOOKUP('Données projet'!$B$13,Paramètres!$A$1:$I$89,3,0)*0.475*44/12</f>
        <v>5.3518002000936438</v>
      </c>
      <c r="DH63" s="21">
        <f>EXP(-LN(2)/2)*DH62+(1-EXP(-LN(2)/2))/(LN(2)/2)*DB63*DE63*VLOOKUP('Données projet'!$B$13,Paramètres!$A$1:$I$89,3,0)*0.475*44/12</f>
        <v>5.6434962727241772E-4</v>
      </c>
      <c r="DI63" s="22">
        <f t="shared" si="15"/>
        <v>6.5347731883940634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projet'!$A$165:$I$185,2,0)</f>
        <v>380</v>
      </c>
      <c r="DM63" s="12">
        <f>VLOOKUP(A63,'Données projet'!$A$165:$I$185,9,0)</f>
        <v>13</v>
      </c>
      <c r="DN63" s="12">
        <f t="array" ref="DN63">INDEX(DM:DM,MIN(IF(ISNUMBER(DM63:DM259),ROW(DM63:DM259),"")))</f>
        <v>13</v>
      </c>
      <c r="DO63" s="12">
        <f>IF('Données projet'!$A$166&gt;35,DO62+DN63-DW62,IF(A63&lt;'Données projet'!$A$166,$DL$205^A63,IF(A63='Données projet'!$A$166,'Données projet'!$B$166,DO62+DN63-DW62)))</f>
        <v>380</v>
      </c>
      <c r="DP63" s="17">
        <f>DO63*VLOOKUP('Données projet'!$B$14,Paramètres!$A$1:$I$89,3,0)*VLOOKUP('Données projet'!$B$14,Paramètres!$A$1:$I$89,5,0)</f>
        <v>227.24</v>
      </c>
      <c r="DQ63" s="13">
        <f t="shared" si="43"/>
        <v>55.685486340484204</v>
      </c>
      <c r="DR63" s="20">
        <f t="shared" si="16"/>
        <v>492.76188870967667</v>
      </c>
      <c r="DS63" s="59">
        <f t="shared" si="17"/>
        <v>786.09522204300993</v>
      </c>
      <c r="DT63" s="59">
        <f ca="1">AVERAGE(OFFSET($DS$3,0,0,'Données projet'!$E$14+1,1))-AVERAGE(OFFSET($H$3,0,0,'Données projet'!$E$14+1,1))</f>
        <v>221.14988592347311</v>
      </c>
      <c r="DU63" s="59">
        <f t="shared" si="44"/>
        <v>179.09262081171607</v>
      </c>
      <c r="DV63" s="15">
        <f>IF(ISNA(VLOOKUP(A63,'Données projet'!$A$165:$I$185,3,0)),0,VLOOKUP(A63,'Données projet'!$A$165:$I$185,3,0))</f>
        <v>4</v>
      </c>
      <c r="DW63" s="15">
        <f>IF(ISNA(VLOOKUP(A63,'Données projet'!$A$165:$I$185,4,0)),0,VLOOKUP(A63,'Données projet'!$A$165:$I$185,4,0))</f>
        <v>72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1.2612358812513558</v>
      </c>
      <c r="EB63" s="21">
        <f>EXP(-LN(2)/25)*EB62+(1-EXP(-LN(2)/25))/(LN(2)/25)*Calculateur!DW63*Calculateur!DY63*VLOOKUP('Données projet'!$B$14,Paramètres!$A$1:$I$89,3,0)*0.475*44/12</f>
        <v>4.4574367465863416</v>
      </c>
      <c r="EC63" s="21">
        <f>EXP(-LN(2)/2)*EC62+(1-EXP(-LN(2)/2))/(LN(2)/2)*DW63*DZ63*VLOOKUP('Données projet'!$B$14,Paramètres!$A$1:$I$89,3,0)*0.475*44/12</f>
        <v>5.9508537356322676E-4</v>
      </c>
      <c r="ED63" s="22">
        <f t="shared" si="18"/>
        <v>5.7192677132112602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>
        <f>VLOOKUP(A63,'Données projet'!$A$191:$I$211,2,0)</f>
        <v>329</v>
      </c>
      <c r="EH63" s="12">
        <f>VLOOKUP(A63,'Données projet'!$A$191:$I$211,9,0)</f>
        <v>8.1999999999999993</v>
      </c>
      <c r="EI63" s="12">
        <f t="array" ref="EI63">INDEX(EH:EH,MIN(IF(ISNUMBER(EH63:EH259),ROW(EH63:EH259),"")))</f>
        <v>8.1999999999999993</v>
      </c>
      <c r="EJ63" s="12">
        <f>IF('Données projet'!$A$192&gt;35,EJ62+EI63-ER62,IF(A63&lt;'Données projet'!$A$192,$EG$205^A63,IF(A63='Données projet'!$A$192,'Données projet'!$B$192,EJ62+EI63-ER62)))</f>
        <v>328.99999999999977</v>
      </c>
      <c r="EK63" s="17">
        <f>EJ63*VLOOKUP('Données projet'!$B$15,Paramètres!$A$1:$I$89,3,0)*VLOOKUP('Données projet'!$B$15,Paramètres!$A$1:$I$89,5,0)</f>
        <v>179.63399999999987</v>
      </c>
      <c r="EL63" s="13">
        <f t="shared" si="45"/>
        <v>45.240748266194686</v>
      </c>
      <c r="EM63" s="20">
        <f t="shared" si="19"/>
        <v>391.65685323028885</v>
      </c>
      <c r="EN63" s="59">
        <f t="shared" si="20"/>
        <v>684.99018656362216</v>
      </c>
      <c r="EO63" s="59">
        <f ca="1">AVERAGE(OFFSET($EN$3,0,0,'Données projet'!$E$15+1,1))-AVERAGE(OFFSET($H$3,0,0,'Données projet'!$E$15+1,1))</f>
        <v>168.72306536277267</v>
      </c>
      <c r="EP63" s="59">
        <f t="shared" si="46"/>
        <v>203.35476578922339</v>
      </c>
      <c r="EQ63" s="15">
        <f>IF(ISNA(VLOOKUP(A63,'Données projet'!$A$191:$I$211,3,0)),0,VLOOKUP(A63,'Données projet'!$A$191:$I$211,3,0))</f>
        <v>5</v>
      </c>
      <c r="ER63" s="15">
        <f>IF(ISNA(VLOOKUP(A63,'Données projet'!$A$191:$I$211,4,0)),0,VLOOKUP(A63,'Données projet'!$A$191:$I$211,4,0))</f>
        <v>46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1.6793629940575119</v>
      </c>
      <c r="EW63" s="21">
        <f>EXP(-LN(2)/25)*EW62+(1-EXP(-LN(2)/25))/(LN(2)/25)*Calculateur!ER63*Calculateur!ET63*VLOOKUP('Données projet'!$B$15,Paramètres!$A$1:$I$89,3,0)*0.475*44/12</f>
        <v>10.004811727290809</v>
      </c>
      <c r="EX63" s="21">
        <f>EXP(-LN(2)/2)*EX62+(1-EXP(-LN(2)/2))/(LN(2)/2)*ER63*EU63*VLOOKUP('Données projet'!$B$15,Paramètres!$A$1:$I$89,3,0)*0.475*44/12</f>
        <v>6.1107930365262653E-4</v>
      </c>
      <c r="EY63" s="22">
        <f t="shared" si="21"/>
        <v>11.684785800651973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>
        <f>VLOOKUP(A63,'Données projet'!$A$217:$I$237,2,0)</f>
        <v>278</v>
      </c>
      <c r="FC63" s="12">
        <f>VLOOKUP(A63,'Données projet'!$A$217:$I$237,9,0)</f>
        <v>6.9</v>
      </c>
      <c r="FD63" s="12">
        <f t="array" ref="FD63">INDEX(FC:FC,MIN(IF(ISNUMBER(FC63:FC259),ROW(FC63:FC259),"")))</f>
        <v>6.9</v>
      </c>
      <c r="FE63" s="12">
        <f>IF('Données projet'!$A$218&gt;35,FE62+FD63-FM62,IF(A63&lt;'Données projet'!$A$218,$FB$205^A63,IF(A63='Données projet'!$A$218,'Données projet'!$B$218,FE62+FD63-FM62)))</f>
        <v>277.99999999999994</v>
      </c>
      <c r="FF63" s="17">
        <f>FE63*VLOOKUP('Données projet'!$B$16,Paramètres!$A$1:$I$89,3,0)*VLOOKUP('Données projet'!$B$16,Paramètres!$A$1:$I$89,5,0)</f>
        <v>151.78799999999998</v>
      </c>
      <c r="FG63" s="13">
        <f t="shared" si="47"/>
        <v>38.984634390835623</v>
      </c>
      <c r="FH63" s="20">
        <f t="shared" si="22"/>
        <v>332.26233823070532</v>
      </c>
      <c r="FI63" s="59">
        <f t="shared" si="23"/>
        <v>625.59567156403864</v>
      </c>
      <c r="FJ63" s="59">
        <f ca="1">AVERAGE(OFFSET($FI$3,0,0,'Données projet'!$E$16+1,1))-AVERAGE(OFFSET($H$3,0,0,'Données projet'!$E$16+1,1))</f>
        <v>127.76128532861486</v>
      </c>
      <c r="FK63" s="59">
        <f t="shared" si="48"/>
        <v>157.52303491639736</v>
      </c>
      <c r="FL63" s="15">
        <f>IF(ISNA(VLOOKUP(A63,'Données projet'!$A$217:$I$237,3,0)),0,VLOOKUP(A63,'Données projet'!$A$217:$I$237,3,0))</f>
        <v>5</v>
      </c>
      <c r="FM63" s="15">
        <f>IF(ISNA(VLOOKUP(A63,'Données projet'!$A$217:$I$237,4,0)),0,VLOOKUP(A63,'Données projet'!$A$217:$I$237,4,0))</f>
        <v>36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>
        <f>EXP(-LN(2)/35)*FQ62+(1-EXP(-LN(2)/35))/(LN(2)/35)*FM63*FN63*VLOOKUP('Données projet'!$B$16,Paramètres!$A$1:$I$89,3,0)*0.475*44/12</f>
        <v>1.3434903952460093</v>
      </c>
      <c r="FR63" s="21">
        <f>EXP(-LN(2)/25)*FR62+(1-EXP(-LN(2)/25))/(LN(2)/25)*Calculateur!FM63*Calculateur!FO63*VLOOKUP('Données projet'!$B$16,Paramètres!$A$1:$I$89,3,0)*0.475*44/12</f>
        <v>7.1042452369204661</v>
      </c>
      <c r="FS63" s="21">
        <f>EXP(-LN(2)/2)*FS62+(1-EXP(-LN(2)/2))/(LN(2)/2)*FM63*FP63*VLOOKUP('Données projet'!$B$16,Paramètres!$A$1:$I$89,3,0)*0.475*44/12</f>
        <v>4.8514921271176719E-4</v>
      </c>
      <c r="FT63" s="22">
        <f t="shared" si="24"/>
        <v>8.4482207813791863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5.9431089743589762</v>
      </c>
      <c r="N64" s="13">
        <f>IF('Données projet'!$A$36&gt;35,N63+M64-V63,IF(A64&lt;'Données projet'!$A$36,$K$205^A64,IF(A64='Données projet'!$A$36,'Données projet'!$B$36,N63+M64-V63)))</f>
        <v>132.2003205128205</v>
      </c>
      <c r="O64" s="13">
        <f>N64*VLOOKUP('Données projet'!$B$9,Paramètres!$A$1:$I$89,3,0)*VLOOKUP('Données projet'!$B$9,Paramètres!$A$1:$I$89,5,0)</f>
        <v>119.61484999999999</v>
      </c>
      <c r="P64" s="13">
        <f t="shared" si="33"/>
        <v>31.585152581402479</v>
      </c>
      <c r="Q64" s="20">
        <f t="shared" si="53"/>
        <v>263.34000449594265</v>
      </c>
      <c r="R64" s="59">
        <f t="shared" si="0"/>
        <v>556.67333782927597</v>
      </c>
      <c r="S64" s="59">
        <f ca="1">AVERAGE(OFFSET($R$3,0,0,'Données projet'!$E$9+1,1))-AVERAGE(OFFSET($H$3,0,0,'Données projet'!$E$9+1,1))</f>
        <v>153.45079678708987</v>
      </c>
      <c r="T64" s="59">
        <f t="shared" si="34"/>
        <v>115.4217868409637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0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0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4.8774928774928759</v>
      </c>
      <c r="AI64" s="13">
        <f>IF('Données projet'!$A$62&gt;35,AI63+AH64-AQ63,IF(A64&lt;'Données projet'!$A$62,$AF$205^A64,IF(A64='Données projet'!$A$62,'Données projet'!$B$62,AI63+AH64-AQ63)))</f>
        <v>107.10185185185196</v>
      </c>
      <c r="AJ64" s="13">
        <f>AI64*VLOOKUP('Données projet'!$B$10,Paramètres!$A$1:$I$89,3,0)*VLOOKUP('Données projet'!$B$10,Paramètres!$A$1:$I$89,5,0)</f>
        <v>96.905755555555658</v>
      </c>
      <c r="AK64" s="13">
        <f t="shared" si="35"/>
        <v>26.223493420175103</v>
      </c>
      <c r="AL64" s="20">
        <f t="shared" si="4"/>
        <v>214.45010863273106</v>
      </c>
      <c r="AM64" s="59">
        <f t="shared" si="5"/>
        <v>507.7834419660644</v>
      </c>
      <c r="AN64" s="59">
        <f ca="1">AVERAGE(OFFSET($AM$3,0,0,'Données projet'!$E$10+1,1))-AVERAGE(OFFSET($H$3,0,0,'Données projet'!$E$10+1,1))</f>
        <v>123.92486590666675</v>
      </c>
      <c r="AO64" s="59">
        <f t="shared" si="36"/>
        <v>54.404493017418986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0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14.839560439560435</v>
      </c>
      <c r="BD64" s="12">
        <f>IF('Données projet'!$A$88&gt;35,BD63+BC64-BL63,IF(A64&lt;'Données projet'!$A$88,$BA$205^A64,IF(A64='Données projet'!$A$88,'Données projet'!$B$88,BD63+BC64-BL63)))</f>
        <v>426.03626373626378</v>
      </c>
      <c r="BE64" s="13">
        <f>BD64*VLOOKUP('Données projet'!$B$11,Paramètres!$A$1:$I$89,3,0)*VLOOKUP('Données projet'!$B$11,Paramètres!$A$1:$I$89,5,0)</f>
        <v>238.15427142857146</v>
      </c>
      <c r="BF64" s="13">
        <f t="shared" si="37"/>
        <v>58.042234732541061</v>
      </c>
      <c r="BG64" s="20">
        <f t="shared" si="7"/>
        <v>515.87558156393777</v>
      </c>
      <c r="BH64" s="59">
        <f t="shared" si="8"/>
        <v>809.20891489727114</v>
      </c>
      <c r="BI64" s="59">
        <f ca="1">AVERAGE(OFFSET($BH$3,0,0,'Données projet'!$E$11+1,1))-AVERAGE(OFFSET($H$3,0,0,'Données projet'!$E$11+1,1))</f>
        <v>224.7049802939942</v>
      </c>
      <c r="BJ64" s="59">
        <f t="shared" si="38"/>
        <v>203.48513862195352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1.2075475669315852</v>
      </c>
      <c r="BQ64" s="21">
        <f>EXP(-LN(2)/25)*BQ63+(1-EXP(-LN(2)/25))/(LN(2)/25)*Calculateur!BL64*Calculateur!BN64*VLOOKUP('Données projet'!$B$11,Paramètres!$A$1:$I$89,3,0)*0.475*44/12</f>
        <v>8.26615108415964</v>
      </c>
      <c r="BR64" s="21">
        <f>EXP(-LN(2)/2)*BR63+(1-EXP(-LN(2)/2))/(LN(2)/2)*BL64*BO64*VLOOKUP('Données projet'!$B$11,Paramètres!$A$1:$I$89,3,0)*0.475*44/12</f>
        <v>1.9336272969799464E-4</v>
      </c>
      <c r="BS64" s="22">
        <f t="shared" si="9"/>
        <v>9.4738920138209242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9.5646153846153847</v>
      </c>
      <c r="BY64" s="12">
        <f>IF('Données projet'!$A$114&gt;35,BY63+BX64-CG63,IF(A64&lt;'Données projet'!$A$114,$BV$205^A64,IF(A64='Données projet'!$A$114,'Données projet'!$B$114,BY63+BX64-CG63)))</f>
        <v>324.41230769230765</v>
      </c>
      <c r="BZ64" s="13">
        <f>BY64*VLOOKUP('Données projet'!$B$12,Paramètres!$A$1:$I$89,3,0)*VLOOKUP('Données projet'!$B$12,Paramètres!$A$1:$I$89,5,0)</f>
        <v>181.34647999999996</v>
      </c>
      <c r="CA64" s="13">
        <f t="shared" si="39"/>
        <v>45.62162310071988</v>
      </c>
      <c r="CB64" s="20">
        <f t="shared" si="10"/>
        <v>395.30277956708704</v>
      </c>
      <c r="CC64" s="59">
        <f t="shared" si="11"/>
        <v>688.63611290042036</v>
      </c>
      <c r="CD64" s="59">
        <f ca="1">AVERAGE(OFFSET($CC$3,0,0,'Données projet'!$E$12+1,1))-AVERAGE(OFFSET($H$3,0,0,'Données projet'!$E$12+1,1))</f>
        <v>190.08613104982993</v>
      </c>
      <c r="CE64" s="59">
        <f t="shared" si="40"/>
        <v>180.55054525447781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0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14.1</v>
      </c>
      <c r="CT64" s="12">
        <f>IF('Données projet'!$A$140&gt;35,CT63+CS64-DB63,IF(A64&lt;'Données projet'!$A$140,$CQ$205^A64,IF(A64='Données projet'!$A$140,'Données projet'!$B$140,CT63+CS64-DB63)))</f>
        <v>371.10000000000008</v>
      </c>
      <c r="CU64" s="17">
        <f>CT64*VLOOKUP('Données projet'!$B$13,Paramètres!$A$1:$I$89,3,0)*VLOOKUP('Données projet'!$B$13,Paramètres!$A$1:$I$89,5,0)</f>
        <v>221.91780000000006</v>
      </c>
      <c r="CV64" s="13">
        <f t="shared" si="41"/>
        <v>54.531499284124365</v>
      </c>
      <c r="CW64" s="20">
        <f t="shared" si="13"/>
        <v>481.4825295865167</v>
      </c>
      <c r="CX64" s="59">
        <f t="shared" si="14"/>
        <v>774.81586291985002</v>
      </c>
      <c r="CY64" s="59">
        <f ca="1">AVERAGE(OFFSET($CX$3,0,0,'Données projet'!$E$13+1,1))-AVERAGE(OFFSET($H$3,0,0,'Données projet'!$E$13+1,1))</f>
        <v>270.30888762640245</v>
      </c>
      <c r="CZ64" s="59">
        <f t="shared" si="42"/>
        <v>202.23783851977691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1.1592223264668233</v>
      </c>
      <c r="DG64" s="21">
        <f>EXP(-LN(2)/25)*DG63+(1-EXP(-LN(2)/25))/(LN(2)/25)*Calculateur!DB64*Calculateur!DD64*VLOOKUP('Données projet'!$B$13,Paramètres!$A$1:$I$89,3,0)*0.475*44/12</f>
        <v>5.2054549421831426</v>
      </c>
      <c r="DH64" s="21">
        <f>EXP(-LN(2)/2)*DH63+(1-EXP(-LN(2)/2))/(LN(2)/2)*DB64*DE64*VLOOKUP('Données projet'!$B$13,Paramètres!$A$1:$I$89,3,0)*0.475*44/12</f>
        <v>3.9905544840442714E-4</v>
      </c>
      <c r="DI64" s="22">
        <f t="shared" si="15"/>
        <v>6.3650763240983705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11.8</v>
      </c>
      <c r="DO64" s="12">
        <f>IF('Données projet'!$A$166&gt;35,DO63+DN64-DW63,IF(A64&lt;'Données projet'!$A$166,$DL$205^A64,IF(A64='Données projet'!$A$166,'Données projet'!$B$166,DO63+DN64-DW63)))</f>
        <v>319.8</v>
      </c>
      <c r="DP64" s="17">
        <f>DO64*VLOOKUP('Données projet'!$B$14,Paramètres!$A$1:$I$89,3,0)*VLOOKUP('Données projet'!$B$14,Paramètres!$A$1:$I$89,5,0)</f>
        <v>191.24040000000002</v>
      </c>
      <c r="DQ64" s="13">
        <f t="shared" si="43"/>
        <v>47.814083735383463</v>
      </c>
      <c r="DR64" s="20">
        <f t="shared" si="16"/>
        <v>416.3532258391262</v>
      </c>
      <c r="DS64" s="59">
        <f t="shared" si="17"/>
        <v>709.68655917245951</v>
      </c>
      <c r="DT64" s="59">
        <f ca="1">AVERAGE(OFFSET($DS$3,0,0,'Données projet'!$E$14+1,1))-AVERAGE(OFFSET($H$3,0,0,'Données projet'!$E$14+1,1))</f>
        <v>221.14988592347311</v>
      </c>
      <c r="DU64" s="59">
        <f t="shared" si="44"/>
        <v>179.09262081171607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1.2365038148979444</v>
      </c>
      <c r="EB64" s="21">
        <f>EXP(-LN(2)/25)*EB63+(1-EXP(-LN(2)/25))/(LN(2)/25)*Calculateur!DW64*Calculateur!DY64*VLOOKUP('Données projet'!$B$14,Paramètres!$A$1:$I$89,3,0)*0.475*44/12</f>
        <v>4.3355479043445273</v>
      </c>
      <c r="EC64" s="21">
        <f>EXP(-LN(2)/2)*EC63+(1-EXP(-LN(2)/2))/(LN(2)/2)*DW64*DZ64*VLOOKUP('Données projet'!$B$14,Paramètres!$A$1:$I$89,3,0)*0.475*44/12</f>
        <v>4.2078890303148749E-4</v>
      </c>
      <c r="ED64" s="22">
        <f t="shared" si="18"/>
        <v>5.5724725081455038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7.1</v>
      </c>
      <c r="EJ64" s="12">
        <f>IF('Données projet'!$A$192&gt;35,EJ63+EI64-ER63,IF(A64&lt;'Données projet'!$A$192,$EG$205^A64,IF(A64='Données projet'!$A$192,'Données projet'!$B$192,EJ63+EI64-ER63)))</f>
        <v>290.0999999999998</v>
      </c>
      <c r="EK64" s="17">
        <f>EJ64*VLOOKUP('Données projet'!$B$15,Paramètres!$A$1:$I$89,3,0)*VLOOKUP('Données projet'!$B$15,Paramètres!$A$1:$I$89,5,0)</f>
        <v>158.39459999999988</v>
      </c>
      <c r="EL64" s="13">
        <f t="shared" si="45"/>
        <v>40.480200706834822</v>
      </c>
      <c r="EM64" s="20">
        <f t="shared" si="19"/>
        <v>346.37361123107047</v>
      </c>
      <c r="EN64" s="59">
        <f t="shared" si="20"/>
        <v>639.70694456440378</v>
      </c>
      <c r="EO64" s="59">
        <f ca="1">AVERAGE(OFFSET($EN$3,0,0,'Données projet'!$E$15+1,1))-AVERAGE(OFFSET($H$3,0,0,'Données projet'!$E$15+1,1))</f>
        <v>168.72306536277267</v>
      </c>
      <c r="EP64" s="59">
        <f t="shared" si="46"/>
        <v>203.35476578922339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1.6464317100543282</v>
      </c>
      <c r="EW64" s="21">
        <f>EXP(-LN(2)/25)*EW63+(1-EXP(-LN(2)/25))/(LN(2)/25)*Calculateur!ER64*Calculateur!ET64*VLOOKUP('Données projet'!$B$15,Paramètres!$A$1:$I$89,3,0)*0.475*44/12</f>
        <v>9.7312296244778587</v>
      </c>
      <c r="EX64" s="21">
        <f>EXP(-LN(2)/2)*EX63+(1-EXP(-LN(2)/2))/(LN(2)/2)*ER64*EU64*VLOOKUP('Données projet'!$B$15,Paramètres!$A$1:$I$89,3,0)*0.475*44/12</f>
        <v>4.3209831945552563E-4</v>
      </c>
      <c r="EY64" s="22">
        <f t="shared" si="21"/>
        <v>11.378093432851642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5.6</v>
      </c>
      <c r="FE64" s="12">
        <f>IF('Données projet'!$A$218&gt;35,FE63+FD64-FM63,IF(A64&lt;'Données projet'!$A$218,$FB$205^A64,IF(A64='Données projet'!$A$218,'Données projet'!$B$218,FE63+FD64-FM63)))</f>
        <v>247.59999999999997</v>
      </c>
      <c r="FF64" s="17">
        <f>FE64*VLOOKUP('Données projet'!$B$16,Paramètres!$A$1:$I$89,3,0)*VLOOKUP('Données projet'!$B$16,Paramètres!$A$1:$I$89,5,0)</f>
        <v>135.18959999999998</v>
      </c>
      <c r="FG64" s="13">
        <f t="shared" si="47"/>
        <v>35.192777986644984</v>
      </c>
      <c r="FH64" s="20">
        <f t="shared" si="22"/>
        <v>296.74930832673999</v>
      </c>
      <c r="FI64" s="59">
        <f t="shared" si="23"/>
        <v>590.08264166007325</v>
      </c>
      <c r="FJ64" s="59">
        <f ca="1">AVERAGE(OFFSET($FI$3,0,0,'Données projet'!$E$16+1,1))-AVERAGE(OFFSET($H$3,0,0,'Données projet'!$E$16+1,1))</f>
        <v>127.76128532861486</v>
      </c>
      <c r="FK64" s="59">
        <f t="shared" si="48"/>
        <v>157.52303491639736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>
        <f>EXP(-LN(2)/35)*FQ63+(1-EXP(-LN(2)/35))/(LN(2)/35)*FM64*FN64*VLOOKUP('Données projet'!$B$16,Paramètres!$A$1:$I$89,3,0)*0.475*44/12</f>
        <v>1.3171453680434624</v>
      </c>
      <c r="FR64" s="21">
        <f>EXP(-LN(2)/25)*FR63+(1-EXP(-LN(2)/25))/(LN(2)/25)*Calculateur!FM64*Calculateur!FO64*VLOOKUP('Données projet'!$B$16,Paramètres!$A$1:$I$89,3,0)*0.475*44/12</f>
        <v>6.9099792773208559</v>
      </c>
      <c r="FS64" s="21">
        <f>EXP(-LN(2)/2)*FS63+(1-EXP(-LN(2)/2))/(LN(2)/2)*FM64*FP64*VLOOKUP('Données projet'!$B$16,Paramètres!$A$1:$I$89,3,0)*0.475*44/12</f>
        <v>3.4305229819580539E-4</v>
      </c>
      <c r="FT64" s="22">
        <f t="shared" si="24"/>
        <v>8.2274676976625134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5.9431089743589762</v>
      </c>
      <c r="N65" s="13">
        <f>IF('Données projet'!$A$36&gt;35,N64+M65-V64,IF(A65&lt;'Données projet'!$A$36,$K$205^A65,IF(A65='Données projet'!$A$36,'Données projet'!$B$36,N64+M65-V64)))</f>
        <v>138.14342948717947</v>
      </c>
      <c r="O65" s="13">
        <f>N65*VLOOKUP('Données projet'!$B$9,Paramètres!$A$1:$I$89,3,0)*VLOOKUP('Données projet'!$B$9,Paramètres!$A$1:$I$89,5,0)</f>
        <v>124.99217499999997</v>
      </c>
      <c r="P65" s="13">
        <f t="shared" si="33"/>
        <v>32.836565726562206</v>
      </c>
      <c r="Q65" s="20">
        <f t="shared" si="53"/>
        <v>274.88505676542917</v>
      </c>
      <c r="R65" s="59">
        <f t="shared" si="0"/>
        <v>568.21839009876248</v>
      </c>
      <c r="S65" s="59">
        <f ca="1">AVERAGE(OFFSET($R$3,0,0,'Données projet'!$E$9+1,1))-AVERAGE(OFFSET($H$3,0,0,'Données projet'!$E$9+1,1))</f>
        <v>153.45079678708987</v>
      </c>
      <c r="T65" s="59">
        <f t="shared" si="34"/>
        <v>115.4217868409637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0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0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4.8774928774928759</v>
      </c>
      <c r="AI65" s="13">
        <f>IF('Données projet'!$A$62&gt;35,AI64+AH65-AQ64,IF(A65&lt;'Données projet'!$A$62,$AF$205^A65,IF(A65='Données projet'!$A$62,'Données projet'!$B$62,AI64+AH65-AQ64)))</f>
        <v>111.97934472934483</v>
      </c>
      <c r="AJ65" s="13">
        <f>AI65*VLOOKUP('Données projet'!$B$10,Paramètres!$A$1:$I$89,3,0)*VLOOKUP('Données projet'!$B$10,Paramètres!$A$1:$I$89,5,0)</f>
        <v>101.31891111111121</v>
      </c>
      <c r="AK65" s="13">
        <f t="shared" si="35"/>
        <v>27.275969917437845</v>
      </c>
      <c r="AL65" s="20">
        <f t="shared" si="4"/>
        <v>223.96941779138959</v>
      </c>
      <c r="AM65" s="59">
        <f t="shared" si="5"/>
        <v>517.30275112472293</v>
      </c>
      <c r="AN65" s="59">
        <f ca="1">AVERAGE(OFFSET($AM$3,0,0,'Données projet'!$E$10+1,1))-AVERAGE(OFFSET($H$3,0,0,'Données projet'!$E$10+1,1))</f>
        <v>123.92486590666675</v>
      </c>
      <c r="AO65" s="59">
        <f t="shared" si="36"/>
        <v>54.404493017418986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0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14.839560439560435</v>
      </c>
      <c r="BD65" s="12">
        <f>IF('Données projet'!$A$88&gt;35,BD64+BC65-BL64,IF(A65&lt;'Données projet'!$A$88,$BA$205^A65,IF(A65='Données projet'!$A$88,'Données projet'!$B$88,BD64+BC65-BL64)))</f>
        <v>440.87582417582422</v>
      </c>
      <c r="BE65" s="13">
        <f>BD65*VLOOKUP('Données projet'!$B$11,Paramètres!$A$1:$I$89,3,0)*VLOOKUP('Données projet'!$B$11,Paramètres!$A$1:$I$89,5,0)</f>
        <v>246.44958571428575</v>
      </c>
      <c r="BF65" s="13">
        <f t="shared" si="37"/>
        <v>59.825041333918982</v>
      </c>
      <c r="BG65" s="20">
        <f t="shared" si="7"/>
        <v>533.42830877562324</v>
      </c>
      <c r="BH65" s="59">
        <f t="shared" si="8"/>
        <v>826.76164210895649</v>
      </c>
      <c r="BI65" s="59">
        <f ca="1">AVERAGE(OFFSET($BH$3,0,0,'Données projet'!$E$11+1,1))-AVERAGE(OFFSET($H$3,0,0,'Données projet'!$E$11+1,1))</f>
        <v>224.7049802939942</v>
      </c>
      <c r="BJ65" s="59">
        <f t="shared" si="38"/>
        <v>203.48513862195352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1.1838682956753461</v>
      </c>
      <c r="BQ65" s="21">
        <f>EXP(-LN(2)/25)*BQ64+(1-EXP(-LN(2)/25))/(LN(2)/25)*Calculateur!BL65*Calculateur!BN65*VLOOKUP('Données projet'!$B$11,Paramètres!$A$1:$I$89,3,0)*0.475*44/12</f>
        <v>8.040112748065301</v>
      </c>
      <c r="BR65" s="21">
        <f>EXP(-LN(2)/2)*BR64+(1-EXP(-LN(2)/2))/(LN(2)/2)*BL65*BO65*VLOOKUP('Données projet'!$B$11,Paramètres!$A$1:$I$89,3,0)*0.475*44/12</f>
        <v>1.3672809739819343E-4</v>
      </c>
      <c r="BS65" s="22">
        <f t="shared" si="9"/>
        <v>9.2241177718380456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>
        <f>VLOOKUP(A65,'Données projet'!$A$113:$I$133,2,0)</f>
        <v>333.97692307692307</v>
      </c>
      <c r="BW65" s="12">
        <f>VLOOKUP(A65,'Données projet'!$A$113:$I$133,9,0)</f>
        <v>9.5646153846153847</v>
      </c>
      <c r="BX65" s="12">
        <f t="array" ref="BX65">INDEX(BW:BW,MIN(IF(ISNUMBER(BW65:BW261),ROW(BW65:BW261),"")))</f>
        <v>9.5646153846153847</v>
      </c>
      <c r="BY65" s="12">
        <f>IF('Données projet'!$A$114&gt;35,BY64+BX65-CG64,IF(A65&lt;'Données projet'!$A$114,$BV$205^A65,IF(A65='Données projet'!$A$114,'Données projet'!$B$114,BY64+BX65-CG64)))</f>
        <v>333.97692307692301</v>
      </c>
      <c r="BZ65" s="13">
        <f>BY65*VLOOKUP('Données projet'!$B$12,Paramètres!$A$1:$I$89,3,0)*VLOOKUP('Données projet'!$B$12,Paramètres!$A$1:$I$89,5,0)</f>
        <v>186.69309999999996</v>
      </c>
      <c r="CA65" s="13">
        <f t="shared" si="39"/>
        <v>46.808098791340576</v>
      </c>
      <c r="CB65" s="20">
        <f t="shared" si="10"/>
        <v>406.68125456158469</v>
      </c>
      <c r="CC65" s="59">
        <f t="shared" si="11"/>
        <v>700.01458789491801</v>
      </c>
      <c r="CD65" s="59">
        <f ca="1">AVERAGE(OFFSET($CC$3,0,0,'Données projet'!$E$12+1,1))-AVERAGE(OFFSET($H$3,0,0,'Données projet'!$E$12+1,1))</f>
        <v>190.08613104982993</v>
      </c>
      <c r="CE65" s="59">
        <f t="shared" si="40"/>
        <v>180.55054525447781</v>
      </c>
      <c r="CF65" s="15">
        <f>IF(ISNA(VLOOKUP(A65,'Données projet'!$A$113:$I$133,3,0)),0,VLOOKUP(A65,'Données projet'!$A$113:$I$133,3,0))</f>
        <v>4</v>
      </c>
      <c r="CG65" s="15">
        <f>IF(ISNA(VLOOKUP(A65,'Données projet'!$A$113:$I$133,4,0)),0,VLOOKUP(A65,'Données projet'!$A$113:$I$133,4,0))</f>
        <v>53.707692307692298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0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14.1</v>
      </c>
      <c r="CT65" s="12">
        <f>IF('Données projet'!$A$140&gt;35,CT64+CS65-DB64,IF(A65&lt;'Données projet'!$A$140,$CQ$205^A65,IF(A65='Données projet'!$A$140,'Données projet'!$B$140,CT64+CS65-DB64)))</f>
        <v>385.2000000000001</v>
      </c>
      <c r="CU65" s="17">
        <f>CT65*VLOOKUP('Données projet'!$B$13,Paramètres!$A$1:$I$89,3,0)*VLOOKUP('Données projet'!$B$13,Paramètres!$A$1:$I$89,5,0)</f>
        <v>230.34960000000009</v>
      </c>
      <c r="CV65" s="13">
        <f t="shared" si="41"/>
        <v>56.35826654142631</v>
      </c>
      <c r="CW65" s="20">
        <f t="shared" si="13"/>
        <v>499.34953422631764</v>
      </c>
      <c r="CX65" s="59">
        <f t="shared" si="14"/>
        <v>792.68286755965096</v>
      </c>
      <c r="CY65" s="59">
        <f ca="1">AVERAGE(OFFSET($CX$3,0,0,'Données projet'!$E$13+1,1))-AVERAGE(OFFSET($H$3,0,0,'Données projet'!$E$13+1,1))</f>
        <v>270.30888762640245</v>
      </c>
      <c r="CZ65" s="59">
        <f t="shared" si="42"/>
        <v>202.23783851977691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1.1364906837006121</v>
      </c>
      <c r="DG65" s="21">
        <f>EXP(-LN(2)/25)*DG64+(1-EXP(-LN(2)/25))/(LN(2)/25)*Calculateur!DB65*Calculateur!DD65*VLOOKUP('Données projet'!$B$13,Paramètres!$A$1:$I$89,3,0)*0.475*44/12</f>
        <v>5.0631115030461666</v>
      </c>
      <c r="DH65" s="21">
        <f>EXP(-LN(2)/2)*DH64+(1-EXP(-LN(2)/2))/(LN(2)/2)*DB65*DE65*VLOOKUP('Données projet'!$B$13,Paramètres!$A$1:$I$89,3,0)*0.475*44/12</f>
        <v>2.8217481363620886E-4</v>
      </c>
      <c r="DI65" s="22">
        <f t="shared" si="15"/>
        <v>6.1998843615604144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11.8</v>
      </c>
      <c r="DO65" s="12">
        <f>IF('Données projet'!$A$166&gt;35,DO64+DN65-DW64,IF(A65&lt;'Données projet'!$A$166,$DL$205^A65,IF(A65='Données projet'!$A$166,'Données projet'!$B$166,DO64+DN65-DW64)))</f>
        <v>331.6</v>
      </c>
      <c r="DP65" s="17">
        <f>DO65*VLOOKUP('Données projet'!$B$14,Paramètres!$A$1:$I$89,3,0)*VLOOKUP('Données projet'!$B$14,Paramètres!$A$1:$I$89,5,0)</f>
        <v>198.29680000000005</v>
      </c>
      <c r="DQ65" s="13">
        <f t="shared" si="43"/>
        <v>49.369669804913784</v>
      </c>
      <c r="DR65" s="20">
        <f t="shared" si="16"/>
        <v>431.35243491022493</v>
      </c>
      <c r="DS65" s="59">
        <f t="shared" si="17"/>
        <v>724.68576824355819</v>
      </c>
      <c r="DT65" s="59">
        <f ca="1">AVERAGE(OFFSET($DS$3,0,0,'Données projet'!$E$14+1,1))-AVERAGE(OFFSET($H$3,0,0,'Données projet'!$E$14+1,1))</f>
        <v>221.14988592347311</v>
      </c>
      <c r="DU65" s="59">
        <f t="shared" si="44"/>
        <v>179.09262081171607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1.2122567292806523</v>
      </c>
      <c r="EB65" s="21">
        <f>EXP(-LN(2)/25)*EB64+(1-EXP(-LN(2)/25))/(LN(2)/25)*Calculateur!DW65*Calculateur!DY65*VLOOKUP('Données projet'!$B$14,Paramètres!$A$1:$I$89,3,0)*0.475*44/12</f>
        <v>4.2169921189036712</v>
      </c>
      <c r="EC65" s="21">
        <f>EXP(-LN(2)/2)*EC64+(1-EXP(-LN(2)/2))/(LN(2)/2)*DW65*DZ65*VLOOKUP('Données projet'!$B$14,Paramètres!$A$1:$I$89,3,0)*0.475*44/12</f>
        <v>2.9754268678161338E-4</v>
      </c>
      <c r="ED65" s="22">
        <f t="shared" si="18"/>
        <v>5.4295463908711055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7.1</v>
      </c>
      <c r="EJ65" s="12">
        <f>IF('Données projet'!$A$192&gt;35,EJ64+EI65-ER64,IF(A65&lt;'Données projet'!$A$192,$EG$205^A65,IF(A65='Données projet'!$A$192,'Données projet'!$B$192,EJ64+EI65-ER64)))</f>
        <v>297.19999999999982</v>
      </c>
      <c r="EK65" s="17">
        <f>EJ65*VLOOKUP('Données projet'!$B$15,Paramètres!$A$1:$I$89,3,0)*VLOOKUP('Données projet'!$B$15,Paramètres!$A$1:$I$89,5,0)</f>
        <v>162.27119999999988</v>
      </c>
      <c r="EL65" s="13">
        <f t="shared" si="45"/>
        <v>41.354369909446504</v>
      </c>
      <c r="EM65" s="20">
        <f t="shared" si="19"/>
        <v>354.64786759228576</v>
      </c>
      <c r="EN65" s="59">
        <f t="shared" si="20"/>
        <v>647.98120092561908</v>
      </c>
      <c r="EO65" s="59">
        <f ca="1">AVERAGE(OFFSET($EN$3,0,0,'Données projet'!$E$15+1,1))-AVERAGE(OFFSET($H$3,0,0,'Données projet'!$E$15+1,1))</f>
        <v>168.72306536277267</v>
      </c>
      <c r="EP65" s="59">
        <f t="shared" si="46"/>
        <v>203.35476578922339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1.6141461884443471</v>
      </c>
      <c r="EW65" s="21">
        <f>EXP(-LN(2)/25)*EW64+(1-EXP(-LN(2)/25))/(LN(2)/25)*Calculateur!ER65*Calculateur!ET65*VLOOKUP('Données projet'!$B$15,Paramètres!$A$1:$I$89,3,0)*0.475*44/12</f>
        <v>9.4651286386533862</v>
      </c>
      <c r="EX65" s="21">
        <f>EXP(-LN(2)/2)*EX64+(1-EXP(-LN(2)/2))/(LN(2)/2)*ER65*EU65*VLOOKUP('Données projet'!$B$15,Paramètres!$A$1:$I$89,3,0)*0.475*44/12</f>
        <v>3.0553965182631326E-4</v>
      </c>
      <c r="EY65" s="22">
        <f t="shared" si="21"/>
        <v>11.07958036674956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5.6</v>
      </c>
      <c r="FE65" s="12">
        <f>IF('Données projet'!$A$218&gt;35,FE64+FD65-FM64,IF(A65&lt;'Données projet'!$A$218,$FB$205^A65,IF(A65='Données projet'!$A$218,'Données projet'!$B$218,FE64+FD65-FM64)))</f>
        <v>253.19999999999996</v>
      </c>
      <c r="FF65" s="17">
        <f>FE65*VLOOKUP('Données projet'!$B$16,Paramètres!$A$1:$I$89,3,0)*VLOOKUP('Données projet'!$B$16,Paramètres!$A$1:$I$89,5,0)</f>
        <v>138.24719999999999</v>
      </c>
      <c r="FG65" s="13">
        <f t="shared" si="47"/>
        <v>35.895169667225971</v>
      </c>
      <c r="FH65" s="20">
        <f t="shared" si="22"/>
        <v>303.29796050375188</v>
      </c>
      <c r="FI65" s="59">
        <f t="shared" si="23"/>
        <v>596.6312938370852</v>
      </c>
      <c r="FJ65" s="59">
        <f ca="1">AVERAGE(OFFSET($FI$3,0,0,'Données projet'!$E$16+1,1))-AVERAGE(OFFSET($H$3,0,0,'Données projet'!$E$16+1,1))</f>
        <v>127.76128532861486</v>
      </c>
      <c r="FK65" s="59">
        <f t="shared" si="48"/>
        <v>157.52303491639736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>
        <f>EXP(-LN(2)/35)*FQ64+(1-EXP(-LN(2)/35))/(LN(2)/35)*FM65*FN65*VLOOKUP('Données projet'!$B$16,Paramètres!$A$1:$I$89,3,0)*0.475*44/12</f>
        <v>1.2913169507554774</v>
      </c>
      <c r="FR65" s="21">
        <f>EXP(-LN(2)/25)*FR64+(1-EXP(-LN(2)/25))/(LN(2)/25)*Calculateur!FM65*Calculateur!FO65*VLOOKUP('Données projet'!$B$16,Paramètres!$A$1:$I$89,3,0)*0.475*44/12</f>
        <v>6.7210255306024997</v>
      </c>
      <c r="FS65" s="21">
        <f>EXP(-LN(2)/2)*FS64+(1-EXP(-LN(2)/2))/(LN(2)/2)*FM65*FP65*VLOOKUP('Données projet'!$B$16,Paramètres!$A$1:$I$89,3,0)*0.475*44/12</f>
        <v>2.4257460635588362E-4</v>
      </c>
      <c r="FT65" s="22">
        <f t="shared" si="24"/>
        <v>8.0125850559643332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5.9431089743589762</v>
      </c>
      <c r="N66" s="13">
        <f>IF('Données projet'!$A$36&gt;35,N65+M66-V65,IF(A66&lt;'Données projet'!$A$36,$K$205^A66,IF(A66='Données projet'!$A$36,'Données projet'!$B$36,N65+M66-V65)))</f>
        <v>144.08653846153845</v>
      </c>
      <c r="O66" s="13">
        <f>N66*VLOOKUP('Données projet'!$B$9,Paramètres!$A$1:$I$89,3,0)*VLOOKUP('Données projet'!$B$9,Paramètres!$A$1:$I$89,5,0)</f>
        <v>130.36949999999999</v>
      </c>
      <c r="P66" s="13">
        <f t="shared" si="33"/>
        <v>34.081725824623319</v>
      </c>
      <c r="Q66" s="20">
        <f t="shared" si="53"/>
        <v>286.41921831121891</v>
      </c>
      <c r="R66" s="59">
        <f t="shared" si="0"/>
        <v>579.75255164455223</v>
      </c>
      <c r="S66" s="59">
        <f ca="1">AVERAGE(OFFSET($R$3,0,0,'Données projet'!$E$9+1,1))-AVERAGE(OFFSET($H$3,0,0,'Données projet'!$E$9+1,1))</f>
        <v>153.45079678708987</v>
      </c>
      <c r="T66" s="59">
        <f t="shared" si="34"/>
        <v>115.4217868409637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0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0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4.8774928774928759</v>
      </c>
      <c r="AI66" s="13">
        <f>IF('Données projet'!$A$62&gt;35,AI65+AH66-AQ65,IF(A66&lt;'Données projet'!$A$62,$AF$205^A66,IF(A66='Données projet'!$A$62,'Données projet'!$B$62,AI65+AH66-AQ65)))</f>
        <v>116.8568376068377</v>
      </c>
      <c r="AJ66" s="13">
        <f>AI66*VLOOKUP('Données projet'!$B$10,Paramètres!$A$1:$I$89,3,0)*VLOOKUP('Données projet'!$B$10,Paramètres!$A$1:$I$89,5,0)</f>
        <v>105.73206666666675</v>
      </c>
      <c r="AK66" s="13">
        <f t="shared" si="35"/>
        <v>28.323122039297694</v>
      </c>
      <c r="AL66" s="20">
        <f t="shared" si="4"/>
        <v>233.47945366288806</v>
      </c>
      <c r="AM66" s="59">
        <f t="shared" si="5"/>
        <v>526.81278699622135</v>
      </c>
      <c r="AN66" s="59">
        <f ca="1">AVERAGE(OFFSET($AM$3,0,0,'Données projet'!$E$10+1,1))-AVERAGE(OFFSET($H$3,0,0,'Données projet'!$E$10+1,1))</f>
        <v>123.92486590666675</v>
      </c>
      <c r="AO66" s="59">
        <f t="shared" si="36"/>
        <v>54.404493017418986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0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>
        <f>VLOOKUP(A66,'Données projet'!$A$87:$I$107,2,0)</f>
        <v>455.71538461538455</v>
      </c>
      <c r="BB66" s="12">
        <f>VLOOKUP(A66,'Données projet'!$A$87:$I$107,9,0)</f>
        <v>14.839560439560435</v>
      </c>
      <c r="BC66" s="12">
        <f t="array" ref="BC66">INDEX(BB:BB,MIN(IF(ISNUMBER(BB66:BB262),ROW(BB66:BB262),"")))</f>
        <v>14.839560439560435</v>
      </c>
      <c r="BD66" s="12">
        <f>IF('Données projet'!$A$88&gt;35,BD65+BC66-BL65,IF(A66&lt;'Données projet'!$A$88,$BA$205^A66,IF(A66='Données projet'!$A$88,'Données projet'!$B$88,BD65+BC66-BL65)))</f>
        <v>455.71538461538466</v>
      </c>
      <c r="BE66" s="13">
        <f>BD66*VLOOKUP('Données projet'!$B$11,Paramètres!$A$1:$I$89,3,0)*VLOOKUP('Données projet'!$B$11,Paramètres!$A$1:$I$89,5,0)</f>
        <v>254.74490000000003</v>
      </c>
      <c r="BF66" s="13">
        <f t="shared" si="37"/>
        <v>61.600875281297732</v>
      </c>
      <c r="BG66" s="20">
        <f t="shared" si="7"/>
        <v>550.96889194826019</v>
      </c>
      <c r="BH66" s="59">
        <f t="shared" si="8"/>
        <v>844.30222528159356</v>
      </c>
      <c r="BI66" s="59">
        <f ca="1">AVERAGE(OFFSET($BH$3,0,0,'Données projet'!$E$11+1,1))-AVERAGE(OFFSET($H$3,0,0,'Données projet'!$E$11+1,1))</f>
        <v>224.7049802939942</v>
      </c>
      <c r="BJ66" s="59">
        <f t="shared" si="38"/>
        <v>203.48513862195352</v>
      </c>
      <c r="BK66" s="15">
        <f>IF(ISNA(VLOOKUP(A66,'Données projet'!$A$87:$I$107,3,0)),0,VLOOKUP(A66,'Données projet'!$A$87:$I$107,3,0))</f>
        <v>7</v>
      </c>
      <c r="BL66" s="15">
        <f>IF(ISNA(VLOOKUP(A66,'Données projet'!$A$87:$I$107,4,0)),0,VLOOKUP(A66,'Données projet'!$A$87:$I$107,4,0))</f>
        <v>79.723076923076917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1.1606533604855127</v>
      </c>
      <c r="BQ66" s="21">
        <f>EXP(-LN(2)/25)*BQ65+(1-EXP(-LN(2)/25))/(LN(2)/25)*Calculateur!BL66*Calculateur!BN66*VLOOKUP('Données projet'!$B$11,Paramètres!$A$1:$I$89,3,0)*0.475*44/12</f>
        <v>7.8202554421583015</v>
      </c>
      <c r="BR66" s="21">
        <f>EXP(-LN(2)/2)*BR65+(1-EXP(-LN(2)/2))/(LN(2)/2)*BL66*BO66*VLOOKUP('Données projet'!$B$11,Paramètres!$A$1:$I$89,3,0)*0.475*44/12</f>
        <v>9.6681364848997319E-5</v>
      </c>
      <c r="BS66" s="22">
        <f t="shared" si="9"/>
        <v>8.9810054840086622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8.3938461538461517</v>
      </c>
      <c r="BY66" s="12">
        <f>IF('Données projet'!$A$114&gt;35,BY65+BX66-CG65,IF(A66&lt;'Données projet'!$A$114,$BV$205^A66,IF(A66='Données projet'!$A$114,'Données projet'!$B$114,BY65+BX66-CG65)))</f>
        <v>288.66307692307686</v>
      </c>
      <c r="BZ66" s="13">
        <f>BY66*VLOOKUP('Données projet'!$B$12,Paramètres!$A$1:$I$89,3,0)*VLOOKUP('Données projet'!$B$12,Paramètres!$A$1:$I$89,5,0)</f>
        <v>161.36265999999998</v>
      </c>
      <c r="CA66" s="13">
        <f t="shared" si="39"/>
        <v>41.149715309693121</v>
      </c>
      <c r="CB66" s="20">
        <f t="shared" si="10"/>
        <v>352.70905366438211</v>
      </c>
      <c r="CC66" s="59">
        <f t="shared" si="11"/>
        <v>646.04238699771543</v>
      </c>
      <c r="CD66" s="59">
        <f ca="1">AVERAGE(OFFSET($CC$3,0,0,'Données projet'!$E$12+1,1))-AVERAGE(OFFSET($H$3,0,0,'Données projet'!$E$12+1,1))</f>
        <v>190.08613104982993</v>
      </c>
      <c r="CE66" s="59">
        <f t="shared" si="40"/>
        <v>180.55054525447781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0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14.1</v>
      </c>
      <c r="CT66" s="12">
        <f>IF('Données projet'!$A$140&gt;35,CT65+CS66-DB65,IF(A66&lt;'Données projet'!$A$140,$CQ$205^A66,IF(A66='Données projet'!$A$140,'Données projet'!$B$140,CT65+CS66-DB65)))</f>
        <v>399.30000000000013</v>
      </c>
      <c r="CU66" s="17">
        <f>CT66*VLOOKUP('Données projet'!$B$13,Paramètres!$A$1:$I$89,3,0)*VLOOKUP('Données projet'!$B$13,Paramètres!$A$1:$I$89,5,0)</f>
        <v>238.78140000000008</v>
      </c>
      <c r="CV66" s="13">
        <f t="shared" si="41"/>
        <v>58.177265129918027</v>
      </c>
      <c r="CW66" s="20">
        <f t="shared" si="13"/>
        <v>517.20300843460734</v>
      </c>
      <c r="CX66" s="59">
        <f t="shared" si="14"/>
        <v>810.53634176794071</v>
      </c>
      <c r="CY66" s="59">
        <f ca="1">AVERAGE(OFFSET($CX$3,0,0,'Données projet'!$E$13+1,1))-AVERAGE(OFFSET($H$3,0,0,'Données projet'!$E$13+1,1))</f>
        <v>270.30888762640245</v>
      </c>
      <c r="CZ66" s="59">
        <f t="shared" si="42"/>
        <v>202.23783851977691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1.1142047945841134</v>
      </c>
      <c r="DG66" s="21">
        <f>EXP(-LN(2)/25)*DG65+(1-EXP(-LN(2)/25))/(LN(2)/25)*Calculateur!DB66*Calculateur!DD66*VLOOKUP('Données projet'!$B$13,Paramètres!$A$1:$I$89,3,0)*0.475*44/12</f>
        <v>4.924660452737907</v>
      </c>
      <c r="DH66" s="21">
        <f>EXP(-LN(2)/2)*DH65+(1-EXP(-LN(2)/2))/(LN(2)/2)*DB66*DE66*VLOOKUP('Données projet'!$B$13,Paramètres!$A$1:$I$89,3,0)*0.475*44/12</f>
        <v>1.9952772420221357E-4</v>
      </c>
      <c r="DI66" s="22">
        <f t="shared" si="15"/>
        <v>6.0390647750462225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11.8</v>
      </c>
      <c r="DO66" s="12">
        <f>IF('Données projet'!$A$166&gt;35,DO65+DN66-DW65,IF(A66&lt;'Données projet'!$A$166,$DL$205^A66,IF(A66='Données projet'!$A$166,'Données projet'!$B$166,DO65+DN66-DW65)))</f>
        <v>343.40000000000003</v>
      </c>
      <c r="DP66" s="17">
        <f>DO66*VLOOKUP('Données projet'!$B$14,Paramètres!$A$1:$I$89,3,0)*VLOOKUP('Données projet'!$B$14,Paramètres!$A$1:$I$89,5,0)</f>
        <v>205.35320000000004</v>
      </c>
      <c r="DQ66" s="13">
        <f t="shared" si="43"/>
        <v>50.918824375421927</v>
      </c>
      <c r="DR66" s="20">
        <f t="shared" si="16"/>
        <v>446.34044245385985</v>
      </c>
      <c r="DS66" s="59">
        <f t="shared" si="17"/>
        <v>739.67377578719311</v>
      </c>
      <c r="DT66" s="59">
        <f ca="1">AVERAGE(OFFSET($DS$3,0,0,'Données projet'!$E$14+1,1))-AVERAGE(OFFSET($H$3,0,0,'Données projet'!$E$14+1,1))</f>
        <v>221.14988592347311</v>
      </c>
      <c r="DU66" s="59">
        <f t="shared" si="44"/>
        <v>179.09262081171607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1.1884851142230535</v>
      </c>
      <c r="EB66" s="21">
        <f>EXP(-LN(2)/25)*EB65+(1-EXP(-LN(2)/25))/(LN(2)/25)*Calculateur!DW66*Calculateur!DY66*VLOOKUP('Données projet'!$B$14,Paramètres!$A$1:$I$89,3,0)*0.475*44/12</f>
        <v>4.1016782476502724</v>
      </c>
      <c r="EC66" s="21">
        <f>EXP(-LN(2)/2)*EC65+(1-EXP(-LN(2)/2))/(LN(2)/2)*DW66*DZ66*VLOOKUP('Données projet'!$B$14,Paramètres!$A$1:$I$89,3,0)*0.475*44/12</f>
        <v>2.1039445151574374E-4</v>
      </c>
      <c r="ED66" s="22">
        <f t="shared" si="18"/>
        <v>5.2903737563248416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7.1</v>
      </c>
      <c r="EJ66" s="12">
        <f>IF('Données projet'!$A$192&gt;35,EJ65+EI66-ER65,IF(A66&lt;'Données projet'!$A$192,$EG$205^A66,IF(A66='Données projet'!$A$192,'Données projet'!$B$192,EJ65+EI66-ER65)))</f>
        <v>304.29999999999984</v>
      </c>
      <c r="EK66" s="17">
        <f>EJ66*VLOOKUP('Données projet'!$B$15,Paramètres!$A$1:$I$89,3,0)*VLOOKUP('Données projet'!$B$15,Paramètres!$A$1:$I$89,5,0)</f>
        <v>166.1477999999999</v>
      </c>
      <c r="EL66" s="13">
        <f t="shared" si="45"/>
        <v>42.226111395422294</v>
      </c>
      <c r="EM66" s="20">
        <f t="shared" si="19"/>
        <v>362.91789568036029</v>
      </c>
      <c r="EN66" s="59">
        <f t="shared" si="20"/>
        <v>656.25122901369355</v>
      </c>
      <c r="EO66" s="59">
        <f ca="1">AVERAGE(OFFSET($EN$3,0,0,'Données projet'!$E$15+1,1))-AVERAGE(OFFSET($H$3,0,0,'Données projet'!$E$15+1,1))</f>
        <v>168.72306536277267</v>
      </c>
      <c r="EP66" s="59">
        <f t="shared" si="46"/>
        <v>203.35476578922339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1.582493766220914</v>
      </c>
      <c r="EW66" s="21">
        <f>EXP(-LN(2)/25)*EW65+(1-EXP(-LN(2)/25))/(LN(2)/25)*Calculateur!ER66*Calculateur!ET66*VLOOKUP('Données projet'!$B$15,Paramètres!$A$1:$I$89,3,0)*0.475*44/12</f>
        <v>9.206304198279927</v>
      </c>
      <c r="EX66" s="21">
        <f>EXP(-LN(2)/2)*EX65+(1-EXP(-LN(2)/2))/(LN(2)/2)*ER66*EU66*VLOOKUP('Données projet'!$B$15,Paramètres!$A$1:$I$89,3,0)*0.475*44/12</f>
        <v>2.1604915972776281E-4</v>
      </c>
      <c r="EY66" s="22">
        <f t="shared" si="21"/>
        <v>10.789014013660568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5.6</v>
      </c>
      <c r="FE66" s="12">
        <f>IF('Données projet'!$A$218&gt;35,FE65+FD66-FM65,IF(A66&lt;'Données projet'!$A$218,$FB$205^A66,IF(A66='Données projet'!$A$218,'Données projet'!$B$218,FE65+FD66-FM65)))</f>
        <v>258.79999999999995</v>
      </c>
      <c r="FF66" s="17">
        <f>FE66*VLOOKUP('Données projet'!$B$16,Paramètres!$A$1:$I$89,3,0)*VLOOKUP('Données projet'!$B$16,Paramètres!$A$1:$I$89,5,0)</f>
        <v>141.30479999999997</v>
      </c>
      <c r="FG66" s="13">
        <f t="shared" si="47"/>
        <v>36.595755275288994</v>
      </c>
      <c r="FH66" s="20">
        <f t="shared" si="22"/>
        <v>309.84346710446158</v>
      </c>
      <c r="FI66" s="59">
        <f t="shared" si="23"/>
        <v>603.1768004377949</v>
      </c>
      <c r="FJ66" s="59">
        <f ca="1">AVERAGE(OFFSET($FI$3,0,0,'Données projet'!$E$16+1,1))-AVERAGE(OFFSET($H$3,0,0,'Données projet'!$E$16+1,1))</f>
        <v>127.76128532861486</v>
      </c>
      <c r="FK66" s="59">
        <f t="shared" si="48"/>
        <v>157.52303491639736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>
        <f>EXP(-LN(2)/35)*FQ65+(1-EXP(-LN(2)/35))/(LN(2)/35)*FM66*FN66*VLOOKUP('Données projet'!$B$16,Paramètres!$A$1:$I$89,3,0)*0.475*44/12</f>
        <v>1.2659950129767308</v>
      </c>
      <c r="FR66" s="21">
        <f>EXP(-LN(2)/25)*FR65+(1-EXP(-LN(2)/25))/(LN(2)/25)*Calculateur!FM66*Calculateur!FO66*VLOOKUP('Données projet'!$B$16,Paramètres!$A$1:$I$89,3,0)*0.475*44/12</f>
        <v>6.537238734024803</v>
      </c>
      <c r="FS66" s="21">
        <f>EXP(-LN(2)/2)*FS65+(1-EXP(-LN(2)/2))/(LN(2)/2)*FM66*FP66*VLOOKUP('Données projet'!$B$16,Paramètres!$A$1:$I$89,3,0)*0.475*44/12</f>
        <v>1.7152614909790272E-4</v>
      </c>
      <c r="FT66" s="22">
        <f t="shared" si="24"/>
        <v>7.8034052731506316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5.9431089743589762</v>
      </c>
      <c r="N67" s="13">
        <f>IF('Données projet'!$A$36&gt;35,N66+M67-V66,IF(A67&lt;'Données projet'!$A$36,$K$205^A67,IF(A67='Données projet'!$A$36,'Données projet'!$B$36,N66+M67-V66)))</f>
        <v>150.02964743589743</v>
      </c>
      <c r="O67" s="13">
        <f>N67*VLOOKUP('Données projet'!$B$9,Paramètres!$A$1:$I$89,3,0)*VLOOKUP('Données projet'!$B$9,Paramètres!$A$1:$I$89,5,0)</f>
        <v>135.746825</v>
      </c>
      <c r="P67" s="13">
        <f t="shared" si="33"/>
        <v>35.320920291530086</v>
      </c>
      <c r="Q67" s="20">
        <f t="shared" ref="Q67:Q98" si="54">(O67+P67)*0.475*44/12</f>
        <v>297.94298971608151</v>
      </c>
      <c r="R67" s="59">
        <f t="shared" ref="R67:R130" si="55">Q67+(I67+J67)*44/12</f>
        <v>591.27632304941483</v>
      </c>
      <c r="S67" s="59">
        <f ca="1">AVERAGE(OFFSET($R$3,0,0,'Données projet'!$E$9+1,1))-AVERAGE(OFFSET($H$3,0,0,'Données projet'!$E$9+1,1))</f>
        <v>153.45079678708987</v>
      </c>
      <c r="T67" s="59">
        <f t="shared" si="34"/>
        <v>115.4217868409637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0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0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4.8774928774928759</v>
      </c>
      <c r="AI67" s="13">
        <f>IF('Données projet'!$A$62&gt;35,AI66+AH67-AQ66,IF(A67&lt;'Données projet'!$A$62,$AF$205^A67,IF(A67='Données projet'!$A$62,'Données projet'!$B$62,AI66+AH67-AQ66)))</f>
        <v>121.73433048433057</v>
      </c>
      <c r="AJ67" s="13">
        <f>AI67*VLOOKUP('Données projet'!$B$10,Paramètres!$A$1:$I$89,3,0)*VLOOKUP('Données projet'!$B$10,Paramètres!$A$1:$I$89,5,0)</f>
        <v>110.1452222222223</v>
      </c>
      <c r="AK67" s="13">
        <f t="shared" si="35"/>
        <v>29.36519743312385</v>
      </c>
      <c r="AL67" s="20">
        <f t="shared" si="4"/>
        <v>242.98064756639451</v>
      </c>
      <c r="AM67" s="59">
        <f t="shared" si="5"/>
        <v>536.31398089972777</v>
      </c>
      <c r="AN67" s="59">
        <f ca="1">AVERAGE(OFFSET($AM$3,0,0,'Données projet'!$E$10+1,1))-AVERAGE(OFFSET($H$3,0,0,'Données projet'!$E$10+1,1))</f>
        <v>123.92486590666675</v>
      </c>
      <c r="AO67" s="59">
        <f t="shared" si="36"/>
        <v>54.404493017418986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0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13.296703296703299</v>
      </c>
      <c r="BD67" s="12">
        <f>IF('Données projet'!$A$88&gt;35,BD66+BC67-BL66,IF(A67&lt;'Données projet'!$A$88,$BA$205^A67,IF(A67='Données projet'!$A$88,'Données projet'!$B$88,BD66+BC67-BL66)))</f>
        <v>389.28901098901105</v>
      </c>
      <c r="BE67" s="13">
        <f>BD67*VLOOKUP('Données projet'!$B$11,Paramètres!$A$1:$I$89,3,0)*VLOOKUP('Données projet'!$B$11,Paramètres!$A$1:$I$89,5,0)</f>
        <v>217.61255714285718</v>
      </c>
      <c r="BF67" s="13">
        <f t="shared" si="37"/>
        <v>53.595657750447323</v>
      </c>
      <c r="BG67" s="20">
        <f t="shared" si="7"/>
        <v>472.35430760583859</v>
      </c>
      <c r="BH67" s="59">
        <f t="shared" si="8"/>
        <v>765.68764093917184</v>
      </c>
      <c r="BI67" s="59">
        <f ca="1">AVERAGE(OFFSET($BH$3,0,0,'Données projet'!$E$11+1,1))-AVERAGE(OFFSET($H$3,0,0,'Données projet'!$E$11+1,1))</f>
        <v>224.7049802939942</v>
      </c>
      <c r="BJ67" s="59">
        <f t="shared" si="38"/>
        <v>203.48513862195352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1.1378936560150394</v>
      </c>
      <c r="BQ67" s="21">
        <f>EXP(-LN(2)/25)*BQ66+(1-EXP(-LN(2)/25))/(LN(2)/25)*Calculateur!BL67*Calculateur!BN67*VLOOKUP('Données projet'!$B$11,Paramètres!$A$1:$I$89,3,0)*0.475*44/12</f>
        <v>7.6064101458431228</v>
      </c>
      <c r="BR67" s="21">
        <f>EXP(-LN(2)/2)*BR66+(1-EXP(-LN(2)/2))/(LN(2)/2)*BL67*BO67*VLOOKUP('Données projet'!$B$11,Paramètres!$A$1:$I$89,3,0)*0.475*44/12</f>
        <v>6.8364048699096715E-5</v>
      </c>
      <c r="BS67" s="22">
        <f t="shared" si="9"/>
        <v>8.7443721659068618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8.3938461538461517</v>
      </c>
      <c r="BY67" s="12">
        <f>IF('Données projet'!$A$114&gt;35,BY66+BX67-CG66,IF(A67&lt;'Données projet'!$A$114,$BV$205^A67,IF(A67='Données projet'!$A$114,'Données projet'!$B$114,BY66+BX67-CG66)))</f>
        <v>297.056923076923</v>
      </c>
      <c r="BZ67" s="13">
        <f>BY67*VLOOKUP('Données projet'!$B$12,Paramètres!$A$1:$I$89,3,0)*VLOOKUP('Données projet'!$B$12,Paramètres!$A$1:$I$89,5,0)</f>
        <v>166.05481999999995</v>
      </c>
      <c r="CA67" s="13">
        <f t="shared" si="39"/>
        <v>42.205230655180756</v>
      </c>
      <c r="CB67" s="20">
        <f t="shared" si="10"/>
        <v>362.71958822443975</v>
      </c>
      <c r="CC67" s="59">
        <f t="shared" si="11"/>
        <v>656.05292155777306</v>
      </c>
      <c r="CD67" s="59">
        <f ca="1">AVERAGE(OFFSET($CC$3,0,0,'Données projet'!$E$12+1,1))-AVERAGE(OFFSET($H$3,0,0,'Données projet'!$E$12+1,1))</f>
        <v>190.08613104982993</v>
      </c>
      <c r="CE67" s="59">
        <f t="shared" si="40"/>
        <v>180.55054525447781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0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14.1</v>
      </c>
      <c r="CT67" s="12">
        <f>IF('Données projet'!$A$140&gt;35,CT66+CS67-DB66,IF(A67&lt;'Données projet'!$A$140,$CQ$205^A67,IF(A67='Données projet'!$A$140,'Données projet'!$B$140,CT66+CS67-DB66)))</f>
        <v>413.40000000000015</v>
      </c>
      <c r="CU67" s="17">
        <f>CT67*VLOOKUP('Données projet'!$B$13,Paramètres!$A$1:$I$89,3,0)*VLOOKUP('Données projet'!$B$13,Paramètres!$A$1:$I$89,5,0)</f>
        <v>247.21320000000011</v>
      </c>
      <c r="CV67" s="13">
        <f t="shared" si="41"/>
        <v>59.988800807398761</v>
      </c>
      <c r="CW67" s="20">
        <f t="shared" si="13"/>
        <v>535.04348473955304</v>
      </c>
      <c r="CX67" s="59">
        <f t="shared" si="14"/>
        <v>828.37681807288641</v>
      </c>
      <c r="CY67" s="59">
        <f ca="1">AVERAGE(OFFSET($CX$3,0,0,'Données projet'!$E$13+1,1))-AVERAGE(OFFSET($H$3,0,0,'Données projet'!$E$13+1,1))</f>
        <v>270.30888762640245</v>
      </c>
      <c r="CZ67" s="59">
        <f t="shared" si="42"/>
        <v>202.23783851977691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1.092355918160139</v>
      </c>
      <c r="DG67" s="21">
        <f>EXP(-LN(2)/25)*DG66+(1-EXP(-LN(2)/25))/(LN(2)/25)*Calculateur!DB67*Calculateur!DD67*VLOOKUP('Données projet'!$B$13,Paramètres!$A$1:$I$89,3,0)*0.475*44/12</f>
        <v>4.7899953536811513</v>
      </c>
      <c r="DH67" s="21">
        <f>EXP(-LN(2)/2)*DH66+(1-EXP(-LN(2)/2))/(LN(2)/2)*DB67*DE67*VLOOKUP('Données projet'!$B$13,Paramètres!$A$1:$I$89,3,0)*0.475*44/12</f>
        <v>1.4108740681810443E-4</v>
      </c>
      <c r="DI67" s="22">
        <f t="shared" si="15"/>
        <v>5.8824923592481086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11.8</v>
      </c>
      <c r="DO67" s="12">
        <f>IF('Données projet'!$A$166&gt;35,DO66+DN67-DW66,IF(A67&lt;'Données projet'!$A$166,$DL$205^A67,IF(A67='Données projet'!$A$166,'Données projet'!$B$166,DO66+DN67-DW66)))</f>
        <v>355.20000000000005</v>
      </c>
      <c r="DP67" s="17">
        <f>DO67*VLOOKUP('Données projet'!$B$14,Paramètres!$A$1:$I$89,3,0)*VLOOKUP('Données projet'!$B$14,Paramètres!$A$1:$I$89,5,0)</f>
        <v>212.40960000000004</v>
      </c>
      <c r="DQ67" s="13">
        <f t="shared" si="43"/>
        <v>52.461793777994032</v>
      </c>
      <c r="DR67" s="20">
        <f t="shared" si="16"/>
        <v>461.31767749667296</v>
      </c>
      <c r="DS67" s="59">
        <f t="shared" si="17"/>
        <v>754.65101083000627</v>
      </c>
      <c r="DT67" s="59">
        <f ca="1">AVERAGE(OFFSET($DS$3,0,0,'Données projet'!$E$14+1,1))-AVERAGE(OFFSET($H$3,0,0,'Données projet'!$E$14+1,1))</f>
        <v>221.14988592347311</v>
      </c>
      <c r="DU67" s="59">
        <f t="shared" si="44"/>
        <v>179.09262081171607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1.1651796460374808</v>
      </c>
      <c r="EB67" s="21">
        <f>EXP(-LN(2)/25)*EB66+(1-EXP(-LN(2)/25))/(LN(2)/25)*Calculateur!DW67*Calculateur!DY67*VLOOKUP('Données projet'!$B$14,Paramètres!$A$1:$I$89,3,0)*0.475*44/12</f>
        <v>3.9895176402703911</v>
      </c>
      <c r="EC67" s="21">
        <f>EXP(-LN(2)/2)*EC66+(1-EXP(-LN(2)/2))/(LN(2)/2)*DW67*DZ67*VLOOKUP('Données projet'!$B$14,Paramètres!$A$1:$I$89,3,0)*0.475*44/12</f>
        <v>1.4877134339080669E-4</v>
      </c>
      <c r="ED67" s="22">
        <f t="shared" si="18"/>
        <v>5.1548460576512634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7.1</v>
      </c>
      <c r="EJ67" s="12">
        <f>IF('Données projet'!$A$192&gt;35,EJ66+EI67-ER66,IF(A67&lt;'Données projet'!$A$192,$EG$205^A67,IF(A67='Données projet'!$A$192,'Données projet'!$B$192,EJ66+EI67-ER66)))</f>
        <v>311.39999999999986</v>
      </c>
      <c r="EK67" s="17">
        <f>EJ67*VLOOKUP('Données projet'!$B$15,Paramètres!$A$1:$I$89,3,0)*VLOOKUP('Données projet'!$B$15,Paramètres!$A$1:$I$89,5,0)</f>
        <v>170.0243999999999</v>
      </c>
      <c r="EL67" s="13">
        <f t="shared" si="45"/>
        <v>43.095488327983141</v>
      </c>
      <c r="EM67" s="20">
        <f t="shared" si="19"/>
        <v>371.18380550457044</v>
      </c>
      <c r="EN67" s="59">
        <f t="shared" si="20"/>
        <v>664.51713883790376</v>
      </c>
      <c r="EO67" s="59">
        <f ca="1">AVERAGE(OFFSET($EN$3,0,0,'Données projet'!$E$15+1,1))-AVERAGE(OFFSET($H$3,0,0,'Données projet'!$E$15+1,1))</f>
        <v>168.72306536277267</v>
      </c>
      <c r="EP67" s="59">
        <f t="shared" si="46"/>
        <v>203.35476578922339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1.5514620286912111</v>
      </c>
      <c r="EW67" s="21">
        <f>EXP(-LN(2)/25)*EW66+(1-EXP(-LN(2)/25))/(LN(2)/25)*Calculateur!ER67*Calculateur!ET67*VLOOKUP('Données projet'!$B$15,Paramètres!$A$1:$I$89,3,0)*0.475*44/12</f>
        <v>8.9545573258394651</v>
      </c>
      <c r="EX67" s="21">
        <f>EXP(-LN(2)/2)*EX66+(1-EXP(-LN(2)/2))/(LN(2)/2)*ER67*EU67*VLOOKUP('Données projet'!$B$15,Paramètres!$A$1:$I$89,3,0)*0.475*44/12</f>
        <v>1.5276982591315663E-4</v>
      </c>
      <c r="EY67" s="22">
        <f t="shared" si="21"/>
        <v>10.506172124356588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5.6</v>
      </c>
      <c r="FE67" s="12">
        <f>IF('Données projet'!$A$218&gt;35,FE66+FD67-FM66,IF(A67&lt;'Données projet'!$A$218,$FB$205^A67,IF(A67='Données projet'!$A$218,'Données projet'!$B$218,FE66+FD67-FM66)))</f>
        <v>264.39999999999998</v>
      </c>
      <c r="FF67" s="17">
        <f>FE67*VLOOKUP('Données projet'!$B$16,Paramètres!$A$1:$I$89,3,0)*VLOOKUP('Données projet'!$B$16,Paramètres!$A$1:$I$89,5,0)</f>
        <v>144.36239999999998</v>
      </c>
      <c r="FG67" s="13">
        <f t="shared" si="47"/>
        <v>37.294578392157085</v>
      </c>
      <c r="FH67" s="20">
        <f t="shared" si="22"/>
        <v>316.38590403300685</v>
      </c>
      <c r="FI67" s="59">
        <f t="shared" si="23"/>
        <v>609.71923736634017</v>
      </c>
      <c r="FJ67" s="59">
        <f ca="1">AVERAGE(OFFSET($FI$3,0,0,'Données projet'!$E$16+1,1))-AVERAGE(OFFSET($H$3,0,0,'Données projet'!$E$16+1,1))</f>
        <v>127.76128532861486</v>
      </c>
      <c r="FK67" s="59">
        <f t="shared" si="48"/>
        <v>157.52303491639736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>
        <f>EXP(-LN(2)/35)*FQ66+(1-EXP(-LN(2)/35))/(LN(2)/35)*FM67*FN67*VLOOKUP('Données projet'!$B$16,Paramètres!$A$1:$I$89,3,0)*0.475*44/12</f>
        <v>1.2411696229529685</v>
      </c>
      <c r="FR67" s="21">
        <f>EXP(-LN(2)/25)*FR66+(1-EXP(-LN(2)/25))/(LN(2)/25)*Calculateur!FM67*Calculateur!FO67*VLOOKUP('Données projet'!$B$16,Paramètres!$A$1:$I$89,3,0)*0.475*44/12</f>
        <v>6.3584775970644509</v>
      </c>
      <c r="FS67" s="21">
        <f>EXP(-LN(2)/2)*FS66+(1-EXP(-LN(2)/2))/(LN(2)/2)*FM67*FP67*VLOOKUP('Données projet'!$B$16,Paramètres!$A$1:$I$89,3,0)*0.475*44/12</f>
        <v>1.2128730317794184E-4</v>
      </c>
      <c r="FT67" s="22">
        <f t="shared" si="24"/>
        <v>7.5997685073205972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5.9431089743589762</v>
      </c>
      <c r="N68" s="13">
        <f>IF('Données projet'!$A$36&gt;35,N67+M68-V67,IF(A68&lt;'Données projet'!$A$36,$K$205^A68,IF(A68='Données projet'!$A$36,'Données projet'!$B$36,N67+M68-V67)))</f>
        <v>155.97275641025641</v>
      </c>
      <c r="O68" s="13">
        <f>N68*VLOOKUP('Données projet'!$B$9,Paramètres!$A$1:$I$89,3,0)*VLOOKUP('Données projet'!$B$9,Paramètres!$A$1:$I$89,5,0)</f>
        <v>141.12414999999999</v>
      </c>
      <c r="P68" s="13">
        <f t="shared" si="33"/>
        <v>36.554412483418083</v>
      </c>
      <c r="Q68" s="20">
        <f t="shared" si="54"/>
        <v>309.45682965861977</v>
      </c>
      <c r="R68" s="59">
        <f t="shared" si="55"/>
        <v>602.79016299195314</v>
      </c>
      <c r="S68" s="59">
        <f ca="1">AVERAGE(OFFSET($R$3,0,0,'Données projet'!$E$9+1,1))-AVERAGE(OFFSET($H$3,0,0,'Données projet'!$E$9+1,1))</f>
        <v>153.45079678708987</v>
      </c>
      <c r="T68" s="59">
        <f t="shared" si="34"/>
        <v>115.4217868409637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0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0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4.8774928774928759</v>
      </c>
      <c r="AI68" s="13">
        <f>IF('Données projet'!$A$62&gt;35,AI67+AH68-AQ67,IF(A68&lt;'Données projet'!$A$62,$AF$205^A68,IF(A68='Données projet'!$A$62,'Données projet'!$B$62,AI67+AH68-AQ67)))</f>
        <v>126.61182336182344</v>
      </c>
      <c r="AJ68" s="13">
        <f>AI68*VLOOKUP('Données projet'!$B$10,Paramètres!$A$1:$I$89,3,0)*VLOOKUP('Données projet'!$B$10,Paramètres!$A$1:$I$89,5,0)</f>
        <v>114.55837777777785</v>
      </c>
      <c r="AK68" s="13">
        <f t="shared" si="35"/>
        <v>30.402422778202244</v>
      </c>
      <c r="AL68" s="20">
        <f t="shared" ref="AL68:AL131" si="58">(AJ68+AK68)*0.475*44/12</f>
        <v>252.47339430166528</v>
      </c>
      <c r="AM68" s="59">
        <f t="shared" ref="AM68:AM131" si="59">AL68+(AD68+AE68)*44/12</f>
        <v>545.80672763499865</v>
      </c>
      <c r="AN68" s="59">
        <f ca="1">AVERAGE(OFFSET($AM$3,0,0,'Données projet'!$E$10+1,1))-AVERAGE(OFFSET($H$3,0,0,'Données projet'!$E$10+1,1))</f>
        <v>123.92486590666675</v>
      </c>
      <c r="AO68" s="59">
        <f t="shared" si="36"/>
        <v>54.404493017418986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0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13.296703296703299</v>
      </c>
      <c r="BD68" s="12">
        <f>IF('Données projet'!$A$88&gt;35,BD67+BC68-BL67,IF(A68&lt;'Données projet'!$A$88,$BA$205^A68,IF(A68='Données projet'!$A$88,'Données projet'!$B$88,BD67+BC68-BL67)))</f>
        <v>402.58571428571435</v>
      </c>
      <c r="BE68" s="13">
        <f>BD68*VLOOKUP('Données projet'!$B$11,Paramètres!$A$1:$I$89,3,0)*VLOOKUP('Données projet'!$B$11,Paramètres!$A$1:$I$89,5,0)</f>
        <v>225.04541428571432</v>
      </c>
      <c r="BF68" s="13">
        <f t="shared" si="37"/>
        <v>55.210030257376133</v>
      </c>
      <c r="BG68" s="20">
        <f t="shared" ref="BG68:BG131" si="61">(BE68+BF68)*0.475*44/12</f>
        <v>488.11156591254917</v>
      </c>
      <c r="BH68" s="59">
        <f t="shared" ref="BH68:BH131" si="62">BG68+(AY68+AZ68)*44/12</f>
        <v>781.44489924588243</v>
      </c>
      <c r="BI68" s="59">
        <f ca="1">AVERAGE(OFFSET($BH$3,0,0,'Données projet'!$E$11+1,1))-AVERAGE(OFFSET($H$3,0,0,'Données projet'!$E$11+1,1))</f>
        <v>224.7049802939942</v>
      </c>
      <c r="BJ68" s="59">
        <f t="shared" si="38"/>
        <v>203.48513862195352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1.1155802554671832</v>
      </c>
      <c r="BQ68" s="21">
        <f>EXP(-LN(2)/25)*BQ67+(1-EXP(-LN(2)/25))/(LN(2)/25)*Calculateur!BL68*Calculateur!BN68*VLOOKUP('Données projet'!$B$11,Paramètres!$A$1:$I$89,3,0)*0.475*44/12</f>
        <v>7.3984124604013175</v>
      </c>
      <c r="BR68" s="21">
        <f>EXP(-LN(2)/2)*BR67+(1-EXP(-LN(2)/2))/(LN(2)/2)*BL68*BO68*VLOOKUP('Données projet'!$B$11,Paramètres!$A$1:$I$89,3,0)*0.475*44/12</f>
        <v>4.8340682424498659E-5</v>
      </c>
      <c r="BS68" s="22">
        <f t="shared" ref="BS68:BS131" si="63">SUM(BP68:BR68)</f>
        <v>8.5140410565509246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8.3938461538461517</v>
      </c>
      <c r="BY68" s="12">
        <f>IF('Données projet'!$A$114&gt;35,BY67+BX68-CG67,IF(A68&lt;'Données projet'!$A$114,$BV$205^A68,IF(A68='Données projet'!$A$114,'Données projet'!$B$114,BY67+BX68-CG67)))</f>
        <v>305.45076923076914</v>
      </c>
      <c r="BZ68" s="13">
        <f>BY68*VLOOKUP('Données projet'!$B$12,Paramètres!$A$1:$I$89,3,0)*VLOOKUP('Données projet'!$B$12,Paramètres!$A$1:$I$89,5,0)</f>
        <v>170.74697999999995</v>
      </c>
      <c r="CA68" s="13">
        <f t="shared" si="39"/>
        <v>43.257279542911235</v>
      </c>
      <c r="CB68" s="20">
        <f t="shared" ref="CB68:CB131" si="64">(BZ68+CA68)*0.475*44/12</f>
        <v>372.72408537057026</v>
      </c>
      <c r="CC68" s="59">
        <f t="shared" ref="CC68:CC131" si="65">CB68+(BT68+BU68)*44/12</f>
        <v>666.05741870390352</v>
      </c>
      <c r="CD68" s="59">
        <f ca="1">AVERAGE(OFFSET($CC$3,0,0,'Données projet'!$E$12+1,1))-AVERAGE(OFFSET($H$3,0,0,'Données projet'!$E$12+1,1))</f>
        <v>190.08613104982993</v>
      </c>
      <c r="CE68" s="59">
        <f t="shared" si="40"/>
        <v>180.55054525447781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0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14.1</v>
      </c>
      <c r="CT68" s="12">
        <f>IF('Données projet'!$A$140&gt;35,CT67+CS68-DB67,IF(A68&lt;'Données projet'!$A$140,$CQ$205^A68,IF(A68='Données projet'!$A$140,'Données projet'!$B$140,CT67+CS68-DB67)))</f>
        <v>427.50000000000017</v>
      </c>
      <c r="CU68" s="17">
        <f>CT68*VLOOKUP('Données projet'!$B$13,Paramètres!$A$1:$I$89,3,0)*VLOOKUP('Données projet'!$B$13,Paramètres!$A$1:$I$89,5,0)</f>
        <v>255.64500000000012</v>
      </c>
      <c r="CV68" s="13">
        <f t="shared" si="41"/>
        <v>61.793157291319226</v>
      </c>
      <c r="CW68" s="20">
        <f t="shared" ref="CW68:CW131" si="67">(CU68+CV68)*0.475*44/12</f>
        <v>552.87145728238113</v>
      </c>
      <c r="CX68" s="59">
        <f t="shared" ref="CX68:CX131" si="68">CW68+(CO68+CP68)*44/12</f>
        <v>846.2047906157145</v>
      </c>
      <c r="CY68" s="59">
        <f ca="1">AVERAGE(OFFSET($CX$3,0,0,'Données projet'!$E$13+1,1))-AVERAGE(OFFSET($H$3,0,0,'Données projet'!$E$13+1,1))</f>
        <v>270.30888762640245</v>
      </c>
      <c r="CZ68" s="59">
        <f t="shared" si="42"/>
        <v>202.23783851977691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1.0709354848763399</v>
      </c>
      <c r="DG68" s="21">
        <f>EXP(-LN(2)/25)*DG67+(1-EXP(-LN(2)/25))/(LN(2)/25)*Calculateur!DB68*Calculateur!DD68*VLOOKUP('Données projet'!$B$13,Paramètres!$A$1:$I$89,3,0)*0.475*44/12</f>
        <v>4.6590126788398321</v>
      </c>
      <c r="DH68" s="21">
        <f>EXP(-LN(2)/2)*DH67+(1-EXP(-LN(2)/2))/(LN(2)/2)*DB68*DE68*VLOOKUP('Données projet'!$B$13,Paramètres!$A$1:$I$89,3,0)*0.475*44/12</f>
        <v>9.9763862101106784E-5</v>
      </c>
      <c r="DI68" s="22">
        <f t="shared" ref="DI68:DI131" si="69">SUM(DF68:DH68)</f>
        <v>5.7300479275782727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11.8</v>
      </c>
      <c r="DO68" s="12">
        <f>IF('Données projet'!$A$166&gt;35,DO67+DN68-DW67,IF(A68&lt;'Données projet'!$A$166,$DL$205^A68,IF(A68='Données projet'!$A$166,'Données projet'!$B$166,DO67+DN68-DW67)))</f>
        <v>367.00000000000006</v>
      </c>
      <c r="DP68" s="17">
        <f>DO68*VLOOKUP('Données projet'!$B$14,Paramètres!$A$1:$I$89,3,0)*VLOOKUP('Données projet'!$B$14,Paramètres!$A$1:$I$89,5,0)</f>
        <v>219.46600000000004</v>
      </c>
      <c r="DQ68" s="13">
        <f t="shared" si="43"/>
        <v>53.998807048358273</v>
      </c>
      <c r="DR68" s="20">
        <f t="shared" ref="DR68:DR131" si="70">(DP68+DQ68)*0.475*44/12</f>
        <v>476.28453894255739</v>
      </c>
      <c r="DS68" s="59">
        <f t="shared" ref="DS68:DS131" si="71">DR68+(DJ68+DK68)*44/12</f>
        <v>769.6178722758907</v>
      </c>
      <c r="DT68" s="59">
        <f ca="1">AVERAGE(OFFSET($DS$3,0,0,'Données projet'!$E$14+1,1))-AVERAGE(OFFSET($H$3,0,0,'Données projet'!$E$14+1,1))</f>
        <v>221.14988592347311</v>
      </c>
      <c r="DU68" s="59">
        <f t="shared" si="44"/>
        <v>179.09262081171607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1.1423311838680952</v>
      </c>
      <c r="EB68" s="21">
        <f>EXP(-LN(2)/25)*EB67+(1-EXP(-LN(2)/25))/(LN(2)/25)*Calculateur!DW68*Calculateur!DY68*VLOOKUP('Données projet'!$B$14,Paramètres!$A$1:$I$89,3,0)*0.475*44/12</f>
        <v>3.8804240705975825</v>
      </c>
      <c r="EC68" s="21">
        <f>EXP(-LN(2)/2)*EC67+(1-EXP(-LN(2)/2))/(LN(2)/2)*DW68*DZ68*VLOOKUP('Données projet'!$B$14,Paramètres!$A$1:$I$89,3,0)*0.475*44/12</f>
        <v>1.0519722575787187E-4</v>
      </c>
      <c r="ED68" s="22">
        <f t="shared" ref="ED68:ED131" si="72">SUM(EA68:EC68)</f>
        <v>5.0228604516914359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7.1</v>
      </c>
      <c r="EJ68" s="12">
        <f>IF('Données projet'!$A$192&gt;35,EJ67+EI68-ER67,IF(A68&lt;'Données projet'!$A$192,$EG$205^A68,IF(A68='Données projet'!$A$192,'Données projet'!$B$192,EJ67+EI68-ER67)))</f>
        <v>318.49999999999989</v>
      </c>
      <c r="EK68" s="17">
        <f>EJ68*VLOOKUP('Données projet'!$B$15,Paramètres!$A$1:$I$89,3,0)*VLOOKUP('Données projet'!$B$15,Paramètres!$A$1:$I$89,5,0)</f>
        <v>173.90099999999995</v>
      </c>
      <c r="EL68" s="13">
        <f t="shared" si="45"/>
        <v>43.962560825689998</v>
      </c>
      <c r="EM68" s="20">
        <f t="shared" ref="EM68:EM131" si="73">(EK68+EL68)*0.475*44/12</f>
        <v>379.44570177141003</v>
      </c>
      <c r="EN68" s="59">
        <f t="shared" ref="EN68:EN131" si="74">EM68+(EE68+EF68)*44/12</f>
        <v>672.77903510474334</v>
      </c>
      <c r="EO68" s="59">
        <f ca="1">AVERAGE(OFFSET($EN$3,0,0,'Données projet'!$E$15+1,1))-AVERAGE(OFFSET($H$3,0,0,'Données projet'!$E$15+1,1))</f>
        <v>168.72306536277267</v>
      </c>
      <c r="EP68" s="59">
        <f t="shared" si="46"/>
        <v>203.35476578922339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1.5210388046069747</v>
      </c>
      <c r="EW68" s="21">
        <f>EXP(-LN(2)/25)*EW67+(1-EXP(-LN(2)/25))/(LN(2)/25)*Calculateur!ER68*Calculateur!ET68*VLOOKUP('Données projet'!$B$15,Paramètres!$A$1:$I$89,3,0)*0.475*44/12</f>
        <v>8.7096944848646807</v>
      </c>
      <c r="EX68" s="21">
        <f>EXP(-LN(2)/2)*EX67+(1-EXP(-LN(2)/2))/(LN(2)/2)*ER68*EU68*VLOOKUP('Données projet'!$B$15,Paramètres!$A$1:$I$89,3,0)*0.475*44/12</f>
        <v>1.0802457986388141E-4</v>
      </c>
      <c r="EY68" s="22">
        <f t="shared" ref="EY68:EY131" si="75">SUM(EV68:EX68)</f>
        <v>10.230841314051519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5.6</v>
      </c>
      <c r="FE68" s="12">
        <f>IF('Données projet'!$A$218&gt;35,FE67+FD68-FM67,IF(A68&lt;'Données projet'!$A$218,$FB$205^A68,IF(A68='Données projet'!$A$218,'Données projet'!$B$218,FE67+FD68-FM67)))</f>
        <v>270</v>
      </c>
      <c r="FF68" s="17">
        <f>FE68*VLOOKUP('Données projet'!$B$16,Paramètres!$A$1:$I$89,3,0)*VLOOKUP('Données projet'!$B$16,Paramètres!$A$1:$I$89,5,0)</f>
        <v>147.41999999999999</v>
      </c>
      <c r="FG68" s="13">
        <f t="shared" si="47"/>
        <v>37.991680647570291</v>
      </c>
      <c r="FH68" s="20">
        <f t="shared" ref="FH68:FH131" si="76">(FF68+FG68)*0.475*44/12</f>
        <v>322.92534379451826</v>
      </c>
      <c r="FI68" s="59">
        <f t="shared" ref="FI68:FI131" si="77">FH68+(EZ68+FA68)*44/12</f>
        <v>616.25867712785157</v>
      </c>
      <c r="FJ68" s="59">
        <f ca="1">AVERAGE(OFFSET($FI$3,0,0,'Données projet'!$E$16+1,1))-AVERAGE(OFFSET($H$3,0,0,'Données projet'!$E$16+1,1))</f>
        <v>127.76128532861486</v>
      </c>
      <c r="FK68" s="59">
        <f t="shared" si="48"/>
        <v>157.52303491639736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>
        <f>EXP(-LN(2)/35)*FQ67+(1-EXP(-LN(2)/35))/(LN(2)/35)*FM68*FN68*VLOOKUP('Données projet'!$B$16,Paramètres!$A$1:$I$89,3,0)*0.475*44/12</f>
        <v>1.2168310436855794</v>
      </c>
      <c r="FR68" s="21">
        <f>EXP(-LN(2)/25)*FR67+(1-EXP(-LN(2)/25))/(LN(2)/25)*Calculateur!FM68*Calculateur!FO68*VLOOKUP('Données projet'!$B$16,Paramètres!$A$1:$I$89,3,0)*0.475*44/12</f>
        <v>6.1846046927949194</v>
      </c>
      <c r="FS68" s="21">
        <f>EXP(-LN(2)/2)*FS67+(1-EXP(-LN(2)/2))/(LN(2)/2)*FM68*FP68*VLOOKUP('Données projet'!$B$16,Paramètres!$A$1:$I$89,3,0)*0.475*44/12</f>
        <v>8.5763074548951375E-5</v>
      </c>
      <c r="FT68" s="22">
        <f t="shared" ref="FT68:FT131" si="78">SUM(FQ68:FS68)</f>
        <v>7.4015214995550478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5.9431089743589762</v>
      </c>
      <c r="N69" s="13">
        <f>IF('Données projet'!$A$36&gt;35,N68+M69-V68,IF(A69&lt;'Données projet'!$A$36,$K$205^A69,IF(A69='Données projet'!$A$36,'Données projet'!$B$36,N68+M69-V68)))</f>
        <v>161.91586538461539</v>
      </c>
      <c r="O69" s="13">
        <f>N69*VLOOKUP('Données projet'!$B$9,Paramètres!$A$1:$I$89,3,0)*VLOOKUP('Données projet'!$B$9,Paramètres!$A$1:$I$89,5,0)</f>
        <v>146.501475</v>
      </c>
      <c r="P69" s="13">
        <f t="shared" ref="P69:P132" si="87">EXP(-1.0587+0.8836*LN(O69)+0.284)</f>
        <v>37.782444550133206</v>
      </c>
      <c r="Q69" s="20">
        <f t="shared" si="54"/>
        <v>320.96115988314858</v>
      </c>
      <c r="R69" s="59">
        <f t="shared" si="55"/>
        <v>614.2944932164819</v>
      </c>
      <c r="S69" s="59">
        <f ca="1">AVERAGE(OFFSET($R$3,0,0,'Données projet'!$E$9+1,1))-AVERAGE(OFFSET($H$3,0,0,'Données projet'!$E$9+1,1))</f>
        <v>153.45079678708987</v>
      </c>
      <c r="T69" s="59">
        <f t="shared" ref="T69:T132" si="88">$T$3</f>
        <v>115.4217868409637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0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0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4.8774928774928759</v>
      </c>
      <c r="AI69" s="13">
        <f>IF('Données projet'!$A$62&gt;35,AI68+AH69-AQ68,IF(A69&lt;'Données projet'!$A$62,$AF$205^A69,IF(A69='Données projet'!$A$62,'Données projet'!$B$62,AI68+AH69-AQ68)))</f>
        <v>131.48931623931631</v>
      </c>
      <c r="AJ69" s="13">
        <f>AI69*VLOOKUP('Données projet'!$B$10,Paramètres!$A$1:$I$89,3,0)*VLOOKUP('Données projet'!$B$10,Paramètres!$A$1:$I$89,5,0)</f>
        <v>118.97153333333338</v>
      </c>
      <c r="AK69" s="13">
        <f t="shared" ref="AK69:AK132" si="89">EXP(-1.0587+0.8836*LN(AJ69)+0.284)</f>
        <v>31.435006299960389</v>
      </c>
      <c r="AL69" s="20">
        <f t="shared" si="58"/>
        <v>261.95805652798663</v>
      </c>
      <c r="AM69" s="59">
        <f t="shared" si="59"/>
        <v>555.29138986131989</v>
      </c>
      <c r="AN69" s="59">
        <f ca="1">AVERAGE(OFFSET($AM$3,0,0,'Données projet'!$E$10+1,1))-AVERAGE(OFFSET($H$3,0,0,'Données projet'!$E$10+1,1))</f>
        <v>123.92486590666675</v>
      </c>
      <c r="AO69" s="59">
        <f t="shared" ref="AO69:AO132" si="90">$AO$3</f>
        <v>54.404493017418986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0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13.296703296703299</v>
      </c>
      <c r="BD69" s="12">
        <f>IF('Données projet'!$A$88&gt;35,BD68+BC69-BL68,IF(A69&lt;'Données projet'!$A$88,$BA$205^A69,IF(A69='Données projet'!$A$88,'Données projet'!$B$88,BD68+BC69-BL68)))</f>
        <v>415.88241758241765</v>
      </c>
      <c r="BE69" s="13">
        <f>BD69*VLOOKUP('Données projet'!$B$11,Paramètres!$A$1:$I$89,3,0)*VLOOKUP('Données projet'!$B$11,Paramètres!$A$1:$I$89,5,0)</f>
        <v>232.47827142857147</v>
      </c>
      <c r="BF69" s="13">
        <f t="shared" ref="BF69:BF132" si="91">EXP(-1.0587+0.8836*LN(BE69)+0.284)</f>
        <v>56.818207052289068</v>
      </c>
      <c r="BG69" s="20">
        <f t="shared" si="61"/>
        <v>503.85803335416534</v>
      </c>
      <c r="BH69" s="59">
        <f t="shared" si="62"/>
        <v>797.19136668749866</v>
      </c>
      <c r="BI69" s="59">
        <f ca="1">AVERAGE(OFFSET($BH$3,0,0,'Données projet'!$E$11+1,1))-AVERAGE(OFFSET($H$3,0,0,'Données projet'!$E$11+1,1))</f>
        <v>224.7049802939942</v>
      </c>
      <c r="BJ69" s="59">
        <f t="shared" ref="BJ69:BJ132" si="92">$BJ$3</f>
        <v>203.48513862195352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1.0937044070942401</v>
      </c>
      <c r="BQ69" s="21">
        <f>EXP(-LN(2)/25)*BQ68+(1-EXP(-LN(2)/25))/(LN(2)/25)*Calculateur!BL69*Calculateur!BN69*VLOOKUP('Données projet'!$B$11,Paramètres!$A$1:$I$89,3,0)*0.475*44/12</f>
        <v>7.1961024826060411</v>
      </c>
      <c r="BR69" s="21">
        <f>EXP(-LN(2)/2)*BR68+(1-EXP(-LN(2)/2))/(LN(2)/2)*BL69*BO69*VLOOKUP('Données projet'!$B$11,Paramètres!$A$1:$I$89,3,0)*0.475*44/12</f>
        <v>3.4182024349548357E-5</v>
      </c>
      <c r="BS69" s="22">
        <f t="shared" si="63"/>
        <v>8.2898410717246307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8.3938461538461517</v>
      </c>
      <c r="BY69" s="12">
        <f>IF('Données projet'!$A$114&gt;35,BY68+BX69-CG68,IF(A69&lt;'Données projet'!$A$114,$BV$205^A69,IF(A69='Données projet'!$A$114,'Données projet'!$B$114,BY68+BX69-CG68)))</f>
        <v>313.84461538461528</v>
      </c>
      <c r="BZ69" s="13">
        <f>BY69*VLOOKUP('Données projet'!$B$12,Paramètres!$A$1:$I$89,3,0)*VLOOKUP('Données projet'!$B$12,Paramètres!$A$1:$I$89,5,0)</f>
        <v>175.43913999999995</v>
      </c>
      <c r="CA69" s="13">
        <f t="shared" ref="CA69:CA132" si="93">EXP(-1.0587+0.8836*LN(BZ69)+0.284)</f>
        <v>44.305968177121578</v>
      </c>
      <c r="CB69" s="20">
        <f t="shared" si="64"/>
        <v>382.72273007515332</v>
      </c>
      <c r="CC69" s="59">
        <f t="shared" si="65"/>
        <v>676.05606340848658</v>
      </c>
      <c r="CD69" s="59">
        <f ca="1">AVERAGE(OFFSET($CC$3,0,0,'Données projet'!$E$12+1,1))-AVERAGE(OFFSET($H$3,0,0,'Données projet'!$E$12+1,1))</f>
        <v>190.08613104982993</v>
      </c>
      <c r="CE69" s="59">
        <f t="shared" ref="CE69:CE132" si="94">$CE$3</f>
        <v>180.55054525447781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0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14.1</v>
      </c>
      <c r="CT69" s="12">
        <f>IF('Données projet'!$A$140&gt;35,CT68+CS69-DB68,IF(A69&lt;'Données projet'!$A$140,$CQ$205^A69,IF(A69='Données projet'!$A$140,'Données projet'!$B$140,CT68+CS69-DB68)))</f>
        <v>441.60000000000019</v>
      </c>
      <c r="CU69" s="17">
        <f>CT69*VLOOKUP('Données projet'!$B$13,Paramètres!$A$1:$I$89,3,0)*VLOOKUP('Données projet'!$B$13,Paramètres!$A$1:$I$89,5,0)</f>
        <v>264.07680000000016</v>
      </c>
      <c r="CV69" s="13">
        <f t="shared" ref="CV69:CV132" si="95">EXP(-1.0587+0.8836*LN(CU69)+0.284)</f>
        <v>63.590598521565674</v>
      </c>
      <c r="CW69" s="20">
        <f t="shared" si="67"/>
        <v>570.6873857583937</v>
      </c>
      <c r="CX69" s="59">
        <f t="shared" si="68"/>
        <v>864.02071909172696</v>
      </c>
      <c r="CY69" s="59">
        <f ca="1">AVERAGE(OFFSET($CX$3,0,0,'Données projet'!$E$13+1,1))-AVERAGE(OFFSET($H$3,0,0,'Données projet'!$E$13+1,1))</f>
        <v>270.30888762640245</v>
      </c>
      <c r="CZ69" s="59">
        <f t="shared" ref="CZ69:CZ132" si="96">$CZ$3</f>
        <v>202.23783851977691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1.0499350932240619</v>
      </c>
      <c r="DG69" s="21">
        <f>EXP(-LN(2)/25)*DG68+(1-EXP(-LN(2)/25))/(LN(2)/25)*Calculateur!DB69*Calculateur!DD69*VLOOKUP('Données projet'!$B$13,Paramètres!$A$1:$I$89,3,0)*0.475*44/12</f>
        <v>4.5316117321301288</v>
      </c>
      <c r="DH69" s="21">
        <f>EXP(-LN(2)/2)*DH68+(1-EXP(-LN(2)/2))/(LN(2)/2)*DB69*DE69*VLOOKUP('Données projet'!$B$13,Paramètres!$A$1:$I$89,3,0)*0.475*44/12</f>
        <v>7.0543703409052216E-5</v>
      </c>
      <c r="DI69" s="22">
        <f t="shared" si="69"/>
        <v>5.5816173690576001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11.8</v>
      </c>
      <c r="DO69" s="12">
        <f>IF('Données projet'!$A$166&gt;35,DO68+DN69-DW68,IF(A69&lt;'Données projet'!$A$166,$DL$205^A69,IF(A69='Données projet'!$A$166,'Données projet'!$B$166,DO68+DN69-DW68)))</f>
        <v>378.80000000000007</v>
      </c>
      <c r="DP69" s="17">
        <f>DO69*VLOOKUP('Données projet'!$B$14,Paramètres!$A$1:$I$89,3,0)*VLOOKUP('Données projet'!$B$14,Paramètres!$A$1:$I$89,5,0)</f>
        <v>226.52240000000006</v>
      </c>
      <c r="DQ69" s="13">
        <f t="shared" ref="DQ69:DQ132" si="97">EXP(-1.0587+0.8836*LN(DP69)+0.284)</f>
        <v>55.530077657863188</v>
      </c>
      <c r="DR69" s="20">
        <f t="shared" si="70"/>
        <v>491.24139858744519</v>
      </c>
      <c r="DS69" s="59">
        <f t="shared" si="71"/>
        <v>784.5747319207785</v>
      </c>
      <c r="DT69" s="59">
        <f ca="1">AVERAGE(OFFSET($DS$3,0,0,'Données projet'!$E$14+1,1))-AVERAGE(OFFSET($H$3,0,0,'Données projet'!$E$14+1,1))</f>
        <v>221.14988592347311</v>
      </c>
      <c r="DU69" s="59">
        <f t="shared" ref="DU69:DU132" si="98">$DU$3</f>
        <v>179.09262081171607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1.1199307661056652</v>
      </c>
      <c r="EB69" s="21">
        <f>EXP(-LN(2)/25)*EB68+(1-EXP(-LN(2)/25))/(LN(2)/25)*Calculateur!DW69*Calculateur!DY69*VLOOKUP('Données projet'!$B$14,Paramètres!$A$1:$I$89,3,0)*0.475*44/12</f>
        <v>3.7743136703244584</v>
      </c>
      <c r="EC69" s="21">
        <f>EXP(-LN(2)/2)*EC68+(1-EXP(-LN(2)/2))/(LN(2)/2)*DW69*DZ69*VLOOKUP('Données projet'!$B$14,Paramètres!$A$1:$I$89,3,0)*0.475*44/12</f>
        <v>7.4385671695403346E-5</v>
      </c>
      <c r="ED69" s="22">
        <f t="shared" si="72"/>
        <v>4.8943188221018188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7.1</v>
      </c>
      <c r="EJ69" s="12">
        <f>IF('Données projet'!$A$192&gt;35,EJ68+EI69-ER68,IF(A69&lt;'Données projet'!$A$192,$EG$205^A69,IF(A69='Données projet'!$A$192,'Données projet'!$B$192,EJ68+EI69-ER68)))</f>
        <v>325.59999999999991</v>
      </c>
      <c r="EK69" s="17">
        <f>EJ69*VLOOKUP('Données projet'!$B$15,Paramètres!$A$1:$I$89,3,0)*VLOOKUP('Données projet'!$B$15,Paramètres!$A$1:$I$89,5,0)</f>
        <v>177.77759999999995</v>
      </c>
      <c r="EL69" s="13">
        <f t="shared" ref="EL69:EL132" si="99">EXP(-1.0587+0.8836*LN(EK69)+0.284)</f>
        <v>44.827386173754917</v>
      </c>
      <c r="EM69" s="20">
        <f t="shared" si="73"/>
        <v>387.70368425262308</v>
      </c>
      <c r="EN69" s="59">
        <f t="shared" si="74"/>
        <v>681.03701758595639</v>
      </c>
      <c r="EO69" s="59">
        <f ca="1">AVERAGE(OFFSET($EN$3,0,0,'Données projet'!$E$15+1,1))-AVERAGE(OFFSET($H$3,0,0,'Données projet'!$E$15+1,1))</f>
        <v>168.72306536277267</v>
      </c>
      <c r="EP69" s="59">
        <f t="shared" ref="EP69:EP132" si="100">$EP$3</f>
        <v>203.35476578922339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1.4912121613906959</v>
      </c>
      <c r="EW69" s="21">
        <f>EXP(-LN(2)/25)*EW68+(1-EXP(-LN(2)/25))/(LN(2)/25)*Calculateur!ER69*Calculateur!ET69*VLOOKUP('Données projet'!$B$15,Paramètres!$A$1:$I$89,3,0)*0.475*44/12</f>
        <v>8.4715274311531292</v>
      </c>
      <c r="EX69" s="21">
        <f>EXP(-LN(2)/2)*EX68+(1-EXP(-LN(2)/2))/(LN(2)/2)*ER69*EU69*VLOOKUP('Données projet'!$B$15,Paramètres!$A$1:$I$89,3,0)*0.475*44/12</f>
        <v>7.6384912956578316E-5</v>
      </c>
      <c r="EY69" s="22">
        <f t="shared" si="75"/>
        <v>9.9628159774567813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5.6</v>
      </c>
      <c r="FE69" s="12">
        <f>IF('Données projet'!$A$218&gt;35,FE68+FD69-FM68,IF(A69&lt;'Données projet'!$A$218,$FB$205^A69,IF(A69='Données projet'!$A$218,'Données projet'!$B$218,FE68+FD69-FM68)))</f>
        <v>275.60000000000002</v>
      </c>
      <c r="FF69" s="17">
        <f>FE69*VLOOKUP('Données projet'!$B$16,Paramètres!$A$1:$I$89,3,0)*VLOOKUP('Données projet'!$B$16,Paramètres!$A$1:$I$89,5,0)</f>
        <v>150.47760000000002</v>
      </c>
      <c r="FG69" s="13">
        <f t="shared" ref="FG69:FG132" si="101">EXP(-1.0587+0.8836*LN(FF69)+0.284)</f>
        <v>38.68710184571318</v>
      </c>
      <c r="FH69" s="20">
        <f t="shared" si="76"/>
        <v>329.46185571461717</v>
      </c>
      <c r="FI69" s="59">
        <f t="shared" si="77"/>
        <v>622.79518904795054</v>
      </c>
      <c r="FJ69" s="59">
        <f ca="1">AVERAGE(OFFSET($FI$3,0,0,'Données projet'!$E$16+1,1))-AVERAGE(OFFSET($H$3,0,0,'Données projet'!$E$16+1,1))</f>
        <v>127.76128532861486</v>
      </c>
      <c r="FK69" s="59">
        <f t="shared" ref="FK69:FK132" si="102">$FK$3</f>
        <v>157.52303491639736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>
        <f>EXP(-LN(2)/35)*FQ68+(1-EXP(-LN(2)/35))/(LN(2)/35)*FM69*FN69*VLOOKUP('Données projet'!$B$16,Paramètres!$A$1:$I$89,3,0)*0.475*44/12</f>
        <v>1.1929697291125563</v>
      </c>
      <c r="FR69" s="21">
        <f>EXP(-LN(2)/25)*FR68+(1-EXP(-LN(2)/25))/(LN(2)/25)*Calculateur!FM69*Calculateur!FO69*VLOOKUP('Données projet'!$B$16,Paramètres!$A$1:$I$89,3,0)*0.475*44/12</f>
        <v>6.0154863522362163</v>
      </c>
      <c r="FS69" s="21">
        <f>EXP(-LN(2)/2)*FS68+(1-EXP(-LN(2)/2))/(LN(2)/2)*FM69*FP69*VLOOKUP('Données projet'!$B$16,Paramètres!$A$1:$I$89,3,0)*0.475*44/12</f>
        <v>6.0643651588970925E-5</v>
      </c>
      <c r="FT69" s="22">
        <f t="shared" si="78"/>
        <v>7.2085167250003623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>
        <f>VLOOKUP(A70,'Données projet'!$A$35:$I$55,2,0)</f>
        <v>167.85897435897436</v>
      </c>
      <c r="L70" s="12">
        <f>VLOOKUP(A70,'Données projet'!$A$35:$I$55,9,0)</f>
        <v>5.9431089743589762</v>
      </c>
      <c r="M70" s="12">
        <f t="array" ref="M70">INDEX(L:L,MIN(IF(ISNUMBER(L70:L266),ROW(L70:L266),"")))</f>
        <v>5.9431089743589762</v>
      </c>
      <c r="N70" s="13">
        <f>IF('Données projet'!$A$36&gt;35,N69+M70-V69,IF(A70&lt;'Données projet'!$A$36,$K$205^A70,IF(A70='Données projet'!$A$36,'Données projet'!$B$36,N69+M70-V69)))</f>
        <v>167.85897435897436</v>
      </c>
      <c r="O70" s="13">
        <f>N70*VLOOKUP('Données projet'!$B$9,Paramètres!$A$1:$I$89,3,0)*VLOOKUP('Données projet'!$B$9,Paramètres!$A$1:$I$89,5,0)</f>
        <v>151.87880000000001</v>
      </c>
      <c r="P70" s="13">
        <f t="shared" si="87"/>
        <v>39.005239858021888</v>
      </c>
      <c r="Q70" s="20">
        <f t="shared" si="54"/>
        <v>332.45636941938818</v>
      </c>
      <c r="R70" s="59">
        <f t="shared" si="55"/>
        <v>625.7897027527215</v>
      </c>
      <c r="S70" s="59">
        <f ca="1">AVERAGE(OFFSET($R$3,0,0,'Données projet'!$E$9+1,1))-AVERAGE(OFFSET($H$3,0,0,'Données projet'!$E$9+1,1))</f>
        <v>153.45079678708987</v>
      </c>
      <c r="T70" s="59">
        <f t="shared" si="88"/>
        <v>115.4217868409637</v>
      </c>
      <c r="U70" s="15">
        <f>IF(ISNA(VLOOKUP(A70,'Données projet'!$A$35:$I$55,3,0)),0,VLOOKUP(A70,'Données projet'!$A$35:$I$55,3,0))</f>
        <v>4</v>
      </c>
      <c r="V70" s="15">
        <f>IF(ISNA(VLOOKUP(A70,'Données projet'!$A$35:$I$55,4,0)),0,VLOOKUP(A70,'Données projet'!$A$35:$I$55,4,0))</f>
        <v>31.993589743589741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0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0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4.8774928774928759</v>
      </c>
      <c r="AI70" s="13">
        <f>IF('Données projet'!$A$62&gt;35,AI69+AH70-AQ69,IF(A70&lt;'Données projet'!$A$62,$AF$205^A70,IF(A70='Données projet'!$A$62,'Données projet'!$B$62,AI69+AH70-AQ69)))</f>
        <v>136.36680911680918</v>
      </c>
      <c r="AJ70" s="13">
        <f>AI70*VLOOKUP('Données projet'!$B$10,Paramètres!$A$1:$I$89,3,0)*VLOOKUP('Données projet'!$B$10,Paramètres!$A$1:$I$89,5,0)</f>
        <v>123.38468888888893</v>
      </c>
      <c r="AK70" s="13">
        <f t="shared" si="89"/>
        <v>32.463139900652067</v>
      </c>
      <c r="AL70" s="20">
        <f t="shared" si="58"/>
        <v>271.43496847511716</v>
      </c>
      <c r="AM70" s="59">
        <f t="shared" si="59"/>
        <v>564.76830180845047</v>
      </c>
      <c r="AN70" s="59">
        <f ca="1">AVERAGE(OFFSET($AM$3,0,0,'Données projet'!$E$10+1,1))-AVERAGE(OFFSET($H$3,0,0,'Données projet'!$E$10+1,1))</f>
        <v>123.92486590666675</v>
      </c>
      <c r="AO70" s="59">
        <f t="shared" si="90"/>
        <v>54.404493017418986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0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13.296703296703299</v>
      </c>
      <c r="BD70" s="12">
        <f>IF('Données projet'!$A$88&gt;35,BD69+BC70-BL69,IF(A70&lt;'Données projet'!$A$88,$BA$205^A70,IF(A70='Données projet'!$A$88,'Données projet'!$B$88,BD69+BC70-BL69)))</f>
        <v>429.17912087912094</v>
      </c>
      <c r="BE70" s="13">
        <f>BD70*VLOOKUP('Données projet'!$B$11,Paramètres!$A$1:$I$89,3,0)*VLOOKUP('Données projet'!$B$11,Paramètres!$A$1:$I$89,5,0)</f>
        <v>239.91112857142861</v>
      </c>
      <c r="BF70" s="13">
        <f t="shared" si="91"/>
        <v>58.420408949287598</v>
      </c>
      <c r="BG70" s="20">
        <f t="shared" si="61"/>
        <v>519.59409451524732</v>
      </c>
      <c r="BH70" s="59">
        <f t="shared" si="62"/>
        <v>812.92742784858069</v>
      </c>
      <c r="BI70" s="59">
        <f ca="1">AVERAGE(OFFSET($BH$3,0,0,'Données projet'!$E$11+1,1))-AVERAGE(OFFSET($H$3,0,0,'Données projet'!$E$11+1,1))</f>
        <v>224.7049802939942</v>
      </c>
      <c r="BJ70" s="59">
        <f t="shared" si="92"/>
        <v>203.48513862195352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1.0722575307649402</v>
      </c>
      <c r="BQ70" s="21">
        <f>EXP(-LN(2)/25)*BQ69+(1-EXP(-LN(2)/25))/(LN(2)/25)*Calculateur!BL70*Calculateur!BN70*VLOOKUP('Données projet'!$B$11,Paramètres!$A$1:$I$89,3,0)*0.475*44/12</f>
        <v>6.9993246817925963</v>
      </c>
      <c r="BR70" s="21">
        <f>EXP(-LN(2)/2)*BR69+(1-EXP(-LN(2)/2))/(LN(2)/2)*BL70*BO70*VLOOKUP('Données projet'!$B$11,Paramètres!$A$1:$I$89,3,0)*0.475*44/12</f>
        <v>2.417034121224933E-5</v>
      </c>
      <c r="BS70" s="22">
        <f t="shared" si="63"/>
        <v>8.0716063828987501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8.3938461538461517</v>
      </c>
      <c r="BY70" s="12">
        <f>IF('Données projet'!$A$114&gt;35,BY69+BX70-CG69,IF(A70&lt;'Données projet'!$A$114,$BV$205^A70,IF(A70='Données projet'!$A$114,'Données projet'!$B$114,BY69+BX70-CG69)))</f>
        <v>322.23846153846142</v>
      </c>
      <c r="BZ70" s="13">
        <f>BY70*VLOOKUP('Données projet'!$B$12,Paramètres!$A$1:$I$89,3,0)*VLOOKUP('Données projet'!$B$12,Paramètres!$A$1:$I$89,5,0)</f>
        <v>180.13129999999995</v>
      </c>
      <c r="CA70" s="13">
        <f t="shared" si="93"/>
        <v>45.351396757692228</v>
      </c>
      <c r="CB70" s="20">
        <f t="shared" si="64"/>
        <v>392.7156968529805</v>
      </c>
      <c r="CC70" s="59">
        <f t="shared" si="65"/>
        <v>686.04903018631376</v>
      </c>
      <c r="CD70" s="59">
        <f ca="1">AVERAGE(OFFSET($CC$3,0,0,'Données projet'!$E$12+1,1))-AVERAGE(OFFSET($H$3,0,0,'Données projet'!$E$12+1,1))</f>
        <v>190.08613104982993</v>
      </c>
      <c r="CE70" s="59">
        <f t="shared" si="94"/>
        <v>180.55054525447781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0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14.1</v>
      </c>
      <c r="CT70" s="12">
        <f>IF('Données projet'!$A$140&gt;35,CT69+CS70-DB69,IF(A70&lt;'Données projet'!$A$140,$CQ$205^A70,IF(A70='Données projet'!$A$140,'Données projet'!$B$140,CT69+CS70-DB69)))</f>
        <v>455.70000000000022</v>
      </c>
      <c r="CU70" s="17">
        <f>CT70*VLOOKUP('Données projet'!$B$13,Paramètres!$A$1:$I$89,3,0)*VLOOKUP('Données projet'!$B$13,Paramètres!$A$1:$I$89,5,0)</f>
        <v>272.50860000000011</v>
      </c>
      <c r="CV70" s="13">
        <f t="shared" si="95"/>
        <v>65.381370626128245</v>
      </c>
      <c r="CW70" s="20">
        <f t="shared" si="67"/>
        <v>588.49169884050696</v>
      </c>
      <c r="CX70" s="59">
        <f t="shared" si="68"/>
        <v>881.82503217384033</v>
      </c>
      <c r="CY70" s="59">
        <f ca="1">AVERAGE(OFFSET($CX$3,0,0,'Données projet'!$E$13+1,1))-AVERAGE(OFFSET($H$3,0,0,'Données projet'!$E$13+1,1))</f>
        <v>270.30888762640245</v>
      </c>
      <c r="CZ70" s="59">
        <f t="shared" si="96"/>
        <v>202.23783851977691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1.0293465064431109</v>
      </c>
      <c r="DG70" s="21">
        <f>EXP(-LN(2)/25)*DG69+(1-EXP(-LN(2)/25))/(LN(2)/25)*Calculateur!DB70*Calculateur!DD70*VLOOKUP('Données projet'!$B$13,Paramètres!$A$1:$I$89,3,0)*0.475*44/12</f>
        <v>4.4076945710079265</v>
      </c>
      <c r="DH70" s="21">
        <f>EXP(-LN(2)/2)*DH69+(1-EXP(-LN(2)/2))/(LN(2)/2)*DB70*DE70*VLOOKUP('Données projet'!$B$13,Paramètres!$A$1:$I$89,3,0)*0.475*44/12</f>
        <v>4.9881931050553392E-5</v>
      </c>
      <c r="DI70" s="22">
        <f t="shared" si="69"/>
        <v>5.437090959382088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11.8</v>
      </c>
      <c r="DO70" s="12">
        <f>IF('Données projet'!$A$166&gt;35,DO69+DN70-DW69,IF(A70&lt;'Données projet'!$A$166,$DL$205^A70,IF(A70='Données projet'!$A$166,'Données projet'!$B$166,DO69+DN70-DW69)))</f>
        <v>390.60000000000008</v>
      </c>
      <c r="DP70" s="17">
        <f>DO70*VLOOKUP('Données projet'!$B$14,Paramètres!$A$1:$I$89,3,0)*VLOOKUP('Données projet'!$B$14,Paramètres!$A$1:$I$89,5,0)</f>
        <v>233.57880000000006</v>
      </c>
      <c r="DQ70" s="13">
        <f t="shared" si="97"/>
        <v>57.055805022709997</v>
      </c>
      <c r="DR70" s="20">
        <f t="shared" si="70"/>
        <v>506.18860374788665</v>
      </c>
      <c r="DS70" s="59">
        <f t="shared" si="71"/>
        <v>799.5219370812199</v>
      </c>
      <c r="DT70" s="59">
        <f ca="1">AVERAGE(OFFSET($DS$3,0,0,'Données projet'!$E$14+1,1))-AVERAGE(OFFSET($H$3,0,0,'Données projet'!$E$14+1,1))</f>
        <v>221.14988592347311</v>
      </c>
      <c r="DU70" s="59">
        <f t="shared" si="98"/>
        <v>179.09262081171607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1.097969606872651</v>
      </c>
      <c r="EB70" s="21">
        <f>EXP(-LN(2)/25)*EB69+(1-EXP(-LN(2)/25))/(LN(2)/25)*Calculateur!DW70*Calculateur!DY70*VLOOKUP('Données projet'!$B$14,Paramètres!$A$1:$I$89,3,0)*0.475*44/12</f>
        <v>3.6711048645269067</v>
      </c>
      <c r="EC70" s="21">
        <f>EXP(-LN(2)/2)*EC69+(1-EXP(-LN(2)/2))/(LN(2)/2)*DW70*DZ70*VLOOKUP('Données projet'!$B$14,Paramètres!$A$1:$I$89,3,0)*0.475*44/12</f>
        <v>5.2598612878935936E-5</v>
      </c>
      <c r="ED70" s="22">
        <f t="shared" si="72"/>
        <v>4.769127070012436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7.1</v>
      </c>
      <c r="EJ70" s="12">
        <f>IF('Données projet'!$A$192&gt;35,EJ69+EI70-ER69,IF(A70&lt;'Données projet'!$A$192,$EG$205^A70,IF(A70='Données projet'!$A$192,'Données projet'!$B$192,EJ69+EI70-ER69)))</f>
        <v>332.69999999999993</v>
      </c>
      <c r="EK70" s="17">
        <f>EJ70*VLOOKUP('Données projet'!$B$15,Paramètres!$A$1:$I$89,3,0)*VLOOKUP('Données projet'!$B$15,Paramètres!$A$1:$I$89,5,0)</f>
        <v>181.65419999999995</v>
      </c>
      <c r="EL70" s="13">
        <f t="shared" si="99"/>
        <v>45.690019016400768</v>
      </c>
      <c r="EM70" s="20">
        <f t="shared" si="73"/>
        <v>395.95784812023118</v>
      </c>
      <c r="EN70" s="59">
        <f t="shared" si="74"/>
        <v>689.29118145356449</v>
      </c>
      <c r="EO70" s="59">
        <f ca="1">AVERAGE(OFFSET($EN$3,0,0,'Données projet'!$E$15+1,1))-AVERAGE(OFFSET($H$3,0,0,'Données projet'!$E$15+1,1))</f>
        <v>168.72306536277267</v>
      </c>
      <c r="EP70" s="59">
        <f t="shared" si="100"/>
        <v>203.35476578922339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1.4619704004554321</v>
      </c>
      <c r="EW70" s="21">
        <f>EXP(-LN(2)/25)*EW69+(1-EXP(-LN(2)/25))/(LN(2)/25)*Calculateur!ER70*Calculateur!ET70*VLOOKUP('Données projet'!$B$15,Paramètres!$A$1:$I$89,3,0)*0.475*44/12</f>
        <v>8.239873068049981</v>
      </c>
      <c r="EX70" s="21">
        <f>EXP(-LN(2)/2)*EX69+(1-EXP(-LN(2)/2))/(LN(2)/2)*ER70*EU70*VLOOKUP('Données projet'!$B$15,Paramètres!$A$1:$I$89,3,0)*0.475*44/12</f>
        <v>5.4012289931940703E-5</v>
      </c>
      <c r="EY70" s="22">
        <f t="shared" si="75"/>
        <v>9.7018974807953438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5.6</v>
      </c>
      <c r="FE70" s="12">
        <f>IF('Données projet'!$A$218&gt;35,FE69+FD70-FM69,IF(A70&lt;'Données projet'!$A$218,$FB$205^A70,IF(A70='Données projet'!$A$218,'Données projet'!$B$218,FE69+FD70-FM69)))</f>
        <v>281.20000000000005</v>
      </c>
      <c r="FF70" s="17">
        <f>FE70*VLOOKUP('Données projet'!$B$16,Paramètres!$A$1:$I$89,3,0)*VLOOKUP('Données projet'!$B$16,Paramètres!$A$1:$I$89,5,0)</f>
        <v>153.53520000000003</v>
      </c>
      <c r="FG70" s="13">
        <f t="shared" si="101"/>
        <v>39.380880080709709</v>
      </c>
      <c r="FH70" s="20">
        <f t="shared" si="76"/>
        <v>335.99550614056949</v>
      </c>
      <c r="FI70" s="59">
        <f t="shared" si="77"/>
        <v>629.3288394739028</v>
      </c>
      <c r="FJ70" s="59">
        <f ca="1">AVERAGE(OFFSET($FI$3,0,0,'Données projet'!$E$16+1,1))-AVERAGE(OFFSET($H$3,0,0,'Données projet'!$E$16+1,1))</f>
        <v>127.76128532861486</v>
      </c>
      <c r="FK70" s="59">
        <f t="shared" si="102"/>
        <v>157.52303491639736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>
        <f>EXP(-LN(2)/35)*FQ69+(1-EXP(-LN(2)/35))/(LN(2)/35)*FM70*FN70*VLOOKUP('Données projet'!$B$16,Paramètres!$A$1:$I$89,3,0)*0.475*44/12</f>
        <v>1.1695763203643454</v>
      </c>
      <c r="FR70" s="21">
        <f>EXP(-LN(2)/25)*FR69+(1-EXP(-LN(2)/25))/(LN(2)/25)*Calculateur!FM70*Calculateur!FO70*VLOOKUP('Données projet'!$B$16,Paramètres!$A$1:$I$89,3,0)*0.475*44/12</f>
        <v>5.850992561593638</v>
      </c>
      <c r="FS70" s="21">
        <f>EXP(-LN(2)/2)*FS69+(1-EXP(-LN(2)/2))/(LN(2)/2)*FM70*FP70*VLOOKUP('Données projet'!$B$16,Paramètres!$A$1:$I$89,3,0)*0.475*44/12</f>
        <v>4.2881537274475694E-5</v>
      </c>
      <c r="FT70" s="22">
        <f t="shared" si="78"/>
        <v>7.0206117634952578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5.6899038461538431</v>
      </c>
      <c r="N71" s="13">
        <f>IF('Données projet'!$A$36&gt;35,N70+M71-V70,IF(A71&lt;'Données projet'!$A$36,$K$205^A71,IF(A71='Données projet'!$A$36,'Données projet'!$B$36,N70+M71-V70)))</f>
        <v>141.55528846153845</v>
      </c>
      <c r="O71" s="13">
        <f>N71*VLOOKUP('Données projet'!$B$9,Paramètres!$A$1:$I$89,3,0)*VLOOKUP('Données projet'!$B$9,Paramètres!$A$1:$I$89,5,0)</f>
        <v>128.07922499999998</v>
      </c>
      <c r="P71" s="13">
        <f t="shared" si="87"/>
        <v>33.552140849481908</v>
      </c>
      <c r="Q71" s="20">
        <f t="shared" si="54"/>
        <v>281.50796218784762</v>
      </c>
      <c r="R71" s="59">
        <f t="shared" si="55"/>
        <v>574.84129552118088</v>
      </c>
      <c r="S71" s="59">
        <f ca="1">AVERAGE(OFFSET($R$3,0,0,'Données projet'!$E$9+1,1))-AVERAGE(OFFSET($H$3,0,0,'Données projet'!$E$9+1,1))</f>
        <v>153.45079678708987</v>
      </c>
      <c r="T71" s="59">
        <f t="shared" si="88"/>
        <v>115.4217868409637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0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0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4.8774928774928759</v>
      </c>
      <c r="AI71" s="13">
        <f>IF('Données projet'!$A$62&gt;35,AI70+AH71-AQ70,IF(A71&lt;'Données projet'!$A$62,$AF$205^A71,IF(A71='Données projet'!$A$62,'Données projet'!$B$62,AI70+AH71-AQ70)))</f>
        <v>141.24430199430205</v>
      </c>
      <c r="AJ71" s="13">
        <f>AI71*VLOOKUP('Données projet'!$B$10,Paramètres!$A$1:$I$89,3,0)*VLOOKUP('Données projet'!$B$10,Paramètres!$A$1:$I$89,5,0)</f>
        <v>127.79784444444448</v>
      </c>
      <c r="AK71" s="13">
        <f t="shared" si="89"/>
        <v>33.48700097663891</v>
      </c>
      <c r="AL71" s="20">
        <f t="shared" si="58"/>
        <v>280.9044391083869</v>
      </c>
      <c r="AM71" s="59">
        <f t="shared" si="59"/>
        <v>574.23777244172015</v>
      </c>
      <c r="AN71" s="59">
        <f ca="1">AVERAGE(OFFSET($AM$3,0,0,'Données projet'!$E$10+1,1))-AVERAGE(OFFSET($H$3,0,0,'Données projet'!$E$10+1,1))</f>
        <v>123.92486590666675</v>
      </c>
      <c r="AO71" s="59">
        <f t="shared" si="90"/>
        <v>54.404493017418986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0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13.296703296703299</v>
      </c>
      <c r="BD71" s="12">
        <f>IF('Données projet'!$A$88&gt;35,BD70+BC71-BL70,IF(A71&lt;'Données projet'!$A$88,$BA$205^A71,IF(A71='Données projet'!$A$88,'Données projet'!$B$88,BD70+BC71-BL70)))</f>
        <v>442.47582417582424</v>
      </c>
      <c r="BE71" s="13">
        <f>BD71*VLOOKUP('Données projet'!$B$11,Paramètres!$A$1:$I$89,3,0)*VLOOKUP('Données projet'!$B$11,Paramètres!$A$1:$I$89,5,0)</f>
        <v>247.34398571428574</v>
      </c>
      <c r="BF71" s="13">
        <f t="shared" si="91"/>
        <v>60.016842302819605</v>
      </c>
      <c r="BG71" s="20">
        <f t="shared" si="61"/>
        <v>535.32010879645838</v>
      </c>
      <c r="BH71" s="59">
        <f t="shared" si="62"/>
        <v>828.65344212979176</v>
      </c>
      <c r="BI71" s="59">
        <f ca="1">AVERAGE(OFFSET($BH$3,0,0,'Données projet'!$E$11+1,1))-AVERAGE(OFFSET($H$3,0,0,'Données projet'!$E$11+1,1))</f>
        <v>224.7049802939942</v>
      </c>
      <c r="BJ71" s="59">
        <f t="shared" si="92"/>
        <v>203.48513862195352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1.0512312145991551</v>
      </c>
      <c r="BQ71" s="21">
        <f>EXP(-LN(2)/25)*BQ70+(1-EXP(-LN(2)/25))/(LN(2)/25)*Calculateur!BL71*Calculateur!BN71*VLOOKUP('Données projet'!$B$11,Paramètres!$A$1:$I$89,3,0)*0.475*44/12</f>
        <v>6.8079277802904903</v>
      </c>
      <c r="BR71" s="21">
        <f>EXP(-LN(2)/2)*BR70+(1-EXP(-LN(2)/2))/(LN(2)/2)*BL71*BO71*VLOOKUP('Données projet'!$B$11,Paramètres!$A$1:$I$89,3,0)*0.475*44/12</f>
        <v>1.7091012174774179E-5</v>
      </c>
      <c r="BS71" s="22">
        <f t="shared" si="63"/>
        <v>7.8591760859018196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8.3938461538461517</v>
      </c>
      <c r="BY71" s="12">
        <f>IF('Données projet'!$A$114&gt;35,BY70+BX71-CG70,IF(A71&lt;'Données projet'!$A$114,$BV$205^A71,IF(A71='Données projet'!$A$114,'Données projet'!$B$114,BY70+BX71-CG70)))</f>
        <v>330.63230769230756</v>
      </c>
      <c r="BZ71" s="13">
        <f>BY71*VLOOKUP('Données projet'!$B$12,Paramètres!$A$1:$I$89,3,0)*VLOOKUP('Données projet'!$B$12,Paramètres!$A$1:$I$89,5,0)</f>
        <v>184.82345999999993</v>
      </c>
      <c r="CA71" s="13">
        <f t="shared" si="93"/>
        <v>46.393659967051107</v>
      </c>
      <c r="CB71" s="20">
        <f t="shared" si="64"/>
        <v>402.7031506092805</v>
      </c>
      <c r="CC71" s="59">
        <f t="shared" si="65"/>
        <v>696.03648394261381</v>
      </c>
      <c r="CD71" s="59">
        <f ca="1">AVERAGE(OFFSET($CC$3,0,0,'Données projet'!$E$12+1,1))-AVERAGE(OFFSET($H$3,0,0,'Données projet'!$E$12+1,1))</f>
        <v>190.08613104982993</v>
      </c>
      <c r="CE71" s="59">
        <f t="shared" si="94"/>
        <v>180.55054525447781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0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14.1</v>
      </c>
      <c r="CT71" s="12">
        <f>IF('Données projet'!$A$140&gt;35,CT70+CS71-DB70,IF(A71&lt;'Données projet'!$A$140,$CQ$205^A71,IF(A71='Données projet'!$A$140,'Données projet'!$B$140,CT70+CS71-DB70)))</f>
        <v>469.80000000000024</v>
      </c>
      <c r="CU71" s="17">
        <f>CT71*VLOOKUP('Données projet'!$B$13,Paramètres!$A$1:$I$89,3,0)*VLOOKUP('Données projet'!$B$13,Paramètres!$A$1:$I$89,5,0)</f>
        <v>280.94040000000018</v>
      </c>
      <c r="CV71" s="13">
        <f t="shared" si="95"/>
        <v>67.165703636653262</v>
      </c>
      <c r="CW71" s="20">
        <f t="shared" si="67"/>
        <v>606.2847971671714</v>
      </c>
      <c r="CX71" s="59">
        <f t="shared" si="68"/>
        <v>899.61813050050478</v>
      </c>
      <c r="CY71" s="59">
        <f ca="1">AVERAGE(OFFSET($CX$3,0,0,'Données projet'!$E$13+1,1))-AVERAGE(OFFSET($H$3,0,0,'Données projet'!$E$13+1,1))</f>
        <v>270.30888762640245</v>
      </c>
      <c r="CZ71" s="59">
        <f t="shared" si="96"/>
        <v>202.23783851977691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1.0091616492911364</v>
      </c>
      <c r="DG71" s="21">
        <f>EXP(-LN(2)/25)*DG70+(1-EXP(-LN(2)/25))/(LN(2)/25)*Calculateur!DB71*Calculateur!DD71*VLOOKUP('Données projet'!$B$13,Paramètres!$A$1:$I$89,3,0)*0.475*44/12</f>
        <v>4.2871659311731314</v>
      </c>
      <c r="DH71" s="21">
        <f>EXP(-LN(2)/2)*DH70+(1-EXP(-LN(2)/2))/(LN(2)/2)*DB71*DE71*VLOOKUP('Données projet'!$B$13,Paramètres!$A$1:$I$89,3,0)*0.475*44/12</f>
        <v>3.5271851704526108E-5</v>
      </c>
      <c r="DI71" s="22">
        <f t="shared" si="69"/>
        <v>5.2963628523159718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11.8</v>
      </c>
      <c r="DO71" s="12">
        <f>IF('Données projet'!$A$166&gt;35,DO70+DN71-DW70,IF(A71&lt;'Données projet'!$A$166,$DL$205^A71,IF(A71='Données projet'!$A$166,'Données projet'!$B$166,DO70+DN71-DW70)))</f>
        <v>402.40000000000009</v>
      </c>
      <c r="DP71" s="17">
        <f>DO71*VLOOKUP('Données projet'!$B$14,Paramètres!$A$1:$I$89,3,0)*VLOOKUP('Données projet'!$B$14,Paramètres!$A$1:$I$89,5,0)</f>
        <v>240.63520000000005</v>
      </c>
      <c r="DQ71" s="13">
        <f t="shared" si="97"/>
        <v>58.576175825686029</v>
      </c>
      <c r="DR71" s="20">
        <f t="shared" si="70"/>
        <v>521.12647956306989</v>
      </c>
      <c r="DS71" s="59">
        <f t="shared" si="71"/>
        <v>814.45981289640326</v>
      </c>
      <c r="DT71" s="59">
        <f ca="1">AVERAGE(OFFSET($DS$3,0,0,'Données projet'!$E$14+1,1))-AVERAGE(OFFSET($H$3,0,0,'Données projet'!$E$14+1,1))</f>
        <v>221.14988592347311</v>
      </c>
      <c r="DU71" s="59">
        <f t="shared" si="98"/>
        <v>179.09262081171607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1.0764390925772116</v>
      </c>
      <c r="EB71" s="21">
        <f>EXP(-LN(2)/25)*EB70+(1-EXP(-LN(2)/25))/(LN(2)/25)*Calculateur!DW71*Calculateur!DY71*VLOOKUP('Données projet'!$B$14,Paramètres!$A$1:$I$89,3,0)*0.475*44/12</f>
        <v>3.5707183089514039</v>
      </c>
      <c r="EC71" s="21">
        <f>EXP(-LN(2)/2)*EC70+(1-EXP(-LN(2)/2))/(LN(2)/2)*DW71*DZ71*VLOOKUP('Données projet'!$B$14,Paramètres!$A$1:$I$89,3,0)*0.475*44/12</f>
        <v>3.7192835847701673E-5</v>
      </c>
      <c r="ED71" s="22">
        <f t="shared" si="72"/>
        <v>4.6471945943644632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7.1</v>
      </c>
      <c r="EJ71" s="12">
        <f>IF('Données projet'!$A$192&gt;35,EJ70+EI71-ER70,IF(A71&lt;'Données projet'!$A$192,$EG$205^A71,IF(A71='Données projet'!$A$192,'Données projet'!$B$192,EJ70+EI71-ER70)))</f>
        <v>339.79999999999995</v>
      </c>
      <c r="EK71" s="17">
        <f>EJ71*VLOOKUP('Données projet'!$B$15,Paramètres!$A$1:$I$89,3,0)*VLOOKUP('Données projet'!$B$15,Paramètres!$A$1:$I$89,5,0)</f>
        <v>185.53079999999997</v>
      </c>
      <c r="EL71" s="13">
        <f t="shared" si="99"/>
        <v>46.550511532337509</v>
      </c>
      <c r="EM71" s="20">
        <f t="shared" si="73"/>
        <v>404.20828425215444</v>
      </c>
      <c r="EN71" s="59">
        <f t="shared" si="74"/>
        <v>697.54161758548776</v>
      </c>
      <c r="EO71" s="59">
        <f ca="1">AVERAGE(OFFSET($EN$3,0,0,'Données projet'!$E$15+1,1))-AVERAGE(OFFSET($H$3,0,0,'Données projet'!$E$15+1,1))</f>
        <v>168.72306536277267</v>
      </c>
      <c r="EP71" s="59">
        <f t="shared" si="100"/>
        <v>203.35476578922339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1.433302052616396</v>
      </c>
      <c r="EW71" s="21">
        <f>EXP(-LN(2)/25)*EW70+(1-EXP(-LN(2)/25))/(LN(2)/25)*Calculateur!ER71*Calculateur!ET71*VLOOKUP('Données projet'!$B$15,Paramètres!$A$1:$I$89,3,0)*0.475*44/12</f>
        <v>8.0145533056880627</v>
      </c>
      <c r="EX71" s="21">
        <f>EXP(-LN(2)/2)*EX70+(1-EXP(-LN(2)/2))/(LN(2)/2)*ER71*EU71*VLOOKUP('Données projet'!$B$15,Paramètres!$A$1:$I$89,3,0)*0.475*44/12</f>
        <v>3.8192456478289158E-5</v>
      </c>
      <c r="EY71" s="22">
        <f t="shared" si="75"/>
        <v>9.4478935507609361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5.6</v>
      </c>
      <c r="FE71" s="12">
        <f>IF('Données projet'!$A$218&gt;35,FE70+FD71-FM70,IF(A71&lt;'Données projet'!$A$218,$FB$205^A71,IF(A71='Données projet'!$A$218,'Données projet'!$B$218,FE70+FD71-FM70)))</f>
        <v>286.80000000000007</v>
      </c>
      <c r="FF71" s="17">
        <f>FE71*VLOOKUP('Données projet'!$B$16,Paramètres!$A$1:$I$89,3,0)*VLOOKUP('Données projet'!$B$16,Paramètres!$A$1:$I$89,5,0)</f>
        <v>156.59280000000004</v>
      </c>
      <c r="FG71" s="13">
        <f t="shared" si="101"/>
        <v>40.073051842658209</v>
      </c>
      <c r="FH71" s="20">
        <f t="shared" si="76"/>
        <v>342.52635862596304</v>
      </c>
      <c r="FI71" s="59">
        <f t="shared" si="77"/>
        <v>635.85969195929636</v>
      </c>
      <c r="FJ71" s="59">
        <f ca="1">AVERAGE(OFFSET($FI$3,0,0,'Données projet'!$E$16+1,1))-AVERAGE(OFFSET($H$3,0,0,'Données projet'!$E$16+1,1))</f>
        <v>127.76128532861486</v>
      </c>
      <c r="FK71" s="59">
        <f t="shared" si="102"/>
        <v>157.52303491639736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>
        <f>EXP(-LN(2)/35)*FQ70+(1-EXP(-LN(2)/35))/(LN(2)/35)*FM71*FN71*VLOOKUP('Données projet'!$B$16,Paramètres!$A$1:$I$89,3,0)*0.475*44/12</f>
        <v>1.1466416420931165</v>
      </c>
      <c r="FR71" s="21">
        <f>EXP(-LN(2)/25)*FR70+(1-EXP(-LN(2)/25))/(LN(2)/25)*Calculateur!FM71*Calculateur!FO71*VLOOKUP('Données projet'!$B$16,Paramètres!$A$1:$I$89,3,0)*0.475*44/12</f>
        <v>5.6909968623065339</v>
      </c>
      <c r="FS71" s="21">
        <f>EXP(-LN(2)/2)*FS70+(1-EXP(-LN(2)/2))/(LN(2)/2)*FM71*FP71*VLOOKUP('Données projet'!$B$16,Paramètres!$A$1:$I$89,3,0)*0.475*44/12</f>
        <v>3.0321825794485469E-5</v>
      </c>
      <c r="FT71" s="22">
        <f t="shared" si="78"/>
        <v>6.8376688262254444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5.6899038461538431</v>
      </c>
      <c r="N72" s="13">
        <f>IF('Données projet'!$A$36&gt;35,N71+M72-V71,IF(A72&lt;'Données projet'!$A$36,$K$205^A72,IF(A72='Données projet'!$A$36,'Données projet'!$B$36,N71+M72-V71)))</f>
        <v>147.24519230769229</v>
      </c>
      <c r="O72" s="13">
        <f>N72*VLOOKUP('Données projet'!$B$9,Paramètres!$A$1:$I$89,3,0)*VLOOKUP('Données projet'!$B$9,Paramètres!$A$1:$I$89,5,0)</f>
        <v>133.22744999999998</v>
      </c>
      <c r="P72" s="13">
        <f t="shared" si="87"/>
        <v>34.741060528773644</v>
      </c>
      <c r="Q72" s="20">
        <f t="shared" si="54"/>
        <v>292.545155837614</v>
      </c>
      <c r="R72" s="59">
        <f t="shared" si="55"/>
        <v>585.87848917094732</v>
      </c>
      <c r="S72" s="59">
        <f ca="1">AVERAGE(OFFSET($R$3,0,0,'Données projet'!$E$9+1,1))-AVERAGE(OFFSET($H$3,0,0,'Données projet'!$E$9+1,1))</f>
        <v>153.45079678708987</v>
      </c>
      <c r="T72" s="59">
        <f t="shared" si="88"/>
        <v>115.4217868409637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0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0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>
        <f>VLOOKUP(A72,'Données projet'!$A$61:$I$81,2,0)</f>
        <v>146.12179487179486</v>
      </c>
      <c r="AG72" s="12">
        <f>VLOOKUP(A72,'Données projet'!$A$61:$I$81,9,0)</f>
        <v>4.8774928774928759</v>
      </c>
      <c r="AH72" s="12">
        <f t="array" ref="AH72">INDEX(AG:AG,MIN(IF(ISNUMBER(AG72:AG268),ROW(AG72:AG268),"")))</f>
        <v>4.8774928774928759</v>
      </c>
      <c r="AI72" s="13">
        <f>IF('Données projet'!$A$62&gt;35,AI71+AH72-AQ71,IF(A72&lt;'Données projet'!$A$62,$AF$205^A72,IF(A72='Données projet'!$A$62,'Données projet'!$B$62,AI71+AH72-AQ71)))</f>
        <v>146.12179487179492</v>
      </c>
      <c r="AJ72" s="13">
        <f>AI72*VLOOKUP('Données projet'!$B$10,Paramètres!$A$1:$I$89,3,0)*VLOOKUP('Données projet'!$B$10,Paramètres!$A$1:$I$89,5,0)</f>
        <v>132.21100000000004</v>
      </c>
      <c r="AK72" s="13">
        <f t="shared" si="89"/>
        <v>34.506753977599949</v>
      </c>
      <c r="AL72" s="20">
        <f t="shared" si="58"/>
        <v>290.36675484431993</v>
      </c>
      <c r="AM72" s="59">
        <f t="shared" si="59"/>
        <v>583.70008817765324</v>
      </c>
      <c r="AN72" s="59">
        <f ca="1">AVERAGE(OFFSET($AM$3,0,0,'Données projet'!$E$10+1,1))-AVERAGE(OFFSET($H$3,0,0,'Données projet'!$E$10+1,1))</f>
        <v>123.92486590666675</v>
      </c>
      <c r="AO72" s="59">
        <f t="shared" si="90"/>
        <v>54.404493017418986</v>
      </c>
      <c r="AP72" s="15">
        <f>IF(ISNA(VLOOKUP(A72,'Données projet'!$A$61:$I$81,3,0)),0,VLOOKUP(A72,'Données projet'!$A$61:$I$81,3,0))</f>
        <v>2</v>
      </c>
      <c r="AQ72" s="15">
        <f>IF(ISNA(VLOOKUP(A72,'Données projet'!$A$61:$I$81,4,0)),0,VLOOKUP(A72,'Données projet'!$A$61:$I$81,4,0))</f>
        <v>32.807692307692307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0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13.296703296703299</v>
      </c>
      <c r="BD72" s="12">
        <f>IF('Données projet'!$A$88&gt;35,BD71+BC72-BL71,IF(A72&lt;'Données projet'!$A$88,$BA$205^A72,IF(A72='Données projet'!$A$88,'Données projet'!$B$88,BD71+BC72-BL71)))</f>
        <v>455.77252747252754</v>
      </c>
      <c r="BE72" s="13">
        <f>BD72*VLOOKUP('Données projet'!$B$11,Paramètres!$A$1:$I$89,3,0)*VLOOKUP('Données projet'!$B$11,Paramètres!$A$1:$I$89,5,0)</f>
        <v>254.7768428571429</v>
      </c>
      <c r="BF72" s="13">
        <f t="shared" si="91"/>
        <v>61.607700360287495</v>
      </c>
      <c r="BG72" s="20">
        <f t="shared" si="61"/>
        <v>551.03641277035797</v>
      </c>
      <c r="BH72" s="59">
        <f t="shared" si="62"/>
        <v>844.36974610369134</v>
      </c>
      <c r="BI72" s="59">
        <f ca="1">AVERAGE(OFFSET($BH$3,0,0,'Données projet'!$E$11+1,1))-AVERAGE(OFFSET($H$3,0,0,'Données projet'!$E$11+1,1))</f>
        <v>224.7049802939942</v>
      </c>
      <c r="BJ72" s="59">
        <f t="shared" si="92"/>
        <v>203.48513862195352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1.0306172116685945</v>
      </c>
      <c r="BQ72" s="21">
        <f>EXP(-LN(2)/25)*BQ71+(1-EXP(-LN(2)/25))/(LN(2)/25)*Calculateur!BL72*Calculateur!BN72*VLOOKUP('Données projet'!$B$11,Paramètres!$A$1:$I$89,3,0)*0.475*44/12</f>
        <v>6.6217646371250849</v>
      </c>
      <c r="BR72" s="21">
        <f>EXP(-LN(2)/2)*BR71+(1-EXP(-LN(2)/2))/(LN(2)/2)*BL72*BO72*VLOOKUP('Données projet'!$B$11,Paramètres!$A$1:$I$89,3,0)*0.475*44/12</f>
        <v>1.2085170606124665E-5</v>
      </c>
      <c r="BS72" s="22">
        <f t="shared" si="63"/>
        <v>7.6523939339642855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8.3938461538461517</v>
      </c>
      <c r="BY72" s="12">
        <f>IF('Données projet'!$A$114&gt;35,BY71+BX72-CG71,IF(A72&lt;'Données projet'!$A$114,$BV$205^A72,IF(A72='Données projet'!$A$114,'Données projet'!$B$114,BY71+BX72-CG71)))</f>
        <v>339.0261538461537</v>
      </c>
      <c r="BZ72" s="13">
        <f>BY72*VLOOKUP('Données projet'!$B$12,Paramètres!$A$1:$I$89,3,0)*VLOOKUP('Données projet'!$B$12,Paramètres!$A$1:$I$89,5,0)</f>
        <v>189.51561999999993</v>
      </c>
      <c r="CA72" s="13">
        <f t="shared" si="93"/>
        <v>47.43284740624199</v>
      </c>
      <c r="CB72" s="20">
        <f t="shared" si="64"/>
        <v>412.68524739920468</v>
      </c>
      <c r="CC72" s="59">
        <f t="shared" si="65"/>
        <v>706.018580732538</v>
      </c>
      <c r="CD72" s="59">
        <f ca="1">AVERAGE(OFFSET($CC$3,0,0,'Données projet'!$E$12+1,1))-AVERAGE(OFFSET($H$3,0,0,'Données projet'!$E$12+1,1))</f>
        <v>190.08613104982993</v>
      </c>
      <c r="CE72" s="59">
        <f t="shared" si="94"/>
        <v>180.55054525447781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0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14.1</v>
      </c>
      <c r="CT72" s="12">
        <f>IF('Données projet'!$A$140&gt;35,CT71+CS72-DB71,IF(A72&lt;'Données projet'!$A$140,$CQ$205^A72,IF(A72='Données projet'!$A$140,'Données projet'!$B$140,CT71+CS72-DB71)))</f>
        <v>483.90000000000026</v>
      </c>
      <c r="CU72" s="17">
        <f>CT72*VLOOKUP('Données projet'!$B$13,Paramètres!$A$1:$I$89,3,0)*VLOOKUP('Données projet'!$B$13,Paramètres!$A$1:$I$89,5,0)</f>
        <v>289.37220000000019</v>
      </c>
      <c r="CV72" s="13">
        <f t="shared" si="95"/>
        <v>68.943812992253996</v>
      </c>
      <c r="CW72" s="20">
        <f t="shared" si="67"/>
        <v>624.06705596150925</v>
      </c>
      <c r="CX72" s="59">
        <f t="shared" si="68"/>
        <v>917.40038929484263</v>
      </c>
      <c r="CY72" s="59">
        <f ca="1">AVERAGE(OFFSET($CX$3,0,0,'Données projet'!$E$13+1,1))-AVERAGE(OFFSET($H$3,0,0,'Données projet'!$E$13+1,1))</f>
        <v>270.30888762640245</v>
      </c>
      <c r="CZ72" s="59">
        <f t="shared" si="96"/>
        <v>202.23783851977691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0.98937260487636491</v>
      </c>
      <c r="DG72" s="21">
        <f>EXP(-LN(2)/25)*DG71+(1-EXP(-LN(2)/25))/(LN(2)/25)*Calculateur!DB72*Calculateur!DD72*VLOOKUP('Données projet'!$B$13,Paramètres!$A$1:$I$89,3,0)*0.475*44/12</f>
        <v>4.169933153332944</v>
      </c>
      <c r="DH72" s="21">
        <f>EXP(-LN(2)/2)*DH71+(1-EXP(-LN(2)/2))/(LN(2)/2)*DB72*DE72*VLOOKUP('Données projet'!$B$13,Paramètres!$A$1:$I$89,3,0)*0.475*44/12</f>
        <v>2.4940965525276696E-5</v>
      </c>
      <c r="DI72" s="22">
        <f t="shared" si="69"/>
        <v>5.1593306991748333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11.8</v>
      </c>
      <c r="DO72" s="12">
        <f>IF('Données projet'!$A$166&gt;35,DO71+DN72-DW71,IF(A72&lt;'Données projet'!$A$166,$DL$205^A72,IF(A72='Données projet'!$A$166,'Données projet'!$B$166,DO71+DN72-DW71)))</f>
        <v>414.2000000000001</v>
      </c>
      <c r="DP72" s="17">
        <f>DO72*VLOOKUP('Données projet'!$B$14,Paramètres!$A$1:$I$89,3,0)*VLOOKUP('Données projet'!$B$14,Paramètres!$A$1:$I$89,5,0)</f>
        <v>247.69160000000011</v>
      </c>
      <c r="DQ72" s="13">
        <f t="shared" si="97"/>
        <v>60.091365178506493</v>
      </c>
      <c r="DR72" s="20">
        <f t="shared" si="70"/>
        <v>536.05533101923231</v>
      </c>
      <c r="DS72" s="59">
        <f t="shared" si="71"/>
        <v>829.38866435256568</v>
      </c>
      <c r="DT72" s="59">
        <f ca="1">AVERAGE(OFFSET($DS$3,0,0,'Données projet'!$E$14+1,1))-AVERAGE(OFFSET($H$3,0,0,'Données projet'!$E$14+1,1))</f>
        <v>221.14988592347311</v>
      </c>
      <c r="DU72" s="59">
        <f t="shared" si="98"/>
        <v>179.09262081171607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1.0553307785347887</v>
      </c>
      <c r="EB72" s="21">
        <f>EXP(-LN(2)/25)*EB71+(1-EXP(-LN(2)/25))/(LN(2)/25)*Calculateur!DW72*Calculateur!DY72*VLOOKUP('Données projet'!$B$14,Paramètres!$A$1:$I$89,3,0)*0.475*44/12</f>
        <v>3.4730768290172129</v>
      </c>
      <c r="EC72" s="21">
        <f>EXP(-LN(2)/2)*EC71+(1-EXP(-LN(2)/2))/(LN(2)/2)*DW72*DZ72*VLOOKUP('Données projet'!$B$14,Paramètres!$A$1:$I$89,3,0)*0.475*44/12</f>
        <v>2.6299306439467968E-5</v>
      </c>
      <c r="ED72" s="22">
        <f t="shared" si="72"/>
        <v>4.5284339068584405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7.1</v>
      </c>
      <c r="EJ72" s="12">
        <f>IF('Données projet'!$A$192&gt;35,EJ71+EI72-ER71,IF(A72&lt;'Données projet'!$A$192,$EG$205^A72,IF(A72='Données projet'!$A$192,'Données projet'!$B$192,EJ71+EI72-ER71)))</f>
        <v>346.9</v>
      </c>
      <c r="EK72" s="17">
        <f>EJ72*VLOOKUP('Données projet'!$B$15,Paramètres!$A$1:$I$89,3,0)*VLOOKUP('Données projet'!$B$15,Paramètres!$A$1:$I$89,5,0)</f>
        <v>189.40739999999997</v>
      </c>
      <c r="EL72" s="13">
        <f t="shared" si="99"/>
        <v>47.408913595158396</v>
      </c>
      <c r="EM72" s="20">
        <f t="shared" si="73"/>
        <v>412.45507951156748</v>
      </c>
      <c r="EN72" s="59">
        <f t="shared" si="74"/>
        <v>705.78841284490079</v>
      </c>
      <c r="EO72" s="59">
        <f ca="1">AVERAGE(OFFSET($EN$3,0,0,'Données projet'!$E$15+1,1))-AVERAGE(OFFSET($H$3,0,0,'Données projet'!$E$15+1,1))</f>
        <v>168.72306536277267</v>
      </c>
      <c r="EP72" s="59">
        <f t="shared" si="100"/>
        <v>203.35476578922339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1.4051958735925176</v>
      </c>
      <c r="EW72" s="21">
        <f>EXP(-LN(2)/25)*EW71+(1-EXP(-LN(2)/25))/(LN(2)/25)*Calculateur!ER72*Calculateur!ET72*VLOOKUP('Données projet'!$B$15,Paramètres!$A$1:$I$89,3,0)*0.475*44/12</f>
        <v>7.795394924076982</v>
      </c>
      <c r="EX72" s="21">
        <f>EXP(-LN(2)/2)*EX71+(1-EXP(-LN(2)/2))/(LN(2)/2)*ER72*EU72*VLOOKUP('Données projet'!$B$15,Paramètres!$A$1:$I$89,3,0)*0.475*44/12</f>
        <v>2.7006144965970352E-5</v>
      </c>
      <c r="EY72" s="22">
        <f t="shared" si="75"/>
        <v>9.2006178038144668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5.6</v>
      </c>
      <c r="FE72" s="12">
        <f>IF('Données projet'!$A$218&gt;35,FE71+FD72-FM71,IF(A72&lt;'Données projet'!$A$218,$FB$205^A72,IF(A72='Données projet'!$A$218,'Données projet'!$B$218,FE71+FD72-FM71)))</f>
        <v>292.40000000000009</v>
      </c>
      <c r="FF72" s="17">
        <f>FE72*VLOOKUP('Données projet'!$B$16,Paramètres!$A$1:$I$89,3,0)*VLOOKUP('Données projet'!$B$16,Paramètres!$A$1:$I$89,5,0)</f>
        <v>159.65040000000005</v>
      </c>
      <c r="FG72" s="13">
        <f t="shared" si="101"/>
        <v>40.763652115150705</v>
      </c>
      <c r="FH72" s="20">
        <f t="shared" si="76"/>
        <v>349.05447410055422</v>
      </c>
      <c r="FI72" s="59">
        <f t="shared" si="77"/>
        <v>642.38780743388747</v>
      </c>
      <c r="FJ72" s="59">
        <f ca="1">AVERAGE(OFFSET($FI$3,0,0,'Données projet'!$E$16+1,1))-AVERAGE(OFFSET($H$3,0,0,'Données projet'!$E$16+1,1))</f>
        <v>127.76128532861486</v>
      </c>
      <c r="FK72" s="59">
        <f t="shared" si="102"/>
        <v>157.52303491639736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>
        <f>EXP(-LN(2)/35)*FQ71+(1-EXP(-LN(2)/35))/(LN(2)/35)*FM72*FN72*VLOOKUP('Données projet'!$B$16,Paramètres!$A$1:$I$89,3,0)*0.475*44/12</f>
        <v>1.1241566988740139</v>
      </c>
      <c r="FR72" s="21">
        <f>EXP(-LN(2)/25)*FR71+(1-EXP(-LN(2)/25))/(LN(2)/25)*Calculateur!FM72*Calculateur!FO72*VLOOKUP('Données projet'!$B$16,Paramètres!$A$1:$I$89,3,0)*0.475*44/12</f>
        <v>5.5353762538302433</v>
      </c>
      <c r="FS72" s="21">
        <f>EXP(-LN(2)/2)*FS71+(1-EXP(-LN(2)/2))/(LN(2)/2)*FM72*FP72*VLOOKUP('Données projet'!$B$16,Paramètres!$A$1:$I$89,3,0)*0.475*44/12</f>
        <v>2.144076863723785E-5</v>
      </c>
      <c r="FT72" s="22">
        <f t="shared" si="78"/>
        <v>6.6595543934728942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5.6899038461538431</v>
      </c>
      <c r="N73" s="13">
        <f>IF('Données projet'!$A$36&gt;35,N72+M73-V72,IF(A73&lt;'Données projet'!$A$36,$K$205^A73,IF(A73='Données projet'!$A$36,'Données projet'!$B$36,N72+M73-V72)))</f>
        <v>152.93509615384613</v>
      </c>
      <c r="O73" s="13">
        <f>N73*VLOOKUP('Données projet'!$B$9,Paramètres!$A$1:$I$89,3,0)*VLOOKUP('Données projet'!$B$9,Paramètres!$A$1:$I$89,5,0)</f>
        <v>138.37567499999997</v>
      </c>
      <c r="P73" s="13">
        <f t="shared" si="87"/>
        <v>35.924643086227974</v>
      </c>
      <c r="Q73" s="20">
        <f t="shared" si="54"/>
        <v>303.57305400018032</v>
      </c>
      <c r="R73" s="59">
        <f t="shared" si="55"/>
        <v>596.90638733351363</v>
      </c>
      <c r="S73" s="59">
        <f ca="1">AVERAGE(OFFSET($R$3,0,0,'Données projet'!$E$9+1,1))-AVERAGE(OFFSET($H$3,0,0,'Données projet'!$E$9+1,1))</f>
        <v>153.45079678708987</v>
      </c>
      <c r="T73" s="59">
        <f t="shared" si="88"/>
        <v>115.4217868409637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0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0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4.7339743589743595</v>
      </c>
      <c r="AI73" s="13">
        <f>IF('Données projet'!$A$62&gt;35,AI72+AH73-AQ72,IF(A73&lt;'Données projet'!$A$62,$AF$205^A73,IF(A73='Données projet'!$A$62,'Données projet'!$B$62,AI72+AH73-AQ72)))</f>
        <v>118.04807692307698</v>
      </c>
      <c r="AJ73" s="13">
        <f>AI73*VLOOKUP('Données projet'!$B$10,Paramètres!$A$1:$I$89,3,0)*VLOOKUP('Données projet'!$B$10,Paramètres!$A$1:$I$89,5,0)</f>
        <v>106.80990000000006</v>
      </c>
      <c r="AK73" s="13">
        <f t="shared" si="89"/>
        <v>28.57808961438268</v>
      </c>
      <c r="AL73" s="20">
        <f t="shared" si="58"/>
        <v>235.80074857838329</v>
      </c>
      <c r="AM73" s="59">
        <f t="shared" si="59"/>
        <v>529.13408191171663</v>
      </c>
      <c r="AN73" s="59">
        <f ca="1">AVERAGE(OFFSET($AM$3,0,0,'Données projet'!$E$10+1,1))-AVERAGE(OFFSET($H$3,0,0,'Données projet'!$E$10+1,1))</f>
        <v>123.92486590666675</v>
      </c>
      <c r="AO73" s="59">
        <f t="shared" si="90"/>
        <v>54.404493017418986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0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469.06923076923073</v>
      </c>
      <c r="BB73" s="12">
        <f>VLOOKUP(A73,'Données projet'!$A$87:$I$107,9,0)</f>
        <v>13.296703296703299</v>
      </c>
      <c r="BC73" s="12">
        <f t="array" ref="BC73">INDEX(BB:BB,MIN(IF(ISNUMBER(BB73:BB269),ROW(BB73:BB269),"")))</f>
        <v>13.296703296703299</v>
      </c>
      <c r="BD73" s="12">
        <f>IF('Données projet'!$A$88&gt;35,BD72+BC73-BL72,IF(A73&lt;'Données projet'!$A$88,$BA$205^A73,IF(A73='Données projet'!$A$88,'Données projet'!$B$88,BD72+BC73-BL72)))</f>
        <v>469.06923076923084</v>
      </c>
      <c r="BE73" s="13">
        <f>BD73*VLOOKUP('Données projet'!$B$11,Paramètres!$A$1:$I$89,3,0)*VLOOKUP('Données projet'!$B$11,Paramètres!$A$1:$I$89,5,0)</f>
        <v>262.20970000000005</v>
      </c>
      <c r="BF73" s="13">
        <f t="shared" si="91"/>
        <v>63.193164452376628</v>
      </c>
      <c r="BG73" s="20">
        <f t="shared" si="61"/>
        <v>566.74332225455601</v>
      </c>
      <c r="BH73" s="59">
        <f t="shared" si="62"/>
        <v>860.07665558788926</v>
      </c>
      <c r="BI73" s="59">
        <f ca="1">AVERAGE(OFFSET($BH$3,0,0,'Données projet'!$E$11+1,1))-AVERAGE(OFFSET($H$3,0,0,'Données projet'!$E$11+1,1))</f>
        <v>224.7049802939942</v>
      </c>
      <c r="BJ73" s="59">
        <f t="shared" si="92"/>
        <v>203.48513862195352</v>
      </c>
      <c r="BK73" s="15">
        <f>IF(ISNA(VLOOKUP(A73,'Données projet'!$A$87:$I$107,3,0)),0,VLOOKUP(A73,'Données projet'!$A$87:$I$107,3,0))</f>
        <v>8</v>
      </c>
      <c r="BL73" s="15">
        <f>IF(ISNA(VLOOKUP(A73,'Données projet'!$A$87:$I$107,4,0)),0,VLOOKUP(A73,'Données projet'!$A$87:$I$107,4,0))</f>
        <v>469.06923076923073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1.010407436762202</v>
      </c>
      <c r="BQ73" s="21">
        <f>EXP(-LN(2)/25)*BQ72+(1-EXP(-LN(2)/25))/(LN(2)/25)*Calculateur!BL73*Calculateur!BN73*VLOOKUP('Données projet'!$B$11,Paramètres!$A$1:$I$89,3,0)*0.475*44/12</f>
        <v>6.4406921348994315</v>
      </c>
      <c r="BR73" s="21">
        <f>EXP(-LN(2)/2)*BR72+(1-EXP(-LN(2)/2))/(LN(2)/2)*BL73*BO73*VLOOKUP('Données projet'!$B$11,Paramètres!$A$1:$I$89,3,0)*0.475*44/12</f>
        <v>8.5455060873870893E-6</v>
      </c>
      <c r="BS73" s="22">
        <f t="shared" si="63"/>
        <v>7.4511081171677214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8.3938461538461517</v>
      </c>
      <c r="BY73" s="12">
        <f>IF('Données projet'!$A$114&gt;35,BY72+BX73-CG72,IF(A73&lt;'Données projet'!$A$114,$BV$205^A73,IF(A73='Données projet'!$A$114,'Données projet'!$B$114,BY72+BX73-CG72)))</f>
        <v>347.41999999999985</v>
      </c>
      <c r="BZ73" s="13">
        <f>BY73*VLOOKUP('Données projet'!$B$12,Paramètres!$A$1:$I$89,3,0)*VLOOKUP('Données projet'!$B$12,Paramètres!$A$1:$I$89,5,0)</f>
        <v>194.2077799999999</v>
      </c>
      <c r="CA73" s="13">
        <f t="shared" si="93"/>
        <v>48.469043986590528</v>
      </c>
      <c r="CB73" s="20">
        <f t="shared" si="64"/>
        <v>422.66213510997824</v>
      </c>
      <c r="CC73" s="59">
        <f t="shared" si="65"/>
        <v>715.99546844331155</v>
      </c>
      <c r="CD73" s="59">
        <f ca="1">AVERAGE(OFFSET($CC$3,0,0,'Données projet'!$E$12+1,1))-AVERAGE(OFFSET($H$3,0,0,'Données projet'!$E$12+1,1))</f>
        <v>190.08613104982993</v>
      </c>
      <c r="CE73" s="59">
        <f t="shared" si="94"/>
        <v>180.55054525447781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0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498</v>
      </c>
      <c r="CR73" s="12">
        <f>VLOOKUP(A73,'Données projet'!$A$139:$I$159,9,0)</f>
        <v>14.1</v>
      </c>
      <c r="CS73" s="12">
        <f t="array" ref="CS73">INDEX(CR:CR,MIN(IF(ISNUMBER(CR73:CR269),ROW(CR73:CR269),"")))</f>
        <v>14.1</v>
      </c>
      <c r="CT73" s="12">
        <f>IF('Données projet'!$A$140&gt;35,CT72+CS73-DB72,IF(A73&lt;'Données projet'!$A$140,$CQ$205^A73,IF(A73='Données projet'!$A$140,'Données projet'!$B$140,CT72+CS73-DB72)))</f>
        <v>498.00000000000028</v>
      </c>
      <c r="CU73" s="17">
        <f>CT73*VLOOKUP('Données projet'!$B$13,Paramètres!$A$1:$I$89,3,0)*VLOOKUP('Données projet'!$B$13,Paramètres!$A$1:$I$89,5,0)</f>
        <v>297.8040000000002</v>
      </c>
      <c r="CV73" s="13">
        <f t="shared" si="95"/>
        <v>70.715900863123025</v>
      </c>
      <c r="CW73" s="20">
        <f t="shared" si="67"/>
        <v>641.8388273366063</v>
      </c>
      <c r="CX73" s="59">
        <f t="shared" si="68"/>
        <v>935.17216066993956</v>
      </c>
      <c r="CY73" s="59">
        <f ca="1">AVERAGE(OFFSET($CX$3,0,0,'Données projet'!$E$13+1,1))-AVERAGE(OFFSET($H$3,0,0,'Données projet'!$E$13+1,1))</f>
        <v>270.30888762640245</v>
      </c>
      <c r="CZ73" s="59">
        <f t="shared" si="96"/>
        <v>202.23783851977691</v>
      </c>
      <c r="DA73" s="15">
        <f>IF(ISNA(VLOOKUP(A73,'Données projet'!$A$139:$I$159,3,0)),0,VLOOKUP(A73,'Données projet'!$A$139:$I$159,3,0))</f>
        <v>6</v>
      </c>
      <c r="DB73" s="15">
        <f>IF(ISNA(VLOOKUP(A73,'Données projet'!$A$139:$I$159,4,0)),0,VLOOKUP(A73,'Données projet'!$A$139:$I$159,4,0))</f>
        <v>86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0.96997161155244183</v>
      </c>
      <c r="DG73" s="21">
        <f>EXP(-LN(2)/25)*DG72+(1-EXP(-LN(2)/25))/(LN(2)/25)*Calculateur!DB73*Calculateur!DD73*VLOOKUP('Données projet'!$B$13,Paramètres!$A$1:$I$89,3,0)*0.475*44/12</f>
        <v>4.0559061119678006</v>
      </c>
      <c r="DH73" s="21">
        <f>EXP(-LN(2)/2)*DH72+(1-EXP(-LN(2)/2))/(LN(2)/2)*DB73*DE73*VLOOKUP('Données projet'!$B$13,Paramètres!$A$1:$I$89,3,0)*0.475*44/12</f>
        <v>1.7635925852263054E-5</v>
      </c>
      <c r="DI73" s="22">
        <f t="shared" si="69"/>
        <v>5.0258953594460944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projet'!$A$165:$I$185,2,0)</f>
        <v>426</v>
      </c>
      <c r="DM73" s="12">
        <f>VLOOKUP(A73,'Données projet'!$A$165:$I$185,9,0)</f>
        <v>11.8</v>
      </c>
      <c r="DN73" s="12">
        <f t="array" ref="DN73">INDEX(DM:DM,MIN(IF(ISNUMBER(DM73:DM269),ROW(DM73:DM269),"")))</f>
        <v>11.8</v>
      </c>
      <c r="DO73" s="12">
        <f>IF('Données projet'!$A$166&gt;35,DO72+DN73-DW72,IF(A73&lt;'Données projet'!$A$166,$DL$205^A73,IF(A73='Données projet'!$A$166,'Données projet'!$B$166,DO72+DN73-DW72)))</f>
        <v>426.00000000000011</v>
      </c>
      <c r="DP73" s="17">
        <f>DO73*VLOOKUP('Données projet'!$B$14,Paramètres!$A$1:$I$89,3,0)*VLOOKUP('Données projet'!$B$14,Paramètres!$A$1:$I$89,5,0)</f>
        <v>254.7480000000001</v>
      </c>
      <c r="DQ73" s="13">
        <f t="shared" si="97"/>
        <v>61.601537647979256</v>
      </c>
      <c r="DR73" s="20">
        <f t="shared" si="70"/>
        <v>550.97544473689732</v>
      </c>
      <c r="DS73" s="59">
        <f t="shared" si="71"/>
        <v>844.30877807023057</v>
      </c>
      <c r="DT73" s="59">
        <f ca="1">AVERAGE(OFFSET($DS$3,0,0,'Données projet'!$E$14+1,1))-AVERAGE(OFFSET($H$3,0,0,'Données projet'!$E$14+1,1))</f>
        <v>221.14988592347311</v>
      </c>
      <c r="DU73" s="59">
        <f t="shared" si="98"/>
        <v>179.09262081171607</v>
      </c>
      <c r="DV73" s="15">
        <f>IF(ISNA(VLOOKUP(A73,'Données projet'!$A$165:$I$185,3,0)),0,VLOOKUP(A73,'Données projet'!$A$165:$I$185,3,0))</f>
        <v>5</v>
      </c>
      <c r="DW73" s="15">
        <f>IF(ISNA(VLOOKUP(A73,'Données projet'!$A$165:$I$185,4,0)),0,VLOOKUP(A73,'Données projet'!$A$165:$I$185,4,0))</f>
        <v>69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1.0346363856559375</v>
      </c>
      <c r="EB73" s="21">
        <f>EXP(-LN(2)/25)*EB72+(1-EXP(-LN(2)/25))/(LN(2)/25)*Calculateur!DW73*Calculateur!DY73*VLOOKUP('Données projet'!$B$14,Paramètres!$A$1:$I$89,3,0)*0.475*44/12</f>
        <v>3.3781053604865647</v>
      </c>
      <c r="EC73" s="21">
        <f>EXP(-LN(2)/2)*EC72+(1-EXP(-LN(2)/2))/(LN(2)/2)*DW73*DZ73*VLOOKUP('Données projet'!$B$14,Paramètres!$A$1:$I$89,3,0)*0.475*44/12</f>
        <v>1.8596417923850836E-5</v>
      </c>
      <c r="ED73" s="22">
        <f t="shared" si="72"/>
        <v>4.4127603425604258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>
        <f>VLOOKUP(A73,'Données projet'!$A$191:$I$211,2,0)</f>
        <v>354</v>
      </c>
      <c r="EH73" s="12">
        <f>VLOOKUP(A73,'Données projet'!$A$191:$I$211,9,0)</f>
        <v>7.1</v>
      </c>
      <c r="EI73" s="12">
        <f t="array" ref="EI73">INDEX(EH:EH,MIN(IF(ISNUMBER(EH73:EH269),ROW(EH73:EH269),"")))</f>
        <v>7.1</v>
      </c>
      <c r="EJ73" s="12">
        <f>IF('Données projet'!$A$192&gt;35,EJ72+EI73-ER72,IF(A73&lt;'Données projet'!$A$192,$EG$205^A73,IF(A73='Données projet'!$A$192,'Données projet'!$B$192,EJ72+EI73-ER72)))</f>
        <v>354</v>
      </c>
      <c r="EK73" s="17">
        <f>EJ73*VLOOKUP('Données projet'!$B$15,Paramètres!$A$1:$I$89,3,0)*VLOOKUP('Données projet'!$B$15,Paramètres!$A$1:$I$89,5,0)</f>
        <v>193.28400000000002</v>
      </c>
      <c r="EL73" s="13">
        <f t="shared" si="99"/>
        <v>48.265272920234025</v>
      </c>
      <c r="EM73" s="20">
        <f t="shared" si="73"/>
        <v>420.69831700274091</v>
      </c>
      <c r="EN73" s="59">
        <f t="shared" si="74"/>
        <v>714.03165033607422</v>
      </c>
      <c r="EO73" s="59">
        <f ca="1">AVERAGE(OFFSET($EN$3,0,0,'Données projet'!$E$15+1,1))-AVERAGE(OFFSET($H$3,0,0,'Données projet'!$E$15+1,1))</f>
        <v>168.72306536277267</v>
      </c>
      <c r="EP73" s="59">
        <f t="shared" si="100"/>
        <v>203.35476578922339</v>
      </c>
      <c r="EQ73" s="15">
        <f>IF(ISNA(VLOOKUP(A73,'Données projet'!$A$191:$I$211,3,0)),0,VLOOKUP(A73,'Données projet'!$A$191:$I$211,3,0))</f>
        <v>6</v>
      </c>
      <c r="ER73" s="15">
        <f>IF(ISNA(VLOOKUP(A73,'Données projet'!$A$191:$I$211,4,0)),0,VLOOKUP(A73,'Données projet'!$A$191:$I$211,4,0))</f>
        <v>42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1.3776408395962212</v>
      </c>
      <c r="EW73" s="21">
        <f>EXP(-LN(2)/25)*EW72+(1-EXP(-LN(2)/25))/(LN(2)/25)*Calculateur!ER73*Calculateur!ET73*VLOOKUP('Données projet'!$B$15,Paramètres!$A$1:$I$89,3,0)*0.475*44/12</f>
        <v>7.5822294399360946</v>
      </c>
      <c r="EX73" s="21">
        <f>EXP(-LN(2)/2)*EX72+(1-EXP(-LN(2)/2))/(LN(2)/2)*ER73*EU73*VLOOKUP('Données projet'!$B$15,Paramètres!$A$1:$I$89,3,0)*0.475*44/12</f>
        <v>1.9096228239144579E-5</v>
      </c>
      <c r="EY73" s="22">
        <f t="shared" si="75"/>
        <v>8.9598893757605556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>
        <f>VLOOKUP(A73,'Données projet'!$A$217:$I$237,2,0)</f>
        <v>298</v>
      </c>
      <c r="FC73" s="12">
        <f>VLOOKUP(A73,'Données projet'!$A$217:$I$237,9,0)</f>
        <v>5.6</v>
      </c>
      <c r="FD73" s="12">
        <f t="array" ref="FD73">INDEX(FC:FC,MIN(IF(ISNUMBER(FC73:FC269),ROW(FC73:FC269),"")))</f>
        <v>5.6</v>
      </c>
      <c r="FE73" s="12">
        <f>IF('Données projet'!$A$218&gt;35,FE72+FD73-FM72,IF(A73&lt;'Données projet'!$A$218,$FB$205^A73,IF(A73='Données projet'!$A$218,'Données projet'!$B$218,FE72+FD73-FM72)))</f>
        <v>298.00000000000011</v>
      </c>
      <c r="FF73" s="17">
        <f>FE73*VLOOKUP('Données projet'!$B$16,Paramètres!$A$1:$I$89,3,0)*VLOOKUP('Données projet'!$B$16,Paramètres!$A$1:$I$89,5,0)</f>
        <v>162.70800000000006</v>
      </c>
      <c r="FG73" s="13">
        <f t="shared" si="101"/>
        <v>41.452714465110255</v>
      </c>
      <c r="FH73" s="20">
        <f t="shared" si="76"/>
        <v>355.57991102673378</v>
      </c>
      <c r="FI73" s="59">
        <f t="shared" si="77"/>
        <v>648.9132443600671</v>
      </c>
      <c r="FJ73" s="59">
        <f ca="1">AVERAGE(OFFSET($FI$3,0,0,'Données projet'!$E$16+1,1))-AVERAGE(OFFSET($H$3,0,0,'Données projet'!$E$16+1,1))</f>
        <v>127.76128532861486</v>
      </c>
      <c r="FK73" s="59">
        <f t="shared" si="102"/>
        <v>157.52303491639736</v>
      </c>
      <c r="FL73" s="15">
        <f>IF(ISNA(VLOOKUP(A73,'Données projet'!$A$217:$I$237,3,0)),0,VLOOKUP(A73,'Données projet'!$A$217:$I$237,3,0))</f>
        <v>6</v>
      </c>
      <c r="FM73" s="15">
        <f>IF(ISNA(VLOOKUP(A73,'Données projet'!$A$217:$I$237,4,0)),0,VLOOKUP(A73,'Données projet'!$A$217:$I$237,4,0))</f>
        <v>32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>
        <f>EXP(-LN(2)/35)*FQ72+(1-EXP(-LN(2)/35))/(LN(2)/35)*FM73*FN73*VLOOKUP('Données projet'!$B$16,Paramètres!$A$1:$I$89,3,0)*0.475*44/12</f>
        <v>1.1021126716769767</v>
      </c>
      <c r="FR73" s="21">
        <f>EXP(-LN(2)/25)*FR72+(1-EXP(-LN(2)/25))/(LN(2)/25)*Calculateur!FM73*Calculateur!FO73*VLOOKUP('Données projet'!$B$16,Paramètres!$A$1:$I$89,3,0)*0.475*44/12</f>
        <v>5.3840110990764698</v>
      </c>
      <c r="FS73" s="21">
        <f>EXP(-LN(2)/2)*FS72+(1-EXP(-LN(2)/2))/(LN(2)/2)*FM73*FP73*VLOOKUP('Données projet'!$B$16,Paramètres!$A$1:$I$89,3,0)*0.475*44/12</f>
        <v>1.5160912897242736E-5</v>
      </c>
      <c r="FT73" s="22">
        <f t="shared" si="78"/>
        <v>6.4861389316663436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5.6899038461538431</v>
      </c>
      <c r="N74" s="13">
        <f>IF('Données projet'!$A$36&gt;35,N73+M74-V73,IF(A74&lt;'Données projet'!$A$36,$K$205^A74,IF(A74='Données projet'!$A$36,'Données projet'!$B$36,N73+M74-V73)))</f>
        <v>158.62499999999997</v>
      </c>
      <c r="O74" s="13">
        <f>N74*VLOOKUP('Données projet'!$B$9,Paramètres!$A$1:$I$89,3,0)*VLOOKUP('Données projet'!$B$9,Paramètres!$A$1:$I$89,5,0)</f>
        <v>143.52389999999997</v>
      </c>
      <c r="P74" s="13">
        <f t="shared" si="87"/>
        <v>37.103109825509961</v>
      </c>
      <c r="Q74" s="20">
        <f t="shared" si="54"/>
        <v>314.59204211276312</v>
      </c>
      <c r="R74" s="59">
        <f t="shared" si="55"/>
        <v>607.9253754460965</v>
      </c>
      <c r="S74" s="59">
        <f ca="1">AVERAGE(OFFSET($R$3,0,0,'Données projet'!$E$9+1,1))-AVERAGE(OFFSET($H$3,0,0,'Données projet'!$E$9+1,1))</f>
        <v>153.45079678708987</v>
      </c>
      <c r="T74" s="59">
        <f t="shared" si="88"/>
        <v>115.4217868409637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0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0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4.7339743589743595</v>
      </c>
      <c r="AI74" s="13">
        <f>IF('Données projet'!$A$62&gt;35,AI73+AH74-AQ73,IF(A74&lt;'Données projet'!$A$62,$AF$205^A74,IF(A74='Données projet'!$A$62,'Données projet'!$B$62,AI73+AH74-AQ73)))</f>
        <v>122.78205128205134</v>
      </c>
      <c r="AJ74" s="13">
        <f>AI74*VLOOKUP('Données projet'!$B$10,Paramètres!$A$1:$I$89,3,0)*VLOOKUP('Données projet'!$B$10,Paramètres!$A$1:$I$89,5,0)</f>
        <v>111.09320000000005</v>
      </c>
      <c r="AK74" s="13">
        <f t="shared" si="89"/>
        <v>29.588402590296031</v>
      </c>
      <c r="AL74" s="20">
        <f t="shared" si="58"/>
        <v>245.02045784476567</v>
      </c>
      <c r="AM74" s="59">
        <f t="shared" si="59"/>
        <v>538.35379117809896</v>
      </c>
      <c r="AN74" s="59">
        <f ca="1">AVERAGE(OFFSET($AM$3,0,0,'Données projet'!$E$10+1,1))-AVERAGE(OFFSET($H$3,0,0,'Données projet'!$E$10+1,1))</f>
        <v>123.92486590666675</v>
      </c>
      <c r="AO74" s="59">
        <f t="shared" si="90"/>
        <v>54.404493017418986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0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1.1368683772161603E-13</v>
      </c>
      <c r="BE74" s="13">
        <f>BD74*VLOOKUP('Données projet'!$B$11,Paramètres!$A$1:$I$89,3,0)*VLOOKUP('Données projet'!$B$11,Paramètres!$A$1:$I$89,5,0)</f>
        <v>6.3550942286383367E-14</v>
      </c>
      <c r="BF74" s="13">
        <f t="shared" si="91"/>
        <v>1.0064464192543978E-12</v>
      </c>
      <c r="BG74" s="20">
        <f t="shared" si="61"/>
        <v>1.8635787380168604E-12</v>
      </c>
      <c r="BH74" s="59">
        <f t="shared" si="62"/>
        <v>293.33333333333519</v>
      </c>
      <c r="BI74" s="59">
        <f ca="1">AVERAGE(OFFSET($BH$3,0,0,'Données projet'!$E$11+1,1))-AVERAGE(OFFSET($H$3,0,0,'Données projet'!$E$11+1,1))</f>
        <v>224.7049802939942</v>
      </c>
      <c r="BJ74" s="59">
        <f t="shared" si="92"/>
        <v>203.48513862195352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0.99059396321497828</v>
      </c>
      <c r="BQ74" s="21">
        <f>EXP(-LN(2)/25)*BQ73+(1-EXP(-LN(2)/25))/(LN(2)/25)*Calculateur!BL74*Calculateur!BN74*VLOOKUP('Données projet'!$B$11,Paramètres!$A$1:$I$89,3,0)*0.475*44/12</f>
        <v>6.2645710697693273</v>
      </c>
      <c r="BR74" s="21">
        <f>EXP(-LN(2)/2)*BR73+(1-EXP(-LN(2)/2))/(LN(2)/2)*BL74*BO74*VLOOKUP('Données projet'!$B$11,Paramètres!$A$1:$I$89,3,0)*0.475*44/12</f>
        <v>6.0425853030623324E-6</v>
      </c>
      <c r="BS74" s="22">
        <f t="shared" si="63"/>
        <v>7.2551710755696091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8.3938461538461517</v>
      </c>
      <c r="BY74" s="12">
        <f>IF('Données projet'!$A$114&gt;35,BY73+BX74-CG73,IF(A74&lt;'Données projet'!$A$114,$BV$205^A74,IF(A74='Données projet'!$A$114,'Données projet'!$B$114,BY73+BX74-CG73)))</f>
        <v>355.81384615384599</v>
      </c>
      <c r="BZ74" s="13">
        <f>BY74*VLOOKUP('Données projet'!$B$12,Paramètres!$A$1:$I$89,3,0)*VLOOKUP('Données projet'!$B$12,Paramètres!$A$1:$I$89,5,0)</f>
        <v>198.8999399999999</v>
      </c>
      <c r="CA74" s="13">
        <f t="shared" si="93"/>
        <v>49.502330282453514</v>
      </c>
      <c r="CB74" s="20">
        <f t="shared" si="64"/>
        <v>432.63395407527304</v>
      </c>
      <c r="CC74" s="59">
        <f t="shared" si="65"/>
        <v>725.96728740860635</v>
      </c>
      <c r="CD74" s="59">
        <f ca="1">AVERAGE(OFFSET($CC$3,0,0,'Données projet'!$E$12+1,1))-AVERAGE(OFFSET($H$3,0,0,'Données projet'!$E$12+1,1))</f>
        <v>190.08613104982993</v>
      </c>
      <c r="CE74" s="59">
        <f t="shared" si="94"/>
        <v>180.55054525447781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0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12.5</v>
      </c>
      <c r="CT74" s="12">
        <f>IF('Données projet'!$A$140&gt;35,CT73+CS74-DB73,IF(A74&lt;'Données projet'!$A$140,$CQ$205^A74,IF(A74='Données projet'!$A$140,'Données projet'!$B$140,CT73+CS74-DB73)))</f>
        <v>424.50000000000028</v>
      </c>
      <c r="CU74" s="17">
        <f>CT74*VLOOKUP('Données projet'!$B$13,Paramètres!$A$1:$I$89,3,0)*VLOOKUP('Données projet'!$B$13,Paramètres!$A$1:$I$89,5,0)</f>
        <v>253.8510000000002</v>
      </c>
      <c r="CV74" s="13">
        <f t="shared" si="95"/>
        <v>61.409839451305665</v>
      </c>
      <c r="CW74" s="20">
        <f t="shared" si="67"/>
        <v>549.07929537769098</v>
      </c>
      <c r="CX74" s="59">
        <f t="shared" si="68"/>
        <v>842.41262871102435</v>
      </c>
      <c r="CY74" s="59">
        <f ca="1">AVERAGE(OFFSET($CX$3,0,0,'Données projet'!$E$13+1,1))-AVERAGE(OFFSET($H$3,0,0,'Données projet'!$E$13+1,1))</f>
        <v>270.30888762640245</v>
      </c>
      <c r="CZ74" s="59">
        <f t="shared" si="96"/>
        <v>202.23783851977691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0.9509510598741634</v>
      </c>
      <c r="DG74" s="21">
        <f>EXP(-LN(2)/25)*DG73+(1-EXP(-LN(2)/25))/(LN(2)/25)*Calculateur!DB74*Calculateur!DD74*VLOOKUP('Données projet'!$B$13,Paramètres!$A$1:$I$89,3,0)*0.475*44/12</f>
        <v>3.9449971460452087</v>
      </c>
      <c r="DH74" s="21">
        <f>EXP(-LN(2)/2)*DH73+(1-EXP(-LN(2)/2))/(LN(2)/2)*DB74*DE74*VLOOKUP('Données projet'!$B$13,Paramètres!$A$1:$I$89,3,0)*0.475*44/12</f>
        <v>1.2470482762638348E-5</v>
      </c>
      <c r="DI74" s="22">
        <f t="shared" si="69"/>
        <v>4.8959606764021348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10.5</v>
      </c>
      <c r="DO74" s="12">
        <f>IF('Données projet'!$A$166&gt;35,DO73+DN74-DW73,IF(A74&lt;'Données projet'!$A$166,$DL$205^A74,IF(A74='Données projet'!$A$166,'Données projet'!$B$166,DO73+DN74-DW73)))</f>
        <v>367.50000000000011</v>
      </c>
      <c r="DP74" s="17">
        <f>DO74*VLOOKUP('Données projet'!$B$14,Paramètres!$A$1:$I$89,3,0)*VLOOKUP('Données projet'!$B$14,Paramètres!$A$1:$I$89,5,0)</f>
        <v>219.7650000000001</v>
      </c>
      <c r="DQ74" s="13">
        <f t="shared" si="97"/>
        <v>54.063806455114872</v>
      </c>
      <c r="DR74" s="20">
        <f t="shared" si="70"/>
        <v>476.91850457599202</v>
      </c>
      <c r="DS74" s="59">
        <f t="shared" si="71"/>
        <v>770.25183790932533</v>
      </c>
      <c r="DT74" s="59">
        <f ca="1">AVERAGE(OFFSET($DS$3,0,0,'Données projet'!$E$14+1,1))-AVERAGE(OFFSET($H$3,0,0,'Données projet'!$E$14+1,1))</f>
        <v>221.14988592347311</v>
      </c>
      <c r="DU74" s="59">
        <f t="shared" si="98"/>
        <v>179.09262081171607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1.0143477971991073</v>
      </c>
      <c r="EB74" s="21">
        <f>EXP(-LN(2)/25)*EB73+(1-EXP(-LN(2)/25))/(LN(2)/25)*Calculateur!DW74*Calculateur!DY74*VLOOKUP('Données projet'!$B$14,Paramètres!$A$1:$I$89,3,0)*0.475*44/12</f>
        <v>3.2857308917572197</v>
      </c>
      <c r="EC74" s="21">
        <f>EXP(-LN(2)/2)*EC73+(1-EXP(-LN(2)/2))/(LN(2)/2)*DW74*DZ74*VLOOKUP('Données projet'!$B$14,Paramètres!$A$1:$I$89,3,0)*0.475*44/12</f>
        <v>1.3149653219733984E-5</v>
      </c>
      <c r="ED74" s="22">
        <f t="shared" si="72"/>
        <v>4.3000918386095464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6.1</v>
      </c>
      <c r="EJ74" s="12">
        <f>IF('Données projet'!$A$192&gt;35,EJ73+EI74-ER73,IF(A74&lt;'Données projet'!$A$192,$EG$205^A74,IF(A74='Données projet'!$A$192,'Données projet'!$B$192,EJ73+EI74-ER73)))</f>
        <v>318.10000000000002</v>
      </c>
      <c r="EK74" s="17">
        <f>EJ74*VLOOKUP('Données projet'!$B$15,Paramètres!$A$1:$I$89,3,0)*VLOOKUP('Données projet'!$B$15,Paramètres!$A$1:$I$89,5,0)</f>
        <v>173.68260000000001</v>
      </c>
      <c r="EL74" s="13">
        <f t="shared" si="99"/>
        <v>43.913771928509959</v>
      </c>
      <c r="EM74" s="20">
        <f t="shared" si="73"/>
        <v>378.98034777548816</v>
      </c>
      <c r="EN74" s="59">
        <f t="shared" si="74"/>
        <v>672.31368110882147</v>
      </c>
      <c r="EO74" s="59">
        <f ca="1">AVERAGE(OFFSET($EN$3,0,0,'Données projet'!$E$15+1,1))-AVERAGE(OFFSET($H$3,0,0,'Données projet'!$E$15+1,1))</f>
        <v>168.72306536277267</v>
      </c>
      <c r="EP74" s="59">
        <f t="shared" si="100"/>
        <v>203.35476578922339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1.3506261430096809</v>
      </c>
      <c r="EW74" s="21">
        <f>EXP(-LN(2)/25)*EW73+(1-EXP(-LN(2)/25))/(LN(2)/25)*Calculateur!ER74*Calculateur!ET74*VLOOKUP('Données projet'!$B$15,Paramètres!$A$1:$I$89,3,0)*0.475*44/12</f>
        <v>7.3748929771689253</v>
      </c>
      <c r="EX74" s="21">
        <f>EXP(-LN(2)/2)*EX73+(1-EXP(-LN(2)/2))/(LN(2)/2)*ER74*EU74*VLOOKUP('Données projet'!$B$15,Paramètres!$A$1:$I$89,3,0)*0.475*44/12</f>
        <v>1.3503072482985176E-5</v>
      </c>
      <c r="EY74" s="22">
        <f t="shared" si="75"/>
        <v>8.7255326232510892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4.5999999999999996</v>
      </c>
      <c r="FE74" s="12">
        <f>IF('Données projet'!$A$218&gt;35,FE73+FD74-FM73,IF(A74&lt;'Données projet'!$A$218,$FB$205^A74,IF(A74='Données projet'!$A$218,'Données projet'!$B$218,FE73+FD74-FM73)))</f>
        <v>270.60000000000014</v>
      </c>
      <c r="FF74" s="17">
        <f>FE74*VLOOKUP('Données projet'!$B$16,Paramètres!$A$1:$I$89,3,0)*VLOOKUP('Données projet'!$B$16,Paramètres!$A$1:$I$89,5,0)</f>
        <v>147.74760000000009</v>
      </c>
      <c r="FG74" s="13">
        <f t="shared" si="101"/>
        <v>38.066269783031707</v>
      </c>
      <c r="FH74" s="20">
        <f t="shared" si="76"/>
        <v>323.62582320544703</v>
      </c>
      <c r="FI74" s="59">
        <f t="shared" si="77"/>
        <v>616.95915653878035</v>
      </c>
      <c r="FJ74" s="59">
        <f ca="1">AVERAGE(OFFSET($FI$3,0,0,'Données projet'!$E$16+1,1))-AVERAGE(OFFSET($H$3,0,0,'Données projet'!$E$16+1,1))</f>
        <v>127.76128532861486</v>
      </c>
      <c r="FK74" s="59">
        <f t="shared" si="102"/>
        <v>157.52303491639736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>
        <f>EXP(-LN(2)/35)*FQ73+(1-EXP(-LN(2)/35))/(LN(2)/35)*FM74*FN74*VLOOKUP('Données projet'!$B$16,Paramètres!$A$1:$I$89,3,0)*0.475*44/12</f>
        <v>1.0805009144077444</v>
      </c>
      <c r="FR74" s="21">
        <f>EXP(-LN(2)/25)*FR73+(1-EXP(-LN(2)/25))/(LN(2)/25)*Calculateur!FM74*Calculateur!FO74*VLOOKUP('Données projet'!$B$16,Paramètres!$A$1:$I$89,3,0)*0.475*44/12</f>
        <v>5.2367850324393856</v>
      </c>
      <c r="FS74" s="21">
        <f>EXP(-LN(2)/2)*FS73+(1-EXP(-LN(2)/2))/(LN(2)/2)*FM74*FP74*VLOOKUP('Données projet'!$B$16,Paramètres!$A$1:$I$89,3,0)*0.475*44/12</f>
        <v>1.0720384318618927E-5</v>
      </c>
      <c r="FT74" s="22">
        <f t="shared" si="78"/>
        <v>6.3172966672314494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5.6899038461538431</v>
      </c>
      <c r="N75" s="13">
        <f>IF('Données projet'!$A$36&gt;35,N74+M75-V74,IF(A75&lt;'Données projet'!$A$36,$K$205^A75,IF(A75='Données projet'!$A$36,'Données projet'!$B$36,N74+M75-V74)))</f>
        <v>164.31490384615381</v>
      </c>
      <c r="O75" s="13">
        <f>N75*VLOOKUP('Données projet'!$B$9,Paramètres!$A$1:$I$89,3,0)*VLOOKUP('Données projet'!$B$9,Paramètres!$A$1:$I$89,5,0)</f>
        <v>148.67212499999997</v>
      </c>
      <c r="P75" s="13">
        <f t="shared" si="87"/>
        <v>38.276665273939201</v>
      </c>
      <c r="Q75" s="20">
        <f t="shared" si="54"/>
        <v>325.60247639377735</v>
      </c>
      <c r="R75" s="59">
        <f t="shared" si="55"/>
        <v>618.93580972711061</v>
      </c>
      <c r="S75" s="59">
        <f ca="1">AVERAGE(OFFSET($R$3,0,0,'Données projet'!$E$9+1,1))-AVERAGE(OFFSET($H$3,0,0,'Données projet'!$E$9+1,1))</f>
        <v>153.45079678708987</v>
      </c>
      <c r="T75" s="59">
        <f t="shared" si="88"/>
        <v>115.4217868409637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0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0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4.7339743589743595</v>
      </c>
      <c r="AI75" s="13">
        <f>IF('Données projet'!$A$62&gt;35,AI74+AH75-AQ74,IF(A75&lt;'Données projet'!$A$62,$AF$205^A75,IF(A75='Données projet'!$A$62,'Données projet'!$B$62,AI74+AH75-AQ74)))</f>
        <v>127.51602564102571</v>
      </c>
      <c r="AJ75" s="13">
        <f>AI75*VLOOKUP('Données projet'!$B$10,Paramètres!$A$1:$I$89,3,0)*VLOOKUP('Données projet'!$B$10,Paramètres!$A$1:$I$89,5,0)</f>
        <v>115.37650000000006</v>
      </c>
      <c r="AK75" s="13">
        <f t="shared" si="89"/>
        <v>30.594190349117021</v>
      </c>
      <c r="AL75" s="20">
        <f t="shared" si="58"/>
        <v>254.23228569137893</v>
      </c>
      <c r="AM75" s="59">
        <f t="shared" si="59"/>
        <v>547.5656190247123</v>
      </c>
      <c r="AN75" s="59">
        <f ca="1">AVERAGE(OFFSET($AM$3,0,0,'Données projet'!$E$10+1,1))-AVERAGE(OFFSET($H$3,0,0,'Données projet'!$E$10+1,1))</f>
        <v>123.92486590666675</v>
      </c>
      <c r="AO75" s="59">
        <f t="shared" si="90"/>
        <v>54.404493017418986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0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1.1368683772161603E-13</v>
      </c>
      <c r="BE75" s="13">
        <f>BD75*VLOOKUP('Données projet'!$B$11,Paramètres!$A$1:$I$89,3,0)*VLOOKUP('Données projet'!$B$11,Paramètres!$A$1:$I$89,5,0)</f>
        <v>6.3550942286383367E-14</v>
      </c>
      <c r="BF75" s="13">
        <f t="shared" si="91"/>
        <v>1.0064464192543978E-12</v>
      </c>
      <c r="BG75" s="20">
        <f t="shared" si="61"/>
        <v>1.8635787380168604E-12</v>
      </c>
      <c r="BH75" s="59">
        <f t="shared" si="62"/>
        <v>293.33333333333519</v>
      </c>
      <c r="BI75" s="59">
        <f ca="1">AVERAGE(OFFSET($BH$3,0,0,'Données projet'!$E$11+1,1))-AVERAGE(OFFSET($H$3,0,0,'Données projet'!$E$11+1,1))</f>
        <v>224.7049802939942</v>
      </c>
      <c r="BJ75" s="59">
        <f t="shared" si="92"/>
        <v>203.48513862195352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0.97116901979899006</v>
      </c>
      <c r="BQ75" s="21">
        <f>EXP(-LN(2)/25)*BQ74+(1-EXP(-LN(2)/25))/(LN(2)/25)*Calculateur!BL75*Calculateur!BN75*VLOOKUP('Données projet'!$B$11,Paramètres!$A$1:$I$89,3,0)*0.475*44/12</f>
        <v>6.0932660444270104</v>
      </c>
      <c r="BR75" s="21">
        <f>EXP(-LN(2)/2)*BR74+(1-EXP(-LN(2)/2))/(LN(2)/2)*BL75*BO75*VLOOKUP('Données projet'!$B$11,Paramètres!$A$1:$I$89,3,0)*0.475*44/12</f>
        <v>4.2727530436935447E-6</v>
      </c>
      <c r="BS75" s="22">
        <f t="shared" si="63"/>
        <v>7.0644393369790439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>
        <f>VLOOKUP(A75,'Données projet'!$A$113:$I$133,2,0)</f>
        <v>364.2076923076923</v>
      </c>
      <c r="BW75" s="12">
        <f>VLOOKUP(A75,'Données projet'!$A$113:$I$133,9,0)</f>
        <v>8.3938461538461517</v>
      </c>
      <c r="BX75" s="12">
        <f t="array" ref="BX75">INDEX(BW:BW,MIN(IF(ISNUMBER(BW75:BW271),ROW(BW75:BW271),"")))</f>
        <v>8.3938461538461517</v>
      </c>
      <c r="BY75" s="12">
        <f>IF('Données projet'!$A$114&gt;35,BY74+BX75-CG74,IF(A75&lt;'Données projet'!$A$114,$BV$205^A75,IF(A75='Données projet'!$A$114,'Données projet'!$B$114,BY74+BX75-CG74)))</f>
        <v>364.20769230769213</v>
      </c>
      <c r="BZ75" s="13">
        <f>BY75*VLOOKUP('Données projet'!$B$12,Paramètres!$A$1:$I$89,3,0)*VLOOKUP('Données projet'!$B$12,Paramètres!$A$1:$I$89,5,0)</f>
        <v>203.59209999999993</v>
      </c>
      <c r="CA75" s="13">
        <f t="shared" si="93"/>
        <v>50.53278284974386</v>
      </c>
      <c r="CB75" s="20">
        <f t="shared" si="64"/>
        <v>442.60083762997039</v>
      </c>
      <c r="CC75" s="59">
        <f t="shared" si="65"/>
        <v>735.9341709633037</v>
      </c>
      <c r="CD75" s="59">
        <f ca="1">AVERAGE(OFFSET($CC$3,0,0,'Données projet'!$E$12+1,1))-AVERAGE(OFFSET($H$3,0,0,'Données projet'!$E$12+1,1))</f>
        <v>190.08613104982993</v>
      </c>
      <c r="CE75" s="59">
        <f t="shared" si="94"/>
        <v>180.55054525447781</v>
      </c>
      <c r="CF75" s="15">
        <f>IF(ISNA(VLOOKUP(A75,'Données projet'!$A$113:$I$133,3,0)),0,VLOOKUP(A75,'Données projet'!$A$113:$I$133,3,0))</f>
        <v>5</v>
      </c>
      <c r="CG75" s="15">
        <f>IF(ISNA(VLOOKUP(A75,'Données projet'!$A$113:$I$133,4,0)),0,VLOOKUP(A75,'Données projet'!$A$113:$I$133,4,0))</f>
        <v>51.930769230769236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0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12.5</v>
      </c>
      <c r="CT75" s="12">
        <f>IF('Données projet'!$A$140&gt;35,CT74+CS75-DB74,IF(A75&lt;'Données projet'!$A$140,$CQ$205^A75,IF(A75='Données projet'!$A$140,'Données projet'!$B$140,CT74+CS75-DB74)))</f>
        <v>437.00000000000028</v>
      </c>
      <c r="CU75" s="17">
        <f>CT75*VLOOKUP('Données projet'!$B$13,Paramètres!$A$1:$I$89,3,0)*VLOOKUP('Données projet'!$B$13,Paramètres!$A$1:$I$89,5,0)</f>
        <v>261.32600000000019</v>
      </c>
      <c r="CV75" s="13">
        <f t="shared" si="95"/>
        <v>63.004943834026825</v>
      </c>
      <c r="CW75" s="20">
        <f t="shared" si="67"/>
        <v>564.87639384426382</v>
      </c>
      <c r="CX75" s="59">
        <f t="shared" si="68"/>
        <v>858.20972717759719</v>
      </c>
      <c r="CY75" s="59">
        <f ca="1">AVERAGE(OFFSET($CX$3,0,0,'Données projet'!$E$13+1,1))-AVERAGE(OFFSET($H$3,0,0,'Données projet'!$E$13+1,1))</f>
        <v>270.30888762640245</v>
      </c>
      <c r="CZ75" s="59">
        <f t="shared" si="96"/>
        <v>202.23783851977691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0.9323034896129051</v>
      </c>
      <c r="DG75" s="21">
        <f>EXP(-LN(2)/25)*DG74+(1-EXP(-LN(2)/25))/(LN(2)/25)*Calculateur!DB75*Calculateur!DD75*VLOOKUP('Données projet'!$B$13,Paramètres!$A$1:$I$89,3,0)*0.475*44/12</f>
        <v>3.8371209916282187</v>
      </c>
      <c r="DH75" s="21">
        <f>EXP(-LN(2)/2)*DH74+(1-EXP(-LN(2)/2))/(LN(2)/2)*DB75*DE75*VLOOKUP('Données projet'!$B$13,Paramètres!$A$1:$I$89,3,0)*0.475*44/12</f>
        <v>8.8179629261315269E-6</v>
      </c>
      <c r="DI75" s="22">
        <f t="shared" si="69"/>
        <v>4.7694332992040502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10.5</v>
      </c>
      <c r="DO75" s="12">
        <f>IF('Données projet'!$A$166&gt;35,DO74+DN75-DW74,IF(A75&lt;'Données projet'!$A$166,$DL$205^A75,IF(A75='Données projet'!$A$166,'Données projet'!$B$166,DO74+DN75-DW74)))</f>
        <v>378.00000000000011</v>
      </c>
      <c r="DP75" s="17">
        <f>DO75*VLOOKUP('Données projet'!$B$14,Paramètres!$A$1:$I$89,3,0)*VLOOKUP('Données projet'!$B$14,Paramètres!$A$1:$I$89,5,0)</f>
        <v>226.04400000000007</v>
      </c>
      <c r="DQ75" s="13">
        <f t="shared" si="97"/>
        <v>55.426440039423504</v>
      </c>
      <c r="DR75" s="20">
        <f t="shared" si="70"/>
        <v>490.22768306866277</v>
      </c>
      <c r="DS75" s="59">
        <f t="shared" si="71"/>
        <v>783.56101640199608</v>
      </c>
      <c r="DT75" s="59">
        <f ca="1">AVERAGE(OFFSET($DS$3,0,0,'Données projet'!$E$14+1,1))-AVERAGE(OFFSET($H$3,0,0,'Données projet'!$E$14+1,1))</f>
        <v>221.14988592347311</v>
      </c>
      <c r="DU75" s="59">
        <f t="shared" si="98"/>
        <v>179.09262081171607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0.9944570555870984</v>
      </c>
      <c r="EB75" s="21">
        <f>EXP(-LN(2)/25)*EB74+(1-EXP(-LN(2)/25))/(LN(2)/25)*Calculateur!DW75*Calculateur!DY75*VLOOKUP('Données projet'!$B$14,Paramètres!$A$1:$I$89,3,0)*0.475*44/12</f>
        <v>3.1958824077330403</v>
      </c>
      <c r="EC75" s="21">
        <f>EXP(-LN(2)/2)*EC74+(1-EXP(-LN(2)/2))/(LN(2)/2)*DW75*DZ75*VLOOKUP('Données projet'!$B$14,Paramètres!$A$1:$I$89,3,0)*0.475*44/12</f>
        <v>9.2982089619254182E-6</v>
      </c>
      <c r="ED75" s="22">
        <f t="shared" si="72"/>
        <v>4.1903487615291004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6.1</v>
      </c>
      <c r="EJ75" s="12">
        <f>IF('Données projet'!$A$192&gt;35,EJ74+EI75-ER74,IF(A75&lt;'Données projet'!$A$192,$EG$205^A75,IF(A75='Données projet'!$A$192,'Données projet'!$B$192,EJ74+EI75-ER74)))</f>
        <v>324.20000000000005</v>
      </c>
      <c r="EK75" s="17">
        <f>EJ75*VLOOKUP('Données projet'!$B$15,Paramètres!$A$1:$I$89,3,0)*VLOOKUP('Données projet'!$B$15,Paramètres!$A$1:$I$89,5,0)</f>
        <v>177.01320000000004</v>
      </c>
      <c r="EL75" s="13">
        <f t="shared" si="99"/>
        <v>44.657032460641901</v>
      </c>
      <c r="EM75" s="20">
        <f t="shared" si="73"/>
        <v>386.0756548689514</v>
      </c>
      <c r="EN75" s="59">
        <f t="shared" si="74"/>
        <v>679.40898820228472</v>
      </c>
      <c r="EO75" s="59">
        <f ca="1">AVERAGE(OFFSET($EN$3,0,0,'Données projet'!$E$15+1,1))-AVERAGE(OFFSET($H$3,0,0,'Données projet'!$E$15+1,1))</f>
        <v>168.72306536277267</v>
      </c>
      <c r="EP75" s="59">
        <f t="shared" si="100"/>
        <v>203.35476578922339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1.3241411881458647</v>
      </c>
      <c r="EW75" s="21">
        <f>EXP(-LN(2)/25)*EW74+(1-EXP(-LN(2)/25))/(LN(2)/25)*Calculateur!ER75*Calculateur!ET75*VLOOKUP('Données projet'!$B$15,Paramètres!$A$1:$I$89,3,0)*0.475*44/12</f>
        <v>7.1732261408794749</v>
      </c>
      <c r="EX75" s="21">
        <f>EXP(-LN(2)/2)*EX74+(1-EXP(-LN(2)/2))/(LN(2)/2)*ER75*EU75*VLOOKUP('Données projet'!$B$15,Paramètres!$A$1:$I$89,3,0)*0.475*44/12</f>
        <v>9.5481141195722895E-6</v>
      </c>
      <c r="EY75" s="22">
        <f t="shared" si="75"/>
        <v>8.4973768771394589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4.5999999999999996</v>
      </c>
      <c r="FE75" s="12">
        <f>IF('Données projet'!$A$218&gt;35,FE74+FD75-FM74,IF(A75&lt;'Données projet'!$A$218,$FB$205^A75,IF(A75='Données projet'!$A$218,'Données projet'!$B$218,FE74+FD75-FM74)))</f>
        <v>275.20000000000016</v>
      </c>
      <c r="FF75" s="17">
        <f>FE75*VLOOKUP('Données projet'!$B$16,Paramètres!$A$1:$I$89,3,0)*VLOOKUP('Données projet'!$B$16,Paramètres!$A$1:$I$89,5,0)</f>
        <v>150.25920000000008</v>
      </c>
      <c r="FG75" s="13">
        <f t="shared" si="101"/>
        <v>38.637483830798729</v>
      </c>
      <c r="FH75" s="20">
        <f t="shared" si="76"/>
        <v>328.99505767197456</v>
      </c>
      <c r="FI75" s="59">
        <f t="shared" si="77"/>
        <v>622.32839100530782</v>
      </c>
      <c r="FJ75" s="59">
        <f ca="1">AVERAGE(OFFSET($FI$3,0,0,'Données projet'!$E$16+1,1))-AVERAGE(OFFSET($H$3,0,0,'Données projet'!$E$16+1,1))</f>
        <v>127.76128532861486</v>
      </c>
      <c r="FK75" s="59">
        <f t="shared" si="102"/>
        <v>157.52303491639736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>
        <f>EXP(-LN(2)/35)*FQ74+(1-EXP(-LN(2)/35))/(LN(2)/35)*FM75*FN75*VLOOKUP('Données projet'!$B$16,Paramètres!$A$1:$I$89,3,0)*0.475*44/12</f>
        <v>1.0593129505166916</v>
      </c>
      <c r="FR75" s="21">
        <f>EXP(-LN(2)/25)*FR74+(1-EXP(-LN(2)/25))/(LN(2)/25)*Calculateur!FM75*Calculateur!FO75*VLOOKUP('Données projet'!$B$16,Paramètres!$A$1:$I$89,3,0)*0.475*44/12</f>
        <v>5.093584870336775</v>
      </c>
      <c r="FS75" s="21">
        <f>EXP(-LN(2)/2)*FS74+(1-EXP(-LN(2)/2))/(LN(2)/2)*FM75*FP75*VLOOKUP('Données projet'!$B$16,Paramètres!$A$1:$I$89,3,0)*0.475*44/12</f>
        <v>7.5804564486213691E-6</v>
      </c>
      <c r="FT75" s="22">
        <f t="shared" si="78"/>
        <v>6.1529054013099147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5.6899038461538431</v>
      </c>
      <c r="N76" s="13">
        <f>IF('Données projet'!$A$36&gt;35,N75+M76-V75,IF(A76&lt;'Données projet'!$A$36,$K$205^A76,IF(A76='Données projet'!$A$36,'Données projet'!$B$36,N75+M76-V75)))</f>
        <v>170.00480769230765</v>
      </c>
      <c r="O76" s="13">
        <f>N76*VLOOKUP('Données projet'!$B$9,Paramètres!$A$1:$I$89,3,0)*VLOOKUP('Données projet'!$B$9,Paramètres!$A$1:$I$89,5,0)</f>
        <v>153.82034999999993</v>
      </c>
      <c r="P76" s="13">
        <f t="shared" si="87"/>
        <v>39.445498990742948</v>
      </c>
      <c r="Q76" s="20">
        <f t="shared" si="54"/>
        <v>336.60468699221047</v>
      </c>
      <c r="R76" s="59">
        <f t="shared" si="55"/>
        <v>629.93802032554379</v>
      </c>
      <c r="S76" s="59">
        <f ca="1">AVERAGE(OFFSET($R$3,0,0,'Données projet'!$E$9+1,1))-AVERAGE(OFFSET($H$3,0,0,'Données projet'!$E$9+1,1))</f>
        <v>153.45079678708987</v>
      </c>
      <c r="T76" s="59">
        <f t="shared" si="88"/>
        <v>115.4217868409637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0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0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4.7339743589743595</v>
      </c>
      <c r="AI76" s="13">
        <f>IF('Données projet'!$A$62&gt;35,AI75+AH76-AQ75,IF(A76&lt;'Données projet'!$A$62,$AF$205^A76,IF(A76='Données projet'!$A$62,'Données projet'!$B$62,AI75+AH76-AQ75)))</f>
        <v>132.25000000000006</v>
      </c>
      <c r="AJ76" s="13">
        <f>AI76*VLOOKUP('Données projet'!$B$10,Paramètres!$A$1:$I$89,3,0)*VLOOKUP('Données projet'!$B$10,Paramètres!$A$1:$I$89,5,0)</f>
        <v>119.65980000000005</v>
      </c>
      <c r="AK76" s="13">
        <f t="shared" si="89"/>
        <v>31.59564012514624</v>
      </c>
      <c r="AL76" s="20">
        <f t="shared" si="58"/>
        <v>263.43655821796312</v>
      </c>
      <c r="AM76" s="59">
        <f t="shared" si="59"/>
        <v>556.7698915512965</v>
      </c>
      <c r="AN76" s="59">
        <f ca="1">AVERAGE(OFFSET($AM$3,0,0,'Données projet'!$E$10+1,1))-AVERAGE(OFFSET($H$3,0,0,'Données projet'!$E$10+1,1))</f>
        <v>123.92486590666675</v>
      </c>
      <c r="AO76" s="59">
        <f t="shared" si="90"/>
        <v>54.404493017418986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0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1.1368683772161603E-13</v>
      </c>
      <c r="BE76" s="13">
        <f>BD76*VLOOKUP('Données projet'!$B$11,Paramètres!$A$1:$I$89,3,0)*VLOOKUP('Données projet'!$B$11,Paramètres!$A$1:$I$89,5,0)</f>
        <v>6.3550942286383367E-14</v>
      </c>
      <c r="BF76" s="13">
        <f t="shared" si="91"/>
        <v>1.0064464192543978E-12</v>
      </c>
      <c r="BG76" s="20">
        <f t="shared" si="61"/>
        <v>1.8635787380168604E-12</v>
      </c>
      <c r="BH76" s="59">
        <f t="shared" si="62"/>
        <v>293.33333333333519</v>
      </c>
      <c r="BI76" s="59">
        <f ca="1">AVERAGE(OFFSET($BH$3,0,0,'Données projet'!$E$11+1,1))-AVERAGE(OFFSET($H$3,0,0,'Données projet'!$E$11+1,1))</f>
        <v>224.7049802939942</v>
      </c>
      <c r="BJ76" s="59">
        <f t="shared" si="92"/>
        <v>203.48513862195352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0.95212498767534381</v>
      </c>
      <c r="BQ76" s="21">
        <f>EXP(-LN(2)/25)*BQ75+(1-EXP(-LN(2)/25))/(LN(2)/25)*Calculateur!BL76*Calculateur!BN76*VLOOKUP('Données projet'!$B$11,Paramètres!$A$1:$I$89,3,0)*0.475*44/12</f>
        <v>5.9266453640112191</v>
      </c>
      <c r="BR76" s="21">
        <f>EXP(-LN(2)/2)*BR75+(1-EXP(-LN(2)/2))/(LN(2)/2)*BL76*BO76*VLOOKUP('Données projet'!$B$11,Paramètres!$A$1:$I$89,3,0)*0.475*44/12</f>
        <v>3.0212926515311662E-6</v>
      </c>
      <c r="BS76" s="22">
        <f t="shared" si="63"/>
        <v>6.8787733729792144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7.073076923076921</v>
      </c>
      <c r="BY76" s="12">
        <f>IF('Données projet'!$A$114&gt;35,BY75+BX76-CG75,IF(A76&lt;'Données projet'!$A$114,$BV$205^A76,IF(A76='Données projet'!$A$114,'Données projet'!$B$114,BY75+BX76-CG75)))</f>
        <v>319.34999999999985</v>
      </c>
      <c r="BZ76" s="13">
        <f>BY76*VLOOKUP('Données projet'!$B$12,Paramètres!$A$1:$I$89,3,0)*VLOOKUP('Données projet'!$B$12,Paramètres!$A$1:$I$89,5,0)</f>
        <v>178.51664999999991</v>
      </c>
      <c r="CA76" s="13">
        <f t="shared" si="93"/>
        <v>44.992009351036685</v>
      </c>
      <c r="CB76" s="20">
        <f t="shared" si="64"/>
        <v>389.27758170305543</v>
      </c>
      <c r="CC76" s="59">
        <f t="shared" si="65"/>
        <v>682.61091503638875</v>
      </c>
      <c r="CD76" s="59">
        <f ca="1">AVERAGE(OFFSET($CC$3,0,0,'Données projet'!$E$12+1,1))-AVERAGE(OFFSET($H$3,0,0,'Données projet'!$E$12+1,1))</f>
        <v>190.08613104982993</v>
      </c>
      <c r="CE76" s="59">
        <f t="shared" si="94"/>
        <v>180.55054525447781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0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12.5</v>
      </c>
      <c r="CT76" s="12">
        <f>IF('Données projet'!$A$140&gt;35,CT75+CS76-DB75,IF(A76&lt;'Données projet'!$A$140,$CQ$205^A76,IF(A76='Données projet'!$A$140,'Données projet'!$B$140,CT75+CS76-DB75)))</f>
        <v>449.50000000000028</v>
      </c>
      <c r="CU76" s="17">
        <f>CT76*VLOOKUP('Données projet'!$B$13,Paramètres!$A$1:$I$89,3,0)*VLOOKUP('Données projet'!$B$13,Paramètres!$A$1:$I$89,5,0)</f>
        <v>268.80100000000022</v>
      </c>
      <c r="CV76" s="13">
        <f t="shared" si="95"/>
        <v>64.594745353205028</v>
      </c>
      <c r="CW76" s="20">
        <f t="shared" si="67"/>
        <v>580.66425649016571</v>
      </c>
      <c r="CX76" s="59">
        <f t="shared" si="68"/>
        <v>873.99758982349908</v>
      </c>
      <c r="CY76" s="59">
        <f ca="1">AVERAGE(OFFSET($CX$3,0,0,'Données projet'!$E$13+1,1))-AVERAGE(OFFSET($H$3,0,0,'Données projet'!$E$13+1,1))</f>
        <v>270.30888762640245</v>
      </c>
      <c r="CZ76" s="59">
        <f t="shared" si="96"/>
        <v>202.23783851977691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0.91402158683057533</v>
      </c>
      <c r="DG76" s="21">
        <f>EXP(-LN(2)/25)*DG75+(1-EXP(-LN(2)/25))/(LN(2)/25)*Calculateur!DB76*Calculateur!DD76*VLOOKUP('Données projet'!$B$13,Paramètres!$A$1:$I$89,3,0)*0.475*44/12</f>
        <v>3.7321947163267222</v>
      </c>
      <c r="DH76" s="21">
        <f>EXP(-LN(2)/2)*DH75+(1-EXP(-LN(2)/2))/(LN(2)/2)*DB76*DE76*VLOOKUP('Données projet'!$B$13,Paramètres!$A$1:$I$89,3,0)*0.475*44/12</f>
        <v>6.235241381319174E-6</v>
      </c>
      <c r="DI76" s="22">
        <f t="shared" si="69"/>
        <v>4.6462225383986784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10.5</v>
      </c>
      <c r="DO76" s="12">
        <f>IF('Données projet'!$A$166&gt;35,DO75+DN76-DW75,IF(A76&lt;'Données projet'!$A$166,$DL$205^A76,IF(A76='Données projet'!$A$166,'Données projet'!$B$166,DO75+DN76-DW75)))</f>
        <v>388.50000000000011</v>
      </c>
      <c r="DP76" s="17">
        <f>DO76*VLOOKUP('Données projet'!$B$14,Paramètres!$A$1:$I$89,3,0)*VLOOKUP('Données projet'!$B$14,Paramètres!$A$1:$I$89,5,0)</f>
        <v>232.32300000000009</v>
      </c>
      <c r="DQ76" s="13">
        <f t="shared" si="97"/>
        <v>56.784674292431681</v>
      </c>
      <c r="DR76" s="20">
        <f t="shared" si="70"/>
        <v>503.52919939265206</v>
      </c>
      <c r="DS76" s="59">
        <f t="shared" si="71"/>
        <v>796.86253272598537</v>
      </c>
      <c r="DT76" s="59">
        <f ca="1">AVERAGE(OFFSET($DS$3,0,0,'Données projet'!$E$14+1,1))-AVERAGE(OFFSET($H$3,0,0,'Données projet'!$E$14+1,1))</f>
        <v>221.14988592347311</v>
      </c>
      <c r="DU76" s="59">
        <f t="shared" si="98"/>
        <v>179.09262081171607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0.97495635928594659</v>
      </c>
      <c r="EB76" s="21">
        <f>EXP(-LN(2)/25)*EB75+(1-EXP(-LN(2)/25))/(LN(2)/25)*Calculateur!DW76*Calculateur!DY76*VLOOKUP('Données projet'!$B$14,Paramètres!$A$1:$I$89,3,0)*0.475*44/12</f>
        <v>3.1084908352294289</v>
      </c>
      <c r="EC76" s="21">
        <f>EXP(-LN(2)/2)*EC75+(1-EXP(-LN(2)/2))/(LN(2)/2)*DW76*DZ76*VLOOKUP('Données projet'!$B$14,Paramètres!$A$1:$I$89,3,0)*0.475*44/12</f>
        <v>6.574826609866992E-6</v>
      </c>
      <c r="ED76" s="22">
        <f t="shared" si="72"/>
        <v>4.0834537693419861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6.1</v>
      </c>
      <c r="EJ76" s="12">
        <f>IF('Données projet'!$A$192&gt;35,EJ75+EI76-ER75,IF(A76&lt;'Données projet'!$A$192,$EG$205^A76,IF(A76='Données projet'!$A$192,'Données projet'!$B$192,EJ75+EI76-ER75)))</f>
        <v>330.30000000000007</v>
      </c>
      <c r="EK76" s="17">
        <f>EJ76*VLOOKUP('Données projet'!$B$15,Paramètres!$A$1:$I$89,3,0)*VLOOKUP('Données projet'!$B$15,Paramètres!$A$1:$I$89,5,0)</f>
        <v>180.34380000000004</v>
      </c>
      <c r="EL76" s="13">
        <f t="shared" si="99"/>
        <v>45.398666835773618</v>
      </c>
      <c r="EM76" s="20">
        <f t="shared" si="73"/>
        <v>393.16812973897248</v>
      </c>
      <c r="EN76" s="59">
        <f t="shared" si="74"/>
        <v>686.5014630723058</v>
      </c>
      <c r="EO76" s="59">
        <f ca="1">AVERAGE(OFFSET($EN$3,0,0,'Données projet'!$E$15+1,1))-AVERAGE(OFFSET($H$3,0,0,'Données projet'!$E$15+1,1))</f>
        <v>168.72306536277267</v>
      </c>
      <c r="EP76" s="59">
        <f t="shared" si="100"/>
        <v>203.35476578922339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1.2981755870927005</v>
      </c>
      <c r="EW76" s="21">
        <f>EXP(-LN(2)/25)*EW75+(1-EXP(-LN(2)/25))/(LN(2)/25)*Calculateur!ER76*Calculateur!ET76*VLOOKUP('Données projet'!$B$15,Paramètres!$A$1:$I$89,3,0)*0.475*44/12</f>
        <v>6.9770738948335573</v>
      </c>
      <c r="EX76" s="21">
        <f>EXP(-LN(2)/2)*EX75+(1-EXP(-LN(2)/2))/(LN(2)/2)*ER76*EU76*VLOOKUP('Données projet'!$B$15,Paramètres!$A$1:$I$89,3,0)*0.475*44/12</f>
        <v>6.7515362414925879E-6</v>
      </c>
      <c r="EY76" s="22">
        <f t="shared" si="75"/>
        <v>8.2752562334624997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4.5999999999999996</v>
      </c>
      <c r="FE76" s="12">
        <f>IF('Données projet'!$A$218&gt;35,FE75+FD76-FM75,IF(A76&lt;'Données projet'!$A$218,$FB$205^A76,IF(A76='Données projet'!$A$218,'Données projet'!$B$218,FE75+FD76-FM75)))</f>
        <v>279.80000000000018</v>
      </c>
      <c r="FF76" s="17">
        <f>FE76*VLOOKUP('Données projet'!$B$16,Paramètres!$A$1:$I$89,3,0)*VLOOKUP('Données projet'!$B$16,Paramètres!$A$1:$I$89,5,0)</f>
        <v>152.77080000000009</v>
      </c>
      <c r="FG76" s="13">
        <f t="shared" si="101"/>
        <v>39.20758752773574</v>
      </c>
      <c r="FH76" s="20">
        <f t="shared" si="76"/>
        <v>334.36235827747322</v>
      </c>
      <c r="FI76" s="59">
        <f t="shared" si="77"/>
        <v>627.69569161080653</v>
      </c>
      <c r="FJ76" s="59">
        <f ca="1">AVERAGE(OFFSET($FI$3,0,0,'Données projet'!$E$16+1,1))-AVERAGE(OFFSET($H$3,0,0,'Données projet'!$E$16+1,1))</f>
        <v>127.76128532861486</v>
      </c>
      <c r="FK76" s="59">
        <f t="shared" si="102"/>
        <v>157.52303491639736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>
        <f>EXP(-LN(2)/35)*FQ75+(1-EXP(-LN(2)/35))/(LN(2)/35)*FM76*FN76*VLOOKUP('Données projet'!$B$16,Paramètres!$A$1:$I$89,3,0)*0.475*44/12</f>
        <v>1.0385404696741602</v>
      </c>
      <c r="FR76" s="21">
        <f>EXP(-LN(2)/25)*FR75+(1-EXP(-LN(2)/25))/(LN(2)/25)*Calculateur!FM76*Calculateur!FO76*VLOOKUP('Données projet'!$B$16,Paramètres!$A$1:$I$89,3,0)*0.475*44/12</f>
        <v>4.9543005241974294</v>
      </c>
      <c r="FS76" s="21">
        <f>EXP(-LN(2)/2)*FS75+(1-EXP(-LN(2)/2))/(LN(2)/2)*FM76*FP76*VLOOKUP('Données projet'!$B$16,Paramètres!$A$1:$I$89,3,0)*0.475*44/12</f>
        <v>5.3601921593094643E-6</v>
      </c>
      <c r="FT76" s="22">
        <f t="shared" si="78"/>
        <v>5.9928463540637491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5.6899038461538431</v>
      </c>
      <c r="N77" s="13">
        <f>IF('Données projet'!$A$36&gt;35,N76+M77-V76,IF(A77&lt;'Données projet'!$A$36,$K$205^A77,IF(A77='Données projet'!$A$36,'Données projet'!$B$36,N76+M77-V76)))</f>
        <v>175.69471153846149</v>
      </c>
      <c r="O77" s="13">
        <f>N77*VLOOKUP('Données projet'!$B$9,Paramètres!$A$1:$I$89,3,0)*VLOOKUP('Données projet'!$B$9,Paramètres!$A$1:$I$89,5,0)</f>
        <v>158.96857499999996</v>
      </c>
      <c r="P77" s="13">
        <f t="shared" si="87"/>
        <v>40.609787126426944</v>
      </c>
      <c r="Q77" s="20">
        <f t="shared" si="54"/>
        <v>347.59898070352688</v>
      </c>
      <c r="R77" s="59">
        <f t="shared" si="55"/>
        <v>640.93231403686013</v>
      </c>
      <c r="S77" s="59">
        <f ca="1">AVERAGE(OFFSET($R$3,0,0,'Données projet'!$E$9+1,1))-AVERAGE(OFFSET($H$3,0,0,'Données projet'!$E$9+1,1))</f>
        <v>153.45079678708987</v>
      </c>
      <c r="T77" s="59">
        <f t="shared" si="88"/>
        <v>115.4217868409637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0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0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4.7339743589743595</v>
      </c>
      <c r="AI77" s="13">
        <f>IF('Données projet'!$A$62&gt;35,AI76+AH77-AQ76,IF(A77&lt;'Données projet'!$A$62,$AF$205^A77,IF(A77='Données projet'!$A$62,'Données projet'!$B$62,AI76+AH77-AQ76)))</f>
        <v>136.98397435897442</v>
      </c>
      <c r="AJ77" s="13">
        <f>AI77*VLOOKUP('Données projet'!$B$10,Paramètres!$A$1:$I$89,3,0)*VLOOKUP('Données projet'!$B$10,Paramètres!$A$1:$I$89,5,0)</f>
        <v>123.94310000000004</v>
      </c>
      <c r="AK77" s="13">
        <f t="shared" si="89"/>
        <v>32.592924988493195</v>
      </c>
      <c r="AL77" s="20">
        <f t="shared" si="58"/>
        <v>272.63357685495902</v>
      </c>
      <c r="AM77" s="59">
        <f t="shared" si="59"/>
        <v>565.96691018829233</v>
      </c>
      <c r="AN77" s="59">
        <f ca="1">AVERAGE(OFFSET($AM$3,0,0,'Données projet'!$E$10+1,1))-AVERAGE(OFFSET($H$3,0,0,'Données projet'!$E$10+1,1))</f>
        <v>123.92486590666675</v>
      </c>
      <c r="AO77" s="59">
        <f t="shared" si="90"/>
        <v>54.404493017418986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0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1.1368683772161603E-13</v>
      </c>
      <c r="BE77" s="13">
        <f>BD77*VLOOKUP('Données projet'!$B$11,Paramètres!$A$1:$I$89,3,0)*VLOOKUP('Données projet'!$B$11,Paramètres!$A$1:$I$89,5,0)</f>
        <v>6.3550942286383367E-14</v>
      </c>
      <c r="BF77" s="13">
        <f t="shared" si="91"/>
        <v>1.0064464192543978E-12</v>
      </c>
      <c r="BG77" s="20">
        <f t="shared" si="61"/>
        <v>1.8635787380168604E-12</v>
      </c>
      <c r="BH77" s="59">
        <f t="shared" si="62"/>
        <v>293.33333333333519</v>
      </c>
      <c r="BI77" s="59">
        <f ca="1">AVERAGE(OFFSET($BH$3,0,0,'Données projet'!$E$11+1,1))-AVERAGE(OFFSET($H$3,0,0,'Données projet'!$E$11+1,1))</f>
        <v>224.7049802939942</v>
      </c>
      <c r="BJ77" s="59">
        <f t="shared" si="92"/>
        <v>203.48513862195352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0.93345439740592961</v>
      </c>
      <c r="BQ77" s="21">
        <f>EXP(-LN(2)/25)*BQ76+(1-EXP(-LN(2)/25))/(LN(2)/25)*Calculateur!BL77*Calculateur!BN77*VLOOKUP('Données projet'!$B$11,Paramètres!$A$1:$I$89,3,0)*0.475*44/12</f>
        <v>5.7645809348635986</v>
      </c>
      <c r="BR77" s="21">
        <f>EXP(-LN(2)/2)*BR76+(1-EXP(-LN(2)/2))/(LN(2)/2)*BL77*BO77*VLOOKUP('Données projet'!$B$11,Paramètres!$A$1:$I$89,3,0)*0.475*44/12</f>
        <v>2.1363765218467723E-6</v>
      </c>
      <c r="BS77" s="22">
        <f t="shared" si="63"/>
        <v>6.6980374686460502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7.073076923076921</v>
      </c>
      <c r="BY77" s="12">
        <f>IF('Données projet'!$A$114&gt;35,BY76+BX77-CG76,IF(A77&lt;'Données projet'!$A$114,$BV$205^A77,IF(A77='Données projet'!$A$114,'Données projet'!$B$114,BY76+BX77-CG76)))</f>
        <v>326.42307692307679</v>
      </c>
      <c r="BZ77" s="13">
        <f>BY77*VLOOKUP('Données projet'!$B$12,Paramètres!$A$1:$I$89,3,0)*VLOOKUP('Données projet'!$B$12,Paramètres!$A$1:$I$89,5,0)</f>
        <v>182.4704999999999</v>
      </c>
      <c r="CA77" s="13">
        <f t="shared" si="93"/>
        <v>45.871390076348234</v>
      </c>
      <c r="CB77" s="20">
        <f t="shared" si="64"/>
        <v>397.69545854963962</v>
      </c>
      <c r="CC77" s="59">
        <f t="shared" si="65"/>
        <v>691.02879188297288</v>
      </c>
      <c r="CD77" s="59">
        <f ca="1">AVERAGE(OFFSET($CC$3,0,0,'Données projet'!$E$12+1,1))-AVERAGE(OFFSET($H$3,0,0,'Données projet'!$E$12+1,1))</f>
        <v>190.08613104982993</v>
      </c>
      <c r="CE77" s="59">
        <f t="shared" si="94"/>
        <v>180.55054525447781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0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12.5</v>
      </c>
      <c r="CT77" s="12">
        <f>IF('Données projet'!$A$140&gt;35,CT76+CS77-DB76,IF(A77&lt;'Données projet'!$A$140,$CQ$205^A77,IF(A77='Données projet'!$A$140,'Données projet'!$B$140,CT76+CS77-DB76)))</f>
        <v>462.00000000000028</v>
      </c>
      <c r="CU77" s="17">
        <f>CT77*VLOOKUP('Données projet'!$B$13,Paramètres!$A$1:$I$89,3,0)*VLOOKUP('Données projet'!$B$13,Paramètres!$A$1:$I$89,5,0)</f>
        <v>276.27600000000018</v>
      </c>
      <c r="CV77" s="13">
        <f t="shared" si="95"/>
        <v>66.179408416217214</v>
      </c>
      <c r="CW77" s="20">
        <f t="shared" si="67"/>
        <v>596.44316965824521</v>
      </c>
      <c r="CX77" s="59">
        <f t="shared" si="68"/>
        <v>889.77650299157858</v>
      </c>
      <c r="CY77" s="59">
        <f ca="1">AVERAGE(OFFSET($CX$3,0,0,'Données projet'!$E$13+1,1))-AVERAGE(OFFSET($H$3,0,0,'Données projet'!$E$13+1,1))</f>
        <v>270.30888762640245</v>
      </c>
      <c r="CZ77" s="59">
        <f t="shared" si="96"/>
        <v>202.23783851977691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0.89609818101094729</v>
      </c>
      <c r="DG77" s="21">
        <f>EXP(-LN(2)/25)*DG76+(1-EXP(-LN(2)/25))/(LN(2)/25)*Calculateur!DB77*Calculateur!DD77*VLOOKUP('Données projet'!$B$13,Paramètres!$A$1:$I$89,3,0)*0.475*44/12</f>
        <v>3.6301376555411777</v>
      </c>
      <c r="DH77" s="21">
        <f>EXP(-LN(2)/2)*DH76+(1-EXP(-LN(2)/2))/(LN(2)/2)*DB77*DE77*VLOOKUP('Données projet'!$B$13,Paramètres!$A$1:$I$89,3,0)*0.475*44/12</f>
        <v>4.4089814630657635E-6</v>
      </c>
      <c r="DI77" s="22">
        <f t="shared" si="69"/>
        <v>4.5262402455335886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10.5</v>
      </c>
      <c r="DO77" s="12">
        <f>IF('Données projet'!$A$166&gt;35,DO76+DN77-DW76,IF(A77&lt;'Données projet'!$A$166,$DL$205^A77,IF(A77='Données projet'!$A$166,'Données projet'!$B$166,DO76+DN77-DW76)))</f>
        <v>399.00000000000011</v>
      </c>
      <c r="DP77" s="17">
        <f>DO77*VLOOKUP('Données projet'!$B$14,Paramètres!$A$1:$I$89,3,0)*VLOOKUP('Données projet'!$B$14,Paramètres!$A$1:$I$89,5,0)</f>
        <v>238.60200000000006</v>
      </c>
      <c r="DQ77" s="13">
        <f t="shared" si="97"/>
        <v>58.138641779145544</v>
      </c>
      <c r="DR77" s="20">
        <f t="shared" si="70"/>
        <v>516.82328443201197</v>
      </c>
      <c r="DS77" s="59">
        <f t="shared" si="71"/>
        <v>810.15661776534535</v>
      </c>
      <c r="DT77" s="59">
        <f ca="1">AVERAGE(OFFSET($DS$3,0,0,'Données projet'!$E$14+1,1))-AVERAGE(OFFSET($H$3,0,0,'Données projet'!$E$14+1,1))</f>
        <v>221.14988592347311</v>
      </c>
      <c r="DU77" s="59">
        <f t="shared" si="98"/>
        <v>179.09262081171607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0.95583805974501013</v>
      </c>
      <c r="EB77" s="21">
        <f>EXP(-LN(2)/25)*EB76+(1-EXP(-LN(2)/25))/(LN(2)/25)*Calculateur!DW77*Calculateur!DY77*VLOOKUP('Données projet'!$B$14,Paramètres!$A$1:$I$89,3,0)*0.475*44/12</f>
        <v>3.0234889898716517</v>
      </c>
      <c r="EC77" s="21">
        <f>EXP(-LN(2)/2)*EC76+(1-EXP(-LN(2)/2))/(LN(2)/2)*DW77*DZ77*VLOOKUP('Données projet'!$B$14,Paramètres!$A$1:$I$89,3,0)*0.475*44/12</f>
        <v>4.6491044809627091E-6</v>
      </c>
      <c r="ED77" s="22">
        <f t="shared" si="72"/>
        <v>3.9793316987211429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6.1</v>
      </c>
      <c r="EJ77" s="12">
        <f>IF('Données projet'!$A$192&gt;35,EJ76+EI77-ER76,IF(A77&lt;'Données projet'!$A$192,$EG$205^A77,IF(A77='Données projet'!$A$192,'Données projet'!$B$192,EJ76+EI77-ER76)))</f>
        <v>336.40000000000009</v>
      </c>
      <c r="EK77" s="17">
        <f>EJ77*VLOOKUP('Données projet'!$B$15,Paramètres!$A$1:$I$89,3,0)*VLOOKUP('Données projet'!$B$15,Paramètres!$A$1:$I$89,5,0)</f>
        <v>183.67440000000005</v>
      </c>
      <c r="EL77" s="13">
        <f t="shared" si="99"/>
        <v>46.138708549418716</v>
      </c>
      <c r="EM77" s="20">
        <f t="shared" si="73"/>
        <v>400.25783072357098</v>
      </c>
      <c r="EN77" s="59">
        <f t="shared" si="74"/>
        <v>693.59116405690429</v>
      </c>
      <c r="EO77" s="59">
        <f ca="1">AVERAGE(OFFSET($EN$3,0,0,'Données projet'!$E$15+1,1))-AVERAGE(OFFSET($H$3,0,0,'Données projet'!$E$15+1,1))</f>
        <v>168.72306536277267</v>
      </c>
      <c r="EP77" s="59">
        <f t="shared" si="100"/>
        <v>203.35476578922339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1.2727191556387361</v>
      </c>
      <c r="EW77" s="21">
        <f>EXP(-LN(2)/25)*EW76+(1-EXP(-LN(2)/25))/(LN(2)/25)*Calculateur!ER77*Calculateur!ET77*VLOOKUP('Données projet'!$B$15,Paramètres!$A$1:$I$89,3,0)*0.475*44/12</f>
        <v>6.7862854422709642</v>
      </c>
      <c r="EX77" s="21">
        <f>EXP(-LN(2)/2)*EX76+(1-EXP(-LN(2)/2))/(LN(2)/2)*ER77*EU77*VLOOKUP('Données projet'!$B$15,Paramètres!$A$1:$I$89,3,0)*0.475*44/12</f>
        <v>4.7740570597861448E-6</v>
      </c>
      <c r="EY77" s="22">
        <f t="shared" si="75"/>
        <v>8.0590093719667593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4.5999999999999996</v>
      </c>
      <c r="FE77" s="12">
        <f>IF('Données projet'!$A$218&gt;35,FE76+FD77-FM76,IF(A77&lt;'Données projet'!$A$218,$FB$205^A77,IF(A77='Données projet'!$A$218,'Données projet'!$B$218,FE76+FD77-FM76)))</f>
        <v>284.4000000000002</v>
      </c>
      <c r="FF77" s="17">
        <f>FE77*VLOOKUP('Données projet'!$B$16,Paramètres!$A$1:$I$89,3,0)*VLOOKUP('Données projet'!$B$16,Paramètres!$A$1:$I$89,5,0)</f>
        <v>155.28240000000011</v>
      </c>
      <c r="FG77" s="13">
        <f t="shared" si="101"/>
        <v>39.776601235546444</v>
      </c>
      <c r="FH77" s="20">
        <f t="shared" si="76"/>
        <v>339.72776048524355</v>
      </c>
      <c r="FI77" s="59">
        <f t="shared" si="77"/>
        <v>633.06109381857686</v>
      </c>
      <c r="FJ77" s="59">
        <f ca="1">AVERAGE(OFFSET($FI$3,0,0,'Données projet'!$E$16+1,1))-AVERAGE(OFFSET($H$3,0,0,'Données projet'!$E$16+1,1))</f>
        <v>127.76128532861486</v>
      </c>
      <c r="FK77" s="59">
        <f t="shared" si="102"/>
        <v>157.52303491639736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>
        <f>EXP(-LN(2)/35)*FQ76+(1-EXP(-LN(2)/35))/(LN(2)/35)*FM77*FN77*VLOOKUP('Données projet'!$B$16,Paramètres!$A$1:$I$89,3,0)*0.475*44/12</f>
        <v>1.0181753245109888</v>
      </c>
      <c r="FR77" s="21">
        <f>EXP(-LN(2)/25)*FR76+(1-EXP(-LN(2)/25))/(LN(2)/25)*Calculateur!FM77*Calculateur!FO77*VLOOKUP('Données projet'!$B$16,Paramètres!$A$1:$I$89,3,0)*0.475*44/12</f>
        <v>4.8188249158279097</v>
      </c>
      <c r="FS77" s="21">
        <f>EXP(-LN(2)/2)*FS76+(1-EXP(-LN(2)/2))/(LN(2)/2)*FM77*FP77*VLOOKUP('Données projet'!$B$16,Paramètres!$A$1:$I$89,3,0)*0.475*44/12</f>
        <v>3.7902282243106854E-6</v>
      </c>
      <c r="FT77" s="22">
        <f t="shared" si="78"/>
        <v>5.8370040305671234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projet'!$A$35:$I$55,2,0)</f>
        <v>181.38461538461536</v>
      </c>
      <c r="L78" s="12">
        <f>VLOOKUP(A78,'Données projet'!$A$35:$I$55,9,0)</f>
        <v>5.6899038461538431</v>
      </c>
      <c r="M78" s="12">
        <f t="array" ref="M78">INDEX(L:L,MIN(IF(ISNUMBER(L78:L274),ROW(L78:L274),"")))</f>
        <v>5.6899038461538431</v>
      </c>
      <c r="N78" s="13">
        <f>IF('Données projet'!$A$36&gt;35,N77+M78-V77,IF(A78&lt;'Données projet'!$A$36,$K$205^A78,IF(A78='Données projet'!$A$36,'Données projet'!$B$36,N77+M78-V77)))</f>
        <v>181.38461538461533</v>
      </c>
      <c r="O78" s="13">
        <f>N78*VLOOKUP('Données projet'!$B$9,Paramètres!$A$1:$I$89,3,0)*VLOOKUP('Données projet'!$B$9,Paramètres!$A$1:$I$89,5,0)</f>
        <v>164.11679999999993</v>
      </c>
      <c r="P78" s="13">
        <f t="shared" si="87"/>
        <v>41.769693774469289</v>
      </c>
      <c r="Q78" s="20">
        <f t="shared" si="54"/>
        <v>358.58564332386726</v>
      </c>
      <c r="R78" s="59">
        <f t="shared" si="55"/>
        <v>651.91897665720057</v>
      </c>
      <c r="S78" s="59">
        <f ca="1">AVERAGE(OFFSET($R$3,0,0,'Données projet'!$E$9+1,1))-AVERAGE(OFFSET($H$3,0,0,'Données projet'!$E$9+1,1))</f>
        <v>153.45079678708987</v>
      </c>
      <c r="T78" s="59">
        <f t="shared" si="88"/>
        <v>115.4217868409637</v>
      </c>
      <c r="U78" s="15">
        <f>IF(ISNA(VLOOKUP(A78,'Données projet'!$A$35:$I$55,3,0)),0,VLOOKUP(A78,'Données projet'!$A$35:$I$55,3,0))</f>
        <v>5</v>
      </c>
      <c r="V78" s="15">
        <f>IF(ISNA(VLOOKUP(A78,'Données projet'!$A$35:$I$55,4,0)),0,VLOOKUP(A78,'Données projet'!$A$35:$I$55,4,0))</f>
        <v>30.916666666666664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0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0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4.7339743589743595</v>
      </c>
      <c r="AI78" s="13">
        <f>IF('Données projet'!$A$62&gt;35,AI77+AH78-AQ77,IF(A78&lt;'Données projet'!$A$62,$AF$205^A78,IF(A78='Données projet'!$A$62,'Données projet'!$B$62,AI77+AH78-AQ77)))</f>
        <v>141.71794871794879</v>
      </c>
      <c r="AJ78" s="13">
        <f>AI78*VLOOKUP('Données projet'!$B$10,Paramètres!$A$1:$I$89,3,0)*VLOOKUP('Données projet'!$B$10,Paramètres!$A$1:$I$89,5,0)</f>
        <v>128.22640000000004</v>
      </c>
      <c r="AK78" s="13">
        <f t="shared" si="89"/>
        <v>33.586205368715447</v>
      </c>
      <c r="AL78" s="20">
        <f t="shared" si="58"/>
        <v>281.82362101717945</v>
      </c>
      <c r="AM78" s="59">
        <f t="shared" si="59"/>
        <v>575.15695435051271</v>
      </c>
      <c r="AN78" s="59">
        <f ca="1">AVERAGE(OFFSET($AM$3,0,0,'Données projet'!$E$10+1,1))-AVERAGE(OFFSET($H$3,0,0,'Données projet'!$E$10+1,1))</f>
        <v>123.92486590666675</v>
      </c>
      <c r="AO78" s="59">
        <f t="shared" si="90"/>
        <v>54.404493017418986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0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1.1368683772161603E-13</v>
      </c>
      <c r="BE78" s="13">
        <f>BD78*VLOOKUP('Données projet'!$B$11,Paramètres!$A$1:$I$89,3,0)*VLOOKUP('Données projet'!$B$11,Paramètres!$A$1:$I$89,5,0)</f>
        <v>6.3550942286383367E-14</v>
      </c>
      <c r="BF78" s="13">
        <f t="shared" si="91"/>
        <v>1.0064464192543978E-12</v>
      </c>
      <c r="BG78" s="20">
        <f t="shared" si="61"/>
        <v>1.8635787380168604E-12</v>
      </c>
      <c r="BH78" s="59">
        <f t="shared" si="62"/>
        <v>293.33333333333519</v>
      </c>
      <c r="BI78" s="59">
        <f ca="1">AVERAGE(OFFSET($BH$3,0,0,'Données projet'!$E$11+1,1))-AVERAGE(OFFSET($H$3,0,0,'Données projet'!$E$11+1,1))</f>
        <v>224.7049802939942</v>
      </c>
      <c r="BJ78" s="59">
        <f t="shared" si="92"/>
        <v>203.48513862195352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0.91514992602376299</v>
      </c>
      <c r="BQ78" s="21">
        <f>EXP(-LN(2)/25)*BQ77+(1-EXP(-LN(2)/25))/(LN(2)/25)*Calculateur!BL78*Calculateur!BN78*VLOOKUP('Données projet'!$B$11,Paramètres!$A$1:$I$89,3,0)*0.475*44/12</f>
        <v>5.6069481660536171</v>
      </c>
      <c r="BR78" s="21">
        <f>EXP(-LN(2)/2)*BR77+(1-EXP(-LN(2)/2))/(LN(2)/2)*BL78*BO78*VLOOKUP('Données projet'!$B$11,Paramètres!$A$1:$I$89,3,0)*0.475*44/12</f>
        <v>1.5106463257655831E-6</v>
      </c>
      <c r="BS78" s="22">
        <f t="shared" si="63"/>
        <v>6.5220996027237055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7.073076923076921</v>
      </c>
      <c r="BY78" s="12">
        <f>IF('Données projet'!$A$114&gt;35,BY77+BX78-CG77,IF(A78&lt;'Données projet'!$A$114,$BV$205^A78,IF(A78='Données projet'!$A$114,'Données projet'!$B$114,BY77+BX78-CG77)))</f>
        <v>333.49615384615373</v>
      </c>
      <c r="BZ78" s="13">
        <f>BY78*VLOOKUP('Données projet'!$B$12,Paramètres!$A$1:$I$89,3,0)*VLOOKUP('Données projet'!$B$12,Paramètres!$A$1:$I$89,5,0)</f>
        <v>186.42434999999995</v>
      </c>
      <c r="CA78" s="13">
        <f t="shared" si="93"/>
        <v>46.748555434068898</v>
      </c>
      <c r="CB78" s="20">
        <f t="shared" si="64"/>
        <v>406.10947696433658</v>
      </c>
      <c r="CC78" s="59">
        <f t="shared" si="65"/>
        <v>699.44281029766989</v>
      </c>
      <c r="CD78" s="59">
        <f ca="1">AVERAGE(OFFSET($CC$3,0,0,'Données projet'!$E$12+1,1))-AVERAGE(OFFSET($H$3,0,0,'Données projet'!$E$12+1,1))</f>
        <v>190.08613104982993</v>
      </c>
      <c r="CE78" s="59">
        <f t="shared" si="94"/>
        <v>180.55054525447781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0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12.5</v>
      </c>
      <c r="CT78" s="12">
        <f>IF('Données projet'!$A$140&gt;35,CT77+CS78-DB77,IF(A78&lt;'Données projet'!$A$140,$CQ$205^A78,IF(A78='Données projet'!$A$140,'Données projet'!$B$140,CT77+CS78-DB77)))</f>
        <v>474.50000000000028</v>
      </c>
      <c r="CU78" s="17">
        <f>CT78*VLOOKUP('Données projet'!$B$13,Paramètres!$A$1:$I$89,3,0)*VLOOKUP('Données projet'!$B$13,Paramètres!$A$1:$I$89,5,0)</f>
        <v>283.7510000000002</v>
      </c>
      <c r="CV78" s="13">
        <f t="shared" si="95"/>
        <v>67.759088027504106</v>
      </c>
      <c r="CW78" s="20">
        <f t="shared" si="67"/>
        <v>612.21340331456997</v>
      </c>
      <c r="CX78" s="59">
        <f t="shared" si="68"/>
        <v>905.54673664790334</v>
      </c>
      <c r="CY78" s="59">
        <f ca="1">AVERAGE(OFFSET($CX$3,0,0,'Données projet'!$E$13+1,1))-AVERAGE(OFFSET($H$3,0,0,'Données projet'!$E$13+1,1))</f>
        <v>270.30888762640245</v>
      </c>
      <c r="CZ78" s="59">
        <f t="shared" si="96"/>
        <v>202.23783851977691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0.87852624224724418</v>
      </c>
      <c r="DG78" s="21">
        <f>EXP(-LN(2)/25)*DG77+(1-EXP(-LN(2)/25))/(LN(2)/25)*Calculateur!DB78*Calculateur!DD78*VLOOKUP('Données projet'!$B$13,Paramètres!$A$1:$I$89,3,0)*0.475*44/12</f>
        <v>3.5308713504497615</v>
      </c>
      <c r="DH78" s="21">
        <f>EXP(-LN(2)/2)*DH77+(1-EXP(-LN(2)/2))/(LN(2)/2)*DB78*DE78*VLOOKUP('Données projet'!$B$13,Paramètres!$A$1:$I$89,3,0)*0.475*44/12</f>
        <v>3.117620690659587E-6</v>
      </c>
      <c r="DI78" s="22">
        <f t="shared" si="69"/>
        <v>4.409400710317696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10.5</v>
      </c>
      <c r="DO78" s="12">
        <f>IF('Données projet'!$A$166&gt;35,DO77+DN78-DW77,IF(A78&lt;'Données projet'!$A$166,$DL$205^A78,IF(A78='Données projet'!$A$166,'Données projet'!$B$166,DO77+DN78-DW77)))</f>
        <v>409.50000000000011</v>
      </c>
      <c r="DP78" s="17">
        <f>DO78*VLOOKUP('Données projet'!$B$14,Paramètres!$A$1:$I$89,3,0)*VLOOKUP('Données projet'!$B$14,Paramètres!$A$1:$I$89,5,0)</f>
        <v>244.88100000000009</v>
      </c>
      <c r="DQ78" s="13">
        <f t="shared" si="97"/>
        <v>59.488467690125262</v>
      </c>
      <c r="DR78" s="20">
        <f t="shared" si="70"/>
        <v>530.11015622696834</v>
      </c>
      <c r="DS78" s="59">
        <f t="shared" si="71"/>
        <v>823.44348956030171</v>
      </c>
      <c r="DT78" s="59">
        <f ca="1">AVERAGE(OFFSET($DS$3,0,0,'Données projet'!$E$14+1,1))-AVERAGE(OFFSET($H$3,0,0,'Données projet'!$E$14+1,1))</f>
        <v>221.14988592347311</v>
      </c>
      <c r="DU78" s="59">
        <f t="shared" si="98"/>
        <v>179.09262081171607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0.93709465839706008</v>
      </c>
      <c r="EB78" s="21">
        <f>EXP(-LN(2)/25)*EB77+(1-EXP(-LN(2)/25))/(LN(2)/25)*Calculateur!DW78*Calculateur!DY78*VLOOKUP('Données projet'!$B$14,Paramètres!$A$1:$I$89,3,0)*0.475*44/12</f>
        <v>2.9408115244452357</v>
      </c>
      <c r="EC78" s="21">
        <f>EXP(-LN(2)/2)*EC77+(1-EXP(-LN(2)/2))/(LN(2)/2)*DW78*DZ78*VLOOKUP('Données projet'!$B$14,Paramètres!$A$1:$I$89,3,0)*0.475*44/12</f>
        <v>3.287413304933496E-6</v>
      </c>
      <c r="ED78" s="22">
        <f t="shared" si="72"/>
        <v>3.877909470255601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6.1</v>
      </c>
      <c r="EJ78" s="12">
        <f>IF('Données projet'!$A$192&gt;35,EJ77+EI78-ER77,IF(A78&lt;'Données projet'!$A$192,$EG$205^A78,IF(A78='Données projet'!$A$192,'Données projet'!$B$192,EJ77+EI78-ER77)))</f>
        <v>342.50000000000011</v>
      </c>
      <c r="EK78" s="17">
        <f>EJ78*VLOOKUP('Données projet'!$B$15,Paramètres!$A$1:$I$89,3,0)*VLOOKUP('Données projet'!$B$15,Paramètres!$A$1:$I$89,5,0)</f>
        <v>187.00500000000008</v>
      </c>
      <c r="EL78" s="13">
        <f t="shared" si="99"/>
        <v>46.877189812776606</v>
      </c>
      <c r="EM78" s="20">
        <f t="shared" si="73"/>
        <v>407.34481392391939</v>
      </c>
      <c r="EN78" s="59">
        <f t="shared" si="74"/>
        <v>700.6781472572527</v>
      </c>
      <c r="EO78" s="59">
        <f ca="1">AVERAGE(OFFSET($EN$3,0,0,'Données projet'!$E$15+1,1))-AVERAGE(OFFSET($H$3,0,0,'Données projet'!$E$15+1,1))</f>
        <v>168.72306536277267</v>
      </c>
      <c r="EP78" s="59">
        <f t="shared" si="100"/>
        <v>203.35476578922339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1.2477619092786938</v>
      </c>
      <c r="EW78" s="21">
        <f>EXP(-LN(2)/25)*EW77+(1-EXP(-LN(2)/25))/(LN(2)/25)*Calculateur!ER78*Calculateur!ET78*VLOOKUP('Données projet'!$B$15,Paramètres!$A$1:$I$89,3,0)*0.475*44/12</f>
        <v>6.6007141099768232</v>
      </c>
      <c r="EX78" s="21">
        <f>EXP(-LN(2)/2)*EX77+(1-EXP(-LN(2)/2))/(LN(2)/2)*ER78*EU78*VLOOKUP('Données projet'!$B$15,Paramètres!$A$1:$I$89,3,0)*0.475*44/12</f>
        <v>3.375768120746294E-6</v>
      </c>
      <c r="EY78" s="22">
        <f t="shared" si="75"/>
        <v>7.848479395023638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4.5999999999999996</v>
      </c>
      <c r="FE78" s="12">
        <f>IF('Données projet'!$A$218&gt;35,FE77+FD78-FM77,IF(A78&lt;'Données projet'!$A$218,$FB$205^A78,IF(A78='Données projet'!$A$218,'Données projet'!$B$218,FE77+FD78-FM77)))</f>
        <v>289.00000000000023</v>
      </c>
      <c r="FF78" s="17">
        <f>FE78*VLOOKUP('Données projet'!$B$16,Paramètres!$A$1:$I$89,3,0)*VLOOKUP('Données projet'!$B$16,Paramètres!$A$1:$I$89,5,0)</f>
        <v>157.79400000000012</v>
      </c>
      <c r="FG78" s="13">
        <f t="shared" si="101"/>
        <v>40.344544619487777</v>
      </c>
      <c r="FH78" s="20">
        <f t="shared" si="76"/>
        <v>345.09129854560803</v>
      </c>
      <c r="FI78" s="59">
        <f t="shared" si="77"/>
        <v>638.42463187894134</v>
      </c>
      <c r="FJ78" s="59">
        <f ca="1">AVERAGE(OFFSET($FI$3,0,0,'Données projet'!$E$16+1,1))-AVERAGE(OFFSET($H$3,0,0,'Données projet'!$E$16+1,1))</f>
        <v>127.76128532861486</v>
      </c>
      <c r="FK78" s="59">
        <f t="shared" si="102"/>
        <v>157.52303491639736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>
        <f>EXP(-LN(2)/35)*FQ77+(1-EXP(-LN(2)/35))/(LN(2)/35)*FM78*FN78*VLOOKUP('Données projet'!$B$16,Paramètres!$A$1:$I$89,3,0)*0.475*44/12</f>
        <v>0.9982095274229551</v>
      </c>
      <c r="FR78" s="21">
        <f>EXP(-LN(2)/25)*FR77+(1-EXP(-LN(2)/25))/(LN(2)/25)*Calculateur!FM78*Calculateur!FO78*VLOOKUP('Données projet'!$B$16,Paramètres!$A$1:$I$89,3,0)*0.475*44/12</f>
        <v>4.6870538950936069</v>
      </c>
      <c r="FS78" s="21">
        <f>EXP(-LN(2)/2)*FS77+(1-EXP(-LN(2)/2))/(LN(2)/2)*FM78*FP78*VLOOKUP('Données projet'!$B$16,Paramètres!$A$1:$I$89,3,0)*0.475*44/12</f>
        <v>2.6800960796547326E-6</v>
      </c>
      <c r="FT78" s="22">
        <f t="shared" si="78"/>
        <v>5.6852661026126414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5.5042735042735051</v>
      </c>
      <c r="N79" s="13">
        <f>IF('Données projet'!$A$36&gt;35,N78+M79-V78,IF(A79&lt;'Données projet'!$A$36,$K$205^A79,IF(A79='Données projet'!$A$36,'Données projet'!$B$36,N78+M79-V78)))</f>
        <v>155.97222222222217</v>
      </c>
      <c r="O79" s="13">
        <f>N79*VLOOKUP('Données projet'!$B$9,Paramètres!$A$1:$I$89,3,0)*VLOOKUP('Données projet'!$B$9,Paramètres!$A$1:$I$89,5,0)</f>
        <v>141.12366666666662</v>
      </c>
      <c r="P79" s="13">
        <f t="shared" si="87"/>
        <v>36.554301861544381</v>
      </c>
      <c r="Q79" s="20">
        <f t="shared" si="54"/>
        <v>309.45579518663413</v>
      </c>
      <c r="R79" s="59">
        <f t="shared" si="55"/>
        <v>602.78912851996745</v>
      </c>
      <c r="S79" s="59">
        <f ca="1">AVERAGE(OFFSET($R$3,0,0,'Données projet'!$E$9+1,1))-AVERAGE(OFFSET($H$3,0,0,'Données projet'!$E$9+1,1))</f>
        <v>153.45079678708987</v>
      </c>
      <c r="T79" s="59">
        <f t="shared" si="88"/>
        <v>115.4217868409637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0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0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4.7339743589743595</v>
      </c>
      <c r="AI79" s="13">
        <f>IF('Données projet'!$A$62&gt;35,AI78+AH79-AQ78,IF(A79&lt;'Données projet'!$A$62,$AF$205^A79,IF(A79='Données projet'!$A$62,'Données projet'!$B$62,AI78+AH79-AQ78)))</f>
        <v>146.45192307692315</v>
      </c>
      <c r="AJ79" s="13">
        <f>AI79*VLOOKUP('Données projet'!$B$10,Paramètres!$A$1:$I$89,3,0)*VLOOKUP('Données projet'!$B$10,Paramètres!$A$1:$I$89,5,0)</f>
        <v>132.50970000000007</v>
      </c>
      <c r="AK79" s="13">
        <f t="shared" si="89"/>
        <v>34.575630369155149</v>
      </c>
      <c r="AL79" s="20">
        <f t="shared" si="58"/>
        <v>291.00695039294527</v>
      </c>
      <c r="AM79" s="59">
        <f t="shared" si="59"/>
        <v>584.34028372627859</v>
      </c>
      <c r="AN79" s="59">
        <f ca="1">AVERAGE(OFFSET($AM$3,0,0,'Données projet'!$E$10+1,1))-AVERAGE(OFFSET($H$3,0,0,'Données projet'!$E$10+1,1))</f>
        <v>123.92486590666675</v>
      </c>
      <c r="AO79" s="59">
        <f t="shared" si="90"/>
        <v>54.404493017418986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0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1.1368683772161603E-13</v>
      </c>
      <c r="BE79" s="13">
        <f>BD79*VLOOKUP('Données projet'!$B$11,Paramètres!$A$1:$I$89,3,0)*VLOOKUP('Données projet'!$B$11,Paramètres!$A$1:$I$89,5,0)</f>
        <v>6.3550942286383367E-14</v>
      </c>
      <c r="BF79" s="13">
        <f t="shared" si="91"/>
        <v>1.0064464192543978E-12</v>
      </c>
      <c r="BG79" s="20">
        <f t="shared" si="61"/>
        <v>1.8635787380168604E-12</v>
      </c>
      <c r="BH79" s="59">
        <f t="shared" si="62"/>
        <v>293.33333333333519</v>
      </c>
      <c r="BI79" s="59">
        <f ca="1">AVERAGE(OFFSET($BH$3,0,0,'Données projet'!$E$11+1,1))-AVERAGE(OFFSET($H$3,0,0,'Données projet'!$E$11+1,1))</f>
        <v>224.7049802939942</v>
      </c>
      <c r="BJ79" s="59">
        <f t="shared" si="92"/>
        <v>203.48513862195352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0.89720439416077558</v>
      </c>
      <c r="BQ79" s="21">
        <f>EXP(-LN(2)/25)*BQ78+(1-EXP(-LN(2)/25))/(LN(2)/25)*Calculateur!BL79*Calculateur!BN79*VLOOKUP('Données projet'!$B$11,Paramètres!$A$1:$I$89,3,0)*0.475*44/12</f>
        <v>5.4536258735962919</v>
      </c>
      <c r="BR79" s="21">
        <f>EXP(-LN(2)/2)*BR78+(1-EXP(-LN(2)/2))/(LN(2)/2)*BL79*BO79*VLOOKUP('Données projet'!$B$11,Paramètres!$A$1:$I$89,3,0)*0.475*44/12</f>
        <v>1.0681882609233862E-6</v>
      </c>
      <c r="BS79" s="22">
        <f t="shared" si="63"/>
        <v>6.3508313359453279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7.073076923076921</v>
      </c>
      <c r="BY79" s="12">
        <f>IF('Données projet'!$A$114&gt;35,BY78+BX79-CG78,IF(A79&lt;'Données projet'!$A$114,$BV$205^A79,IF(A79='Données projet'!$A$114,'Données projet'!$B$114,BY78+BX79-CG78)))</f>
        <v>340.56923076923067</v>
      </c>
      <c r="BZ79" s="13">
        <f>BY79*VLOOKUP('Données projet'!$B$12,Paramètres!$A$1:$I$89,3,0)*VLOOKUP('Données projet'!$B$12,Paramètres!$A$1:$I$89,5,0)</f>
        <v>190.37819999999996</v>
      </c>
      <c r="CA79" s="13">
        <f t="shared" si="93"/>
        <v>47.623557821988435</v>
      </c>
      <c r="CB79" s="20">
        <f t="shared" si="64"/>
        <v>414.51972820662985</v>
      </c>
      <c r="CC79" s="59">
        <f t="shared" si="65"/>
        <v>707.85306153996316</v>
      </c>
      <c r="CD79" s="59">
        <f ca="1">AVERAGE(OFFSET($CC$3,0,0,'Données projet'!$E$12+1,1))-AVERAGE(OFFSET($H$3,0,0,'Données projet'!$E$12+1,1))</f>
        <v>190.08613104982993</v>
      </c>
      <c r="CE79" s="59">
        <f t="shared" si="94"/>
        <v>180.55054525447781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0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12.5</v>
      </c>
      <c r="CT79" s="12">
        <f>IF('Données projet'!$A$140&gt;35,CT78+CS79-DB78,IF(A79&lt;'Données projet'!$A$140,$CQ$205^A79,IF(A79='Données projet'!$A$140,'Données projet'!$B$140,CT78+CS79-DB78)))</f>
        <v>487.00000000000028</v>
      </c>
      <c r="CU79" s="17">
        <f>CT79*VLOOKUP('Données projet'!$B$13,Paramètres!$A$1:$I$89,3,0)*VLOOKUP('Données projet'!$B$13,Paramètres!$A$1:$I$89,5,0)</f>
        <v>291.22600000000023</v>
      </c>
      <c r="CV79" s="13">
        <f t="shared" si="95"/>
        <v>69.333930559700164</v>
      </c>
      <c r="CW79" s="20">
        <f t="shared" si="67"/>
        <v>627.97521239147818</v>
      </c>
      <c r="CX79" s="59">
        <f t="shared" si="68"/>
        <v>921.30854572481144</v>
      </c>
      <c r="CY79" s="59">
        <f ca="1">AVERAGE(OFFSET($CX$3,0,0,'Données projet'!$E$13+1,1))-AVERAGE(OFFSET($H$3,0,0,'Données projet'!$E$13+1,1))</f>
        <v>270.30888762640245</v>
      </c>
      <c r="CZ79" s="59">
        <f t="shared" si="96"/>
        <v>202.23783851977691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0.86129887848487285</v>
      </c>
      <c r="DG79" s="21">
        <f>EXP(-LN(2)/25)*DG78+(1-EXP(-LN(2)/25))/(LN(2)/25)*Calculateur!DB79*Calculateur!DD79*VLOOKUP('Données projet'!$B$13,Paramètres!$A$1:$I$89,3,0)*0.475*44/12</f>
        <v>3.4343194876912584</v>
      </c>
      <c r="DH79" s="21">
        <f>EXP(-LN(2)/2)*DH78+(1-EXP(-LN(2)/2))/(LN(2)/2)*DB79*DE79*VLOOKUP('Données projet'!$B$13,Paramètres!$A$1:$I$89,3,0)*0.475*44/12</f>
        <v>2.2044907315328817E-6</v>
      </c>
      <c r="DI79" s="22">
        <f t="shared" si="69"/>
        <v>4.2956205706668626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10.5</v>
      </c>
      <c r="DO79" s="12">
        <f>IF('Données projet'!$A$166&gt;35,DO78+DN79-DW78,IF(A79&lt;'Données projet'!$A$166,$DL$205^A79,IF(A79='Données projet'!$A$166,'Données projet'!$B$166,DO78+DN79-DW78)))</f>
        <v>420.00000000000011</v>
      </c>
      <c r="DP79" s="17">
        <f>DO79*VLOOKUP('Données projet'!$B$14,Paramètres!$A$1:$I$89,3,0)*VLOOKUP('Données projet'!$B$14,Paramètres!$A$1:$I$89,5,0)</f>
        <v>251.16000000000011</v>
      </c>
      <c r="DQ79" s="13">
        <f t="shared" si="97"/>
        <v>60.834270430141594</v>
      </c>
      <c r="DR79" s="20">
        <f t="shared" si="70"/>
        <v>543.39002099916331</v>
      </c>
      <c r="DS79" s="59">
        <f t="shared" si="71"/>
        <v>836.72335433249668</v>
      </c>
      <c r="DT79" s="59">
        <f ca="1">AVERAGE(OFFSET($DS$3,0,0,'Données projet'!$E$14+1,1))-AVERAGE(OFFSET($H$3,0,0,'Données projet'!$E$14+1,1))</f>
        <v>221.14988592347311</v>
      </c>
      <c r="DU79" s="59">
        <f t="shared" si="98"/>
        <v>179.09262081171607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0.91871880371719739</v>
      </c>
      <c r="EB79" s="21">
        <f>EXP(-LN(2)/25)*EB78+(1-EXP(-LN(2)/25))/(LN(2)/25)*Calculateur!DW79*Calculateur!DY79*VLOOKUP('Données projet'!$B$14,Paramètres!$A$1:$I$89,3,0)*0.475*44/12</f>
        <v>2.8603948786587239</v>
      </c>
      <c r="EC79" s="21">
        <f>EXP(-LN(2)/2)*EC78+(1-EXP(-LN(2)/2))/(LN(2)/2)*DW79*DZ79*VLOOKUP('Données projet'!$B$14,Paramètres!$A$1:$I$89,3,0)*0.475*44/12</f>
        <v>2.3245522404813545E-6</v>
      </c>
      <c r="ED79" s="22">
        <f t="shared" si="72"/>
        <v>3.7791160069281617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6.1</v>
      </c>
      <c r="EJ79" s="12">
        <f>IF('Données projet'!$A$192&gt;35,EJ78+EI79-ER78,IF(A79&lt;'Données projet'!$A$192,$EG$205^A79,IF(A79='Données projet'!$A$192,'Données projet'!$B$192,EJ78+EI79-ER78)))</f>
        <v>348.60000000000014</v>
      </c>
      <c r="EK79" s="17">
        <f>EJ79*VLOOKUP('Données projet'!$B$15,Paramètres!$A$1:$I$89,3,0)*VLOOKUP('Données projet'!$B$15,Paramètres!$A$1:$I$89,5,0)</f>
        <v>190.33560000000008</v>
      </c>
      <c r="EL79" s="13">
        <f t="shared" si="99"/>
        <v>47.614141623958091</v>
      </c>
      <c r="EM79" s="20">
        <f t="shared" si="73"/>
        <v>414.42913332839385</v>
      </c>
      <c r="EN79" s="59">
        <f t="shared" si="74"/>
        <v>707.7624666617271</v>
      </c>
      <c r="EO79" s="59">
        <f ca="1">AVERAGE(OFFSET($EN$3,0,0,'Données projet'!$E$15+1,1))-AVERAGE(OFFSET($H$3,0,0,'Données projet'!$E$15+1,1))</f>
        <v>168.72306536277267</v>
      </c>
      <c r="EP79" s="59">
        <f t="shared" si="100"/>
        <v>203.35476578922339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1.2232940592973549</v>
      </c>
      <c r="EW79" s="21">
        <f>EXP(-LN(2)/25)*EW78+(1-EXP(-LN(2)/25))/(LN(2)/25)*Calculateur!ER79*Calculateur!ET79*VLOOKUP('Données projet'!$B$15,Paramètres!$A$1:$I$89,3,0)*0.475*44/12</f>
        <v>6.4202172355230385</v>
      </c>
      <c r="EX79" s="21">
        <f>EXP(-LN(2)/2)*EX78+(1-EXP(-LN(2)/2))/(LN(2)/2)*ER79*EU79*VLOOKUP('Données projet'!$B$15,Paramètres!$A$1:$I$89,3,0)*0.475*44/12</f>
        <v>2.3870285298930724E-6</v>
      </c>
      <c r="EY79" s="22">
        <f t="shared" si="75"/>
        <v>7.6435136818489227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4.5999999999999996</v>
      </c>
      <c r="FE79" s="12">
        <f>IF('Données projet'!$A$218&gt;35,FE78+FD79-FM78,IF(A79&lt;'Données projet'!$A$218,$FB$205^A79,IF(A79='Données projet'!$A$218,'Données projet'!$B$218,FE78+FD79-FM78)))</f>
        <v>293.60000000000025</v>
      </c>
      <c r="FF79" s="17">
        <f>FE79*VLOOKUP('Données projet'!$B$16,Paramètres!$A$1:$I$89,3,0)*VLOOKUP('Données projet'!$B$16,Paramètres!$A$1:$I$89,5,0)</f>
        <v>160.30560000000014</v>
      </c>
      <c r="FG79" s="13">
        <f t="shared" si="101"/>
        <v>40.91143668288997</v>
      </c>
      <c r="FH79" s="20">
        <f t="shared" si="76"/>
        <v>350.45300555603359</v>
      </c>
      <c r="FI79" s="59">
        <f t="shared" si="77"/>
        <v>643.7863388893669</v>
      </c>
      <c r="FJ79" s="59">
        <f ca="1">AVERAGE(OFFSET($FI$3,0,0,'Données projet'!$E$16+1,1))-AVERAGE(OFFSET($H$3,0,0,'Données projet'!$E$16+1,1))</f>
        <v>127.76128532861486</v>
      </c>
      <c r="FK79" s="59">
        <f t="shared" si="102"/>
        <v>157.52303491639736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>
        <f>EXP(-LN(2)/35)*FQ78+(1-EXP(-LN(2)/35))/(LN(2)/35)*FM79*FN79*VLOOKUP('Données projet'!$B$16,Paramètres!$A$1:$I$89,3,0)*0.475*44/12</f>
        <v>0.97863524743788399</v>
      </c>
      <c r="FR79" s="21">
        <f>EXP(-LN(2)/25)*FR78+(1-EXP(-LN(2)/25))/(LN(2)/25)*Calculateur!FM79*Calculateur!FO79*VLOOKUP('Données projet'!$B$16,Paramètres!$A$1:$I$89,3,0)*0.475*44/12</f>
        <v>4.5588861598508199</v>
      </c>
      <c r="FS79" s="21">
        <f>EXP(-LN(2)/2)*FS78+(1-EXP(-LN(2)/2))/(LN(2)/2)*FM79*FP79*VLOOKUP('Données projet'!$B$16,Paramètres!$A$1:$I$89,3,0)*0.475*44/12</f>
        <v>1.8951141121553429E-6</v>
      </c>
      <c r="FT79" s="22">
        <f t="shared" si="78"/>
        <v>5.5375233024028159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5.5042735042735051</v>
      </c>
      <c r="N80" s="13">
        <f>IF('Données projet'!$A$36&gt;35,N79+M80-V79,IF(A80&lt;'Données projet'!$A$36,$K$205^A80,IF(A80='Données projet'!$A$36,'Données projet'!$B$36,N79+M80-V79)))</f>
        <v>161.47649572649567</v>
      </c>
      <c r="O80" s="13">
        <f>N80*VLOOKUP('Données projet'!$B$9,Paramètres!$A$1:$I$89,3,0)*VLOOKUP('Données projet'!$B$9,Paramètres!$A$1:$I$89,5,0)</f>
        <v>146.10393333333329</v>
      </c>
      <c r="P80" s="13">
        <f t="shared" si="87"/>
        <v>37.691838944088502</v>
      </c>
      <c r="Q80" s="20">
        <f t="shared" si="54"/>
        <v>320.11097004984299</v>
      </c>
      <c r="R80" s="59">
        <f t="shared" si="55"/>
        <v>613.44430338317625</v>
      </c>
      <c r="S80" s="59">
        <f ca="1">AVERAGE(OFFSET($R$3,0,0,'Données projet'!$E$9+1,1))-AVERAGE(OFFSET($H$3,0,0,'Données projet'!$E$9+1,1))</f>
        <v>153.45079678708987</v>
      </c>
      <c r="T80" s="59">
        <f t="shared" si="88"/>
        <v>115.4217868409637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0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0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>
        <f>VLOOKUP(A80,'Données projet'!$A$61:$I$81,2,0)</f>
        <v>151.18589743589743</v>
      </c>
      <c r="AG80" s="12">
        <f>VLOOKUP(A80,'Données projet'!$A$61:$I$81,9,0)</f>
        <v>4.7339743589743595</v>
      </c>
      <c r="AH80" s="12">
        <f t="array" ref="AH80">INDEX(AG:AG,MIN(IF(ISNUMBER(AG80:AG276),ROW(AG80:AG276),"")))</f>
        <v>4.7339743589743595</v>
      </c>
      <c r="AI80" s="13">
        <f>IF('Données projet'!$A$62&gt;35,AI79+AH80-AQ79,IF(A80&lt;'Données projet'!$A$62,$AF$205^A80,IF(A80='Données projet'!$A$62,'Données projet'!$B$62,AI79+AH80-AQ79)))</f>
        <v>151.18589743589752</v>
      </c>
      <c r="AJ80" s="13">
        <f>AI80*VLOOKUP('Données projet'!$B$10,Paramètres!$A$1:$I$89,3,0)*VLOOKUP('Données projet'!$B$10,Paramètres!$A$1:$I$89,5,0)</f>
        <v>136.79300000000006</v>
      </c>
      <c r="AK80" s="13">
        <f t="shared" si="89"/>
        <v>35.56133890656097</v>
      </c>
      <c r="AL80" s="20">
        <f t="shared" si="58"/>
        <v>300.18380692892714</v>
      </c>
      <c r="AM80" s="59">
        <f t="shared" si="59"/>
        <v>593.51714026226045</v>
      </c>
      <c r="AN80" s="59">
        <f ca="1">AVERAGE(OFFSET($AM$3,0,0,'Données projet'!$E$10+1,1))-AVERAGE(OFFSET($H$3,0,0,'Données projet'!$E$10+1,1))</f>
        <v>123.92486590666675</v>
      </c>
      <c r="AO80" s="59">
        <f t="shared" si="90"/>
        <v>54.404493017418986</v>
      </c>
      <c r="AP80" s="15">
        <f>IF(ISNA(VLOOKUP(A80,'Données projet'!$A$61:$I$81,3,0)),0,VLOOKUP(A80,'Données projet'!$A$61:$I$81,3,0))</f>
        <v>3</v>
      </c>
      <c r="AQ80" s="15">
        <f>IF(ISNA(VLOOKUP(A80,'Données projet'!$A$61:$I$81,4,0)),0,VLOOKUP(A80,'Données projet'!$A$61:$I$81,4,0))</f>
        <v>25.53846153846154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0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1.1368683772161603E-13</v>
      </c>
      <c r="BE80" s="13">
        <f>BD80*VLOOKUP('Données projet'!$B$11,Paramètres!$A$1:$I$89,3,0)*VLOOKUP('Données projet'!$B$11,Paramètres!$A$1:$I$89,5,0)</f>
        <v>6.3550942286383367E-14</v>
      </c>
      <c r="BF80" s="13">
        <f t="shared" si="91"/>
        <v>1.0064464192543978E-12</v>
      </c>
      <c r="BG80" s="20">
        <f t="shared" si="61"/>
        <v>1.8635787380168604E-12</v>
      </c>
      <c r="BH80" s="59">
        <f t="shared" si="62"/>
        <v>293.33333333333519</v>
      </c>
      <c r="BI80" s="59">
        <f ca="1">AVERAGE(OFFSET($BH$3,0,0,'Données projet'!$E$11+1,1))-AVERAGE(OFFSET($H$3,0,0,'Données projet'!$E$11+1,1))</f>
        <v>224.7049802939942</v>
      </c>
      <c r="BJ80" s="59">
        <f t="shared" si="92"/>
        <v>203.48513862195352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0.87961076323192766</v>
      </c>
      <c r="BQ80" s="21">
        <f>EXP(-LN(2)/25)*BQ79+(1-EXP(-LN(2)/25))/(LN(2)/25)*Calculateur!BL80*Calculateur!BN80*VLOOKUP('Données projet'!$B$11,Paramètres!$A$1:$I$89,3,0)*0.475*44/12</f>
        <v>5.3044961872890815</v>
      </c>
      <c r="BR80" s="21">
        <f>EXP(-LN(2)/2)*BR79+(1-EXP(-LN(2)/2))/(LN(2)/2)*BL80*BO80*VLOOKUP('Données projet'!$B$11,Paramètres!$A$1:$I$89,3,0)*0.475*44/12</f>
        <v>7.5532316288279155E-7</v>
      </c>
      <c r="BS80" s="22">
        <f t="shared" si="63"/>
        <v>6.1841077058441725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7.073076923076921</v>
      </c>
      <c r="BY80" s="12">
        <f>IF('Données projet'!$A$114&gt;35,BY79+BX80-CG79,IF(A80&lt;'Données projet'!$A$114,$BV$205^A80,IF(A80='Données projet'!$A$114,'Données projet'!$B$114,BY79+BX80-CG79)))</f>
        <v>347.64230769230761</v>
      </c>
      <c r="BZ80" s="13">
        <f>BY80*VLOOKUP('Données projet'!$B$12,Paramètres!$A$1:$I$89,3,0)*VLOOKUP('Données projet'!$B$12,Paramètres!$A$1:$I$89,5,0)</f>
        <v>194.33204999999998</v>
      </c>
      <c r="CA80" s="13">
        <f t="shared" si="93"/>
        <v>48.496447337076837</v>
      </c>
      <c r="CB80" s="20">
        <f t="shared" si="64"/>
        <v>422.92629952874216</v>
      </c>
      <c r="CC80" s="59">
        <f t="shared" si="65"/>
        <v>716.25963286207548</v>
      </c>
      <c r="CD80" s="59">
        <f ca="1">AVERAGE(OFFSET($CC$3,0,0,'Données projet'!$E$12+1,1))-AVERAGE(OFFSET($H$3,0,0,'Données projet'!$E$12+1,1))</f>
        <v>190.08613104982993</v>
      </c>
      <c r="CE80" s="59">
        <f t="shared" si="94"/>
        <v>180.55054525447781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0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12.5</v>
      </c>
      <c r="CT80" s="12">
        <f>IF('Données projet'!$A$140&gt;35,CT79+CS80-DB79,IF(A80&lt;'Données projet'!$A$140,$CQ$205^A80,IF(A80='Données projet'!$A$140,'Données projet'!$B$140,CT79+CS80-DB79)))</f>
        <v>499.50000000000028</v>
      </c>
      <c r="CU80" s="17">
        <f>CT80*VLOOKUP('Données projet'!$B$13,Paramètres!$A$1:$I$89,3,0)*VLOOKUP('Données projet'!$B$13,Paramètres!$A$1:$I$89,5,0)</f>
        <v>298.70100000000019</v>
      </c>
      <c r="CV80" s="13">
        <f t="shared" si="95"/>
        <v>70.904074443365431</v>
      </c>
      <c r="CW80" s="20">
        <f t="shared" si="67"/>
        <v>643.72883798886176</v>
      </c>
      <c r="CX80" s="59">
        <f t="shared" si="68"/>
        <v>937.06217132219513</v>
      </c>
      <c r="CY80" s="59">
        <f ca="1">AVERAGE(OFFSET($CX$3,0,0,'Données projet'!$E$13+1,1))-AVERAGE(OFFSET($H$3,0,0,'Données projet'!$E$13+1,1))</f>
        <v>270.30888762640245</v>
      </c>
      <c r="CZ80" s="59">
        <f t="shared" si="96"/>
        <v>202.23783851977691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0.84440933281822728</v>
      </c>
      <c r="DG80" s="21">
        <f>EXP(-LN(2)/25)*DG79+(1-EXP(-LN(2)/25))/(LN(2)/25)*Calculateur!DB80*Calculateur!DD80*VLOOKUP('Données projet'!$B$13,Paramètres!$A$1:$I$89,3,0)*0.475*44/12</f>
        <v>3.3404078406973281</v>
      </c>
      <c r="DH80" s="21">
        <f>EXP(-LN(2)/2)*DH79+(1-EXP(-LN(2)/2))/(LN(2)/2)*DB80*DE80*VLOOKUP('Données projet'!$B$13,Paramètres!$A$1:$I$89,3,0)*0.475*44/12</f>
        <v>1.5588103453297935E-6</v>
      </c>
      <c r="DI80" s="22">
        <f t="shared" si="69"/>
        <v>4.1848187323259012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10.5</v>
      </c>
      <c r="DO80" s="12">
        <f>IF('Données projet'!$A$166&gt;35,DO79+DN80-DW79,IF(A80&lt;'Données projet'!$A$166,$DL$205^A80,IF(A80='Données projet'!$A$166,'Données projet'!$B$166,DO79+DN80-DW79)))</f>
        <v>430.50000000000011</v>
      </c>
      <c r="DP80" s="17">
        <f>DO80*VLOOKUP('Données projet'!$B$14,Paramètres!$A$1:$I$89,3,0)*VLOOKUP('Données projet'!$B$14,Paramètres!$A$1:$I$89,5,0)</f>
        <v>257.43900000000008</v>
      </c>
      <c r="DQ80" s="13">
        <f t="shared" si="97"/>
        <v>62.176162146310126</v>
      </c>
      <c r="DR80" s="20">
        <f t="shared" si="70"/>
        <v>556.6630740714902</v>
      </c>
      <c r="DS80" s="59">
        <f t="shared" si="71"/>
        <v>849.99640740482346</v>
      </c>
      <c r="DT80" s="59">
        <f ca="1">AVERAGE(OFFSET($DS$3,0,0,'Données projet'!$E$14+1,1))-AVERAGE(OFFSET($H$3,0,0,'Données projet'!$E$14+1,1))</f>
        <v>221.14988592347311</v>
      </c>
      <c r="DU80" s="59">
        <f t="shared" si="98"/>
        <v>179.09262081171607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0.90070328833944213</v>
      </c>
      <c r="EB80" s="21">
        <f>EXP(-LN(2)/25)*EB79+(1-EXP(-LN(2)/25))/(LN(2)/25)*Calculateur!DW80*Calculateur!DY80*VLOOKUP('Données projet'!$B$14,Paramètres!$A$1:$I$89,3,0)*0.475*44/12</f>
        <v>2.7821772302801717</v>
      </c>
      <c r="EC80" s="21">
        <f>EXP(-LN(2)/2)*EC79+(1-EXP(-LN(2)/2))/(LN(2)/2)*DW80*DZ80*VLOOKUP('Données projet'!$B$14,Paramètres!$A$1:$I$89,3,0)*0.475*44/12</f>
        <v>1.643706652466748E-6</v>
      </c>
      <c r="ED80" s="22">
        <f t="shared" si="72"/>
        <v>3.6828821623262664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6.1</v>
      </c>
      <c r="EJ80" s="12">
        <f>IF('Données projet'!$A$192&gt;35,EJ79+EI80-ER79,IF(A80&lt;'Données projet'!$A$192,$EG$205^A80,IF(A80='Données projet'!$A$192,'Données projet'!$B$192,EJ79+EI80-ER79)))</f>
        <v>354.70000000000016</v>
      </c>
      <c r="EK80" s="17">
        <f>EJ80*VLOOKUP('Données projet'!$B$15,Paramètres!$A$1:$I$89,3,0)*VLOOKUP('Données projet'!$B$15,Paramètres!$A$1:$I$89,5,0)</f>
        <v>193.66620000000012</v>
      </c>
      <c r="EL80" s="13">
        <f t="shared" si="99"/>
        <v>48.349593834084288</v>
      </c>
      <c r="EM80" s="20">
        <f t="shared" si="73"/>
        <v>421.51084092769702</v>
      </c>
      <c r="EN80" s="59">
        <f t="shared" si="74"/>
        <v>714.84417426103028</v>
      </c>
      <c r="EO80" s="59">
        <f ca="1">AVERAGE(OFFSET($EN$3,0,0,'Données projet'!$E$15+1,1))-AVERAGE(OFFSET($H$3,0,0,'Données projet'!$E$15+1,1))</f>
        <v>168.72306536277267</v>
      </c>
      <c r="EP80" s="59">
        <f t="shared" si="100"/>
        <v>203.35476578922339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1.1993060089302352</v>
      </c>
      <c r="EW80" s="21">
        <f>EXP(-LN(2)/25)*EW79+(1-EXP(-LN(2)/25))/(LN(2)/25)*Calculateur!ER80*Calculateur!ET80*VLOOKUP('Données projet'!$B$15,Paramètres!$A$1:$I$89,3,0)*0.475*44/12</f>
        <v>6.2446560575931098</v>
      </c>
      <c r="EX80" s="21">
        <f>EXP(-LN(2)/2)*EX79+(1-EXP(-LN(2)/2))/(LN(2)/2)*ER80*EU80*VLOOKUP('Données projet'!$B$15,Paramètres!$A$1:$I$89,3,0)*0.475*44/12</f>
        <v>1.687884060373147E-6</v>
      </c>
      <c r="EY80" s="22">
        <f t="shared" si="75"/>
        <v>7.4439637544074051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4.5999999999999996</v>
      </c>
      <c r="FE80" s="12">
        <f>IF('Données projet'!$A$218&gt;35,FE79+FD80-FM79,IF(A80&lt;'Données projet'!$A$218,$FB$205^A80,IF(A80='Données projet'!$A$218,'Données projet'!$B$218,FE79+FD80-FM79)))</f>
        <v>298.20000000000027</v>
      </c>
      <c r="FF80" s="17">
        <f>FE80*VLOOKUP('Données projet'!$B$16,Paramètres!$A$1:$I$89,3,0)*VLOOKUP('Données projet'!$B$16,Paramètres!$A$1:$I$89,5,0)</f>
        <v>162.81720000000016</v>
      </c>
      <c r="FG80" s="13">
        <f t="shared" si="101"/>
        <v>41.477295799451909</v>
      </c>
      <c r="FH80" s="20">
        <f t="shared" si="76"/>
        <v>355.812913517379</v>
      </c>
      <c r="FI80" s="59">
        <f t="shared" si="77"/>
        <v>649.14624685071226</v>
      </c>
      <c r="FJ80" s="59">
        <f ca="1">AVERAGE(OFFSET($FI$3,0,0,'Données projet'!$E$16+1,1))-AVERAGE(OFFSET($H$3,0,0,'Données projet'!$E$16+1,1))</f>
        <v>127.76128532861486</v>
      </c>
      <c r="FK80" s="59">
        <f t="shared" si="102"/>
        <v>157.52303491639736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>
        <f>EXP(-LN(2)/35)*FQ79+(1-EXP(-LN(2)/35))/(LN(2)/35)*FM80*FN80*VLOOKUP('Données projet'!$B$16,Paramètres!$A$1:$I$89,3,0)*0.475*44/12</f>
        <v>0.95944480714418823</v>
      </c>
      <c r="FR80" s="21">
        <f>EXP(-LN(2)/25)*FR79+(1-EXP(-LN(2)/25))/(LN(2)/25)*Calculateur!FM80*Calculateur!FO80*VLOOKUP('Données projet'!$B$16,Paramètres!$A$1:$I$89,3,0)*0.475*44/12</f>
        <v>4.4342231780682955</v>
      </c>
      <c r="FS80" s="21">
        <f>EXP(-LN(2)/2)*FS79+(1-EXP(-LN(2)/2))/(LN(2)/2)*FM80*FP80*VLOOKUP('Données projet'!$B$16,Paramètres!$A$1:$I$89,3,0)*0.475*44/12</f>
        <v>1.3400480398273665E-6</v>
      </c>
      <c r="FT80" s="22">
        <f t="shared" si="78"/>
        <v>5.3936693252605235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5.5042735042735051</v>
      </c>
      <c r="N81" s="13">
        <f>IF('Données projet'!$A$36&gt;35,N80+M81-V80,IF(A81&lt;'Données projet'!$A$36,$K$205^A81,IF(A81='Données projet'!$A$36,'Données projet'!$B$36,N80+M81-V80)))</f>
        <v>166.98076923076917</v>
      </c>
      <c r="O81" s="13">
        <f>N81*VLOOKUP('Données projet'!$B$9,Paramètres!$A$1:$I$89,3,0)*VLOOKUP('Données projet'!$B$9,Paramètres!$A$1:$I$89,5,0)</f>
        <v>151.08419999999992</v>
      </c>
      <c r="P81" s="13">
        <f t="shared" si="87"/>
        <v>38.824870591002266</v>
      </c>
      <c r="Q81" s="20">
        <f t="shared" si="54"/>
        <v>330.75829794599554</v>
      </c>
      <c r="R81" s="59">
        <f t="shared" si="55"/>
        <v>624.09163127932879</v>
      </c>
      <c r="S81" s="59">
        <f ca="1">AVERAGE(OFFSET($R$3,0,0,'Données projet'!$E$9+1,1))-AVERAGE(OFFSET($H$3,0,0,'Données projet'!$E$9+1,1))</f>
        <v>153.45079678708987</v>
      </c>
      <c r="T81" s="59">
        <f t="shared" si="88"/>
        <v>115.4217868409637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0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0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4.7037037037037051</v>
      </c>
      <c r="AI81" s="13">
        <f>IF('Données projet'!$A$62&gt;35,AI80+AH81-AQ80,IF(A81&lt;'Données projet'!$A$62,$AF$205^A81,IF(A81='Données projet'!$A$62,'Données projet'!$B$62,AI80+AH81-AQ80)))</f>
        <v>130.35113960113966</v>
      </c>
      <c r="AJ81" s="13">
        <f>AI81*VLOOKUP('Données projet'!$B$10,Paramètres!$A$1:$I$89,3,0)*VLOOKUP('Données projet'!$B$10,Paramètres!$A$1:$I$89,5,0)</f>
        <v>117.94171111111118</v>
      </c>
      <c r="AK81" s="13">
        <f t="shared" si="89"/>
        <v>31.194454893113939</v>
      </c>
      <c r="AL81" s="20">
        <f t="shared" si="58"/>
        <v>259.74548912402537</v>
      </c>
      <c r="AM81" s="59">
        <f t="shared" si="59"/>
        <v>553.07882245735868</v>
      </c>
      <c r="AN81" s="59">
        <f ca="1">AVERAGE(OFFSET($AM$3,0,0,'Données projet'!$E$10+1,1))-AVERAGE(OFFSET($H$3,0,0,'Données projet'!$E$10+1,1))</f>
        <v>123.92486590666675</v>
      </c>
      <c r="AO81" s="59">
        <f t="shared" si="90"/>
        <v>54.404493017418986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0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1.1368683772161603E-13</v>
      </c>
      <c r="BE81" s="13">
        <f>BD81*VLOOKUP('Données projet'!$B$11,Paramètres!$A$1:$I$89,3,0)*VLOOKUP('Données projet'!$B$11,Paramètres!$A$1:$I$89,5,0)</f>
        <v>6.3550942286383367E-14</v>
      </c>
      <c r="BF81" s="13">
        <f t="shared" si="91"/>
        <v>1.0064464192543978E-12</v>
      </c>
      <c r="BG81" s="20">
        <f t="shared" si="61"/>
        <v>1.8635787380168604E-12</v>
      </c>
      <c r="BH81" s="59">
        <f t="shared" si="62"/>
        <v>293.33333333333519</v>
      </c>
      <c r="BI81" s="59">
        <f ca="1">AVERAGE(OFFSET($BH$3,0,0,'Données projet'!$E$11+1,1))-AVERAGE(OFFSET($H$3,0,0,'Données projet'!$E$11+1,1))</f>
        <v>224.7049802939942</v>
      </c>
      <c r="BJ81" s="59">
        <f t="shared" si="92"/>
        <v>203.48513862195352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0.86236213267453921</v>
      </c>
      <c r="BQ81" s="21">
        <f>EXP(-LN(2)/25)*BQ80+(1-EXP(-LN(2)/25))/(LN(2)/25)*Calculateur!BL81*Calculateur!BN81*VLOOKUP('Données projet'!$B$11,Paramètres!$A$1:$I$89,3,0)*0.475*44/12</f>
        <v>5.1594444600963305</v>
      </c>
      <c r="BR81" s="21">
        <f>EXP(-LN(2)/2)*BR80+(1-EXP(-LN(2)/2))/(LN(2)/2)*BL81*BO81*VLOOKUP('Données projet'!$B$11,Paramètres!$A$1:$I$89,3,0)*0.475*44/12</f>
        <v>5.3409413046169308E-7</v>
      </c>
      <c r="BS81" s="22">
        <f t="shared" si="63"/>
        <v>6.0218071268650002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7.073076923076921</v>
      </c>
      <c r="BY81" s="12">
        <f>IF('Données projet'!$A$114&gt;35,BY80+BX81-CG80,IF(A81&lt;'Données projet'!$A$114,$BV$205^A81,IF(A81='Données projet'!$A$114,'Données projet'!$B$114,BY80+BX81-CG80)))</f>
        <v>354.71538461538455</v>
      </c>
      <c r="BZ81" s="13">
        <f>BY81*VLOOKUP('Données projet'!$B$12,Paramètres!$A$1:$I$89,3,0)*VLOOKUP('Données projet'!$B$12,Paramètres!$A$1:$I$89,5,0)</f>
        <v>198.28589999999997</v>
      </c>
      <c r="CA81" s="13">
        <f t="shared" si="93"/>
        <v>49.367271921237354</v>
      </c>
      <c r="CB81" s="20">
        <f t="shared" si="64"/>
        <v>431.32927442948829</v>
      </c>
      <c r="CC81" s="59">
        <f t="shared" si="65"/>
        <v>724.66260776282161</v>
      </c>
      <c r="CD81" s="59">
        <f ca="1">AVERAGE(OFFSET($CC$3,0,0,'Données projet'!$E$12+1,1))-AVERAGE(OFFSET($H$3,0,0,'Données projet'!$E$12+1,1))</f>
        <v>190.08613104982993</v>
      </c>
      <c r="CE81" s="59">
        <f t="shared" si="94"/>
        <v>180.55054525447781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0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12.5</v>
      </c>
      <c r="CT81" s="12">
        <f>IF('Données projet'!$A$140&gt;35,CT80+CS81-DB80,IF(A81&lt;'Données projet'!$A$140,$CQ$205^A81,IF(A81='Données projet'!$A$140,'Données projet'!$B$140,CT80+CS81-DB80)))</f>
        <v>512.00000000000023</v>
      </c>
      <c r="CU81" s="17">
        <f>CT81*VLOOKUP('Données projet'!$B$13,Paramètres!$A$1:$I$89,3,0)*VLOOKUP('Données projet'!$B$13,Paramètres!$A$1:$I$89,5,0)</f>
        <v>306.17600000000016</v>
      </c>
      <c r="CV81" s="13">
        <f t="shared" si="95"/>
        <v>72.469650785730451</v>
      </c>
      <c r="CW81" s="20">
        <f t="shared" si="67"/>
        <v>659.47450845181413</v>
      </c>
      <c r="CX81" s="59">
        <f t="shared" si="68"/>
        <v>952.8078417851475</v>
      </c>
      <c r="CY81" s="59">
        <f ca="1">AVERAGE(OFFSET($CX$3,0,0,'Données projet'!$E$13+1,1))-AVERAGE(OFFSET($H$3,0,0,'Données projet'!$E$13+1,1))</f>
        <v>270.30888762640245</v>
      </c>
      <c r="CZ81" s="59">
        <f t="shared" si="96"/>
        <v>202.23783851977691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0.82785098084049902</v>
      </c>
      <c r="DG81" s="21">
        <f>EXP(-LN(2)/25)*DG80+(1-EXP(-LN(2)/25))/(LN(2)/25)*Calculateur!DB81*Calculateur!DD81*VLOOKUP('Données projet'!$B$13,Paramètres!$A$1:$I$89,3,0)*0.475*44/12</f>
        <v>3.2490642126290461</v>
      </c>
      <c r="DH81" s="21">
        <f>EXP(-LN(2)/2)*DH80+(1-EXP(-LN(2)/2))/(LN(2)/2)*DB81*DE81*VLOOKUP('Données projet'!$B$13,Paramètres!$A$1:$I$89,3,0)*0.475*44/12</f>
        <v>1.1022453657664409E-6</v>
      </c>
      <c r="DI81" s="22">
        <f t="shared" si="69"/>
        <v>4.076916295714911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10.5</v>
      </c>
      <c r="DO81" s="12">
        <f>IF('Données projet'!$A$166&gt;35,DO80+DN81-DW80,IF(A81&lt;'Données projet'!$A$166,$DL$205^A81,IF(A81='Données projet'!$A$166,'Données projet'!$B$166,DO80+DN81-DW80)))</f>
        <v>441.00000000000011</v>
      </c>
      <c r="DP81" s="17">
        <f>DO81*VLOOKUP('Données projet'!$B$14,Paramètres!$A$1:$I$89,3,0)*VLOOKUP('Données projet'!$B$14,Paramètres!$A$1:$I$89,5,0)</f>
        <v>263.71800000000007</v>
      </c>
      <c r="DQ81" s="13">
        <f t="shared" si="97"/>
        <v>63.514249203249598</v>
      </c>
      <c r="DR81" s="20">
        <f t="shared" si="70"/>
        <v>569.92950069565984</v>
      </c>
      <c r="DS81" s="59">
        <f t="shared" si="71"/>
        <v>863.26283402899321</v>
      </c>
      <c r="DT81" s="59">
        <f ca="1">AVERAGE(OFFSET($DS$3,0,0,'Données projet'!$E$14+1,1))-AVERAGE(OFFSET($H$3,0,0,'Données projet'!$E$14+1,1))</f>
        <v>221.14988592347311</v>
      </c>
      <c r="DU81" s="59">
        <f t="shared" si="98"/>
        <v>179.09262081171607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0.88304104622986535</v>
      </c>
      <c r="EB81" s="21">
        <f>EXP(-LN(2)/25)*EB80+(1-EXP(-LN(2)/25))/(LN(2)/25)*Calculateur!DW81*Calculateur!DY81*VLOOKUP('Données projet'!$B$14,Paramètres!$A$1:$I$89,3,0)*0.475*44/12</f>
        <v>2.7060984476098184</v>
      </c>
      <c r="EC81" s="21">
        <f>EXP(-LN(2)/2)*EC80+(1-EXP(-LN(2)/2))/(LN(2)/2)*DW81*DZ81*VLOOKUP('Données projet'!$B$14,Paramètres!$A$1:$I$89,3,0)*0.475*44/12</f>
        <v>1.1622761202406773E-6</v>
      </c>
      <c r="ED81" s="22">
        <f t="shared" si="72"/>
        <v>3.5891406561158039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6.1</v>
      </c>
      <c r="EJ81" s="12">
        <f>IF('Données projet'!$A$192&gt;35,EJ80+EI81-ER80,IF(A81&lt;'Données projet'!$A$192,$EG$205^A81,IF(A81='Données projet'!$A$192,'Données projet'!$B$192,EJ80+EI81-ER80)))</f>
        <v>360.80000000000018</v>
      </c>
      <c r="EK81" s="17">
        <f>EJ81*VLOOKUP('Données projet'!$B$15,Paramètres!$A$1:$I$89,3,0)*VLOOKUP('Données projet'!$B$15,Paramètres!$A$1:$I$89,5,0)</f>
        <v>196.99680000000009</v>
      </c>
      <c r="EL81" s="13">
        <f t="shared" si="99"/>
        <v>49.083575208709597</v>
      </c>
      <c r="EM81" s="20">
        <f t="shared" si="73"/>
        <v>428.58998682183602</v>
      </c>
      <c r="EN81" s="59">
        <f t="shared" si="74"/>
        <v>721.92332015516934</v>
      </c>
      <c r="EO81" s="59">
        <f ca="1">AVERAGE(OFFSET($EN$3,0,0,'Données projet'!$E$15+1,1))-AVERAGE(OFFSET($H$3,0,0,'Données projet'!$E$15+1,1))</f>
        <v>168.72306536277267</v>
      </c>
      <c r="EP81" s="59">
        <f t="shared" si="100"/>
        <v>203.35476578922339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1.1757883495995487</v>
      </c>
      <c r="EW81" s="21">
        <f>EXP(-LN(2)/25)*EW80+(1-EXP(-LN(2)/25))/(LN(2)/25)*Calculateur!ER81*Calculateur!ET81*VLOOKUP('Données projet'!$B$15,Paramètres!$A$1:$I$89,3,0)*0.475*44/12</f>
        <v>6.0738956093060361</v>
      </c>
      <c r="EX81" s="21">
        <f>EXP(-LN(2)/2)*EX80+(1-EXP(-LN(2)/2))/(LN(2)/2)*ER81*EU81*VLOOKUP('Données projet'!$B$15,Paramètres!$A$1:$I$89,3,0)*0.475*44/12</f>
        <v>1.1935142649465362E-6</v>
      </c>
      <c r="EY81" s="22">
        <f t="shared" si="75"/>
        <v>7.2496851524198505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4.5999999999999996</v>
      </c>
      <c r="FE81" s="12">
        <f>IF('Données projet'!$A$218&gt;35,FE80+FD81-FM80,IF(A81&lt;'Données projet'!$A$218,$FB$205^A81,IF(A81='Données projet'!$A$218,'Données projet'!$B$218,FE80+FD81-FM80)))</f>
        <v>302.8000000000003</v>
      </c>
      <c r="FF81" s="17">
        <f>FE81*VLOOKUP('Données projet'!$B$16,Paramètres!$A$1:$I$89,3,0)*VLOOKUP('Données projet'!$B$16,Paramètres!$A$1:$I$89,5,0)</f>
        <v>165.32880000000014</v>
      </c>
      <c r="FG81" s="13">
        <f t="shared" si="101"/>
        <v>42.042139743487105</v>
      </c>
      <c r="FH81" s="20">
        <f t="shared" si="76"/>
        <v>361.17105338657365</v>
      </c>
      <c r="FI81" s="59">
        <f t="shared" si="77"/>
        <v>654.50438671990696</v>
      </c>
      <c r="FJ81" s="59">
        <f ca="1">AVERAGE(OFFSET($FI$3,0,0,'Données projet'!$E$16+1,1))-AVERAGE(OFFSET($H$3,0,0,'Données projet'!$E$16+1,1))</f>
        <v>127.76128532861486</v>
      </c>
      <c r="FK81" s="59">
        <f t="shared" si="102"/>
        <v>157.52303491639736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>
        <f>EXP(-LN(2)/35)*FQ80+(1-EXP(-LN(2)/35))/(LN(2)/35)*FM81*FN81*VLOOKUP('Données projet'!$B$16,Paramètres!$A$1:$I$89,3,0)*0.475*44/12</f>
        <v>0.94063067967963898</v>
      </c>
      <c r="FR81" s="21">
        <f>EXP(-LN(2)/25)*FR80+(1-EXP(-LN(2)/25))/(LN(2)/25)*Calculateur!FM81*Calculateur!FO81*VLOOKUP('Données projet'!$B$16,Paramètres!$A$1:$I$89,3,0)*0.475*44/12</f>
        <v>4.3129691120783553</v>
      </c>
      <c r="FS81" s="21">
        <f>EXP(-LN(2)/2)*FS80+(1-EXP(-LN(2)/2))/(LN(2)/2)*FM81*FP81*VLOOKUP('Données projet'!$B$16,Paramètres!$A$1:$I$89,3,0)*0.475*44/12</f>
        <v>9.4755705607767166E-7</v>
      </c>
      <c r="FT81" s="22">
        <f t="shared" si="78"/>
        <v>5.2536007393150506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5.5042735042735051</v>
      </c>
      <c r="N82" s="13">
        <f>IF('Données projet'!$A$36&gt;35,N81+M82-V81,IF(A82&lt;'Données projet'!$A$36,$K$205^A82,IF(A82='Données projet'!$A$36,'Données projet'!$B$36,N81+M82-V81)))</f>
        <v>172.48504273504267</v>
      </c>
      <c r="O82" s="13">
        <f>N82*VLOOKUP('Données projet'!$B$9,Paramètres!$A$1:$I$89,3,0)*VLOOKUP('Données projet'!$B$9,Paramètres!$A$1:$I$89,5,0)</f>
        <v>156.06446666666659</v>
      </c>
      <c r="P82" s="13">
        <f t="shared" si="87"/>
        <v>39.953562347640762</v>
      </c>
      <c r="Q82" s="20">
        <f t="shared" si="54"/>
        <v>341.39806719991861</v>
      </c>
      <c r="R82" s="59">
        <f t="shared" si="55"/>
        <v>634.73140053325187</v>
      </c>
      <c r="S82" s="59">
        <f ca="1">AVERAGE(OFFSET($R$3,0,0,'Données projet'!$E$9+1,1))-AVERAGE(OFFSET($H$3,0,0,'Données projet'!$E$9+1,1))</f>
        <v>153.45079678708987</v>
      </c>
      <c r="T82" s="59">
        <f t="shared" si="88"/>
        <v>115.4217868409637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0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0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4.7037037037037051</v>
      </c>
      <c r="AI82" s="13">
        <f>IF('Données projet'!$A$62&gt;35,AI81+AH82-AQ81,IF(A82&lt;'Données projet'!$A$62,$AF$205^A82,IF(A82='Données projet'!$A$62,'Données projet'!$B$62,AI81+AH82-AQ81)))</f>
        <v>135.05484330484336</v>
      </c>
      <c r="AJ82" s="13">
        <f>AI82*VLOOKUP('Données projet'!$B$10,Paramètres!$A$1:$I$89,3,0)*VLOOKUP('Données projet'!$B$10,Paramètres!$A$1:$I$89,5,0)</f>
        <v>122.19762222222226</v>
      </c>
      <c r="AK82" s="13">
        <f t="shared" si="89"/>
        <v>32.187015966200008</v>
      </c>
      <c r="AL82" s="20">
        <f t="shared" si="58"/>
        <v>268.8865781781688</v>
      </c>
      <c r="AM82" s="59">
        <f t="shared" si="59"/>
        <v>562.21991151150212</v>
      </c>
      <c r="AN82" s="59">
        <f ca="1">AVERAGE(OFFSET($AM$3,0,0,'Données projet'!$E$10+1,1))-AVERAGE(OFFSET($H$3,0,0,'Données projet'!$E$10+1,1))</f>
        <v>123.92486590666675</v>
      </c>
      <c r="AO82" s="59">
        <f t="shared" si="90"/>
        <v>54.404493017418986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0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1.1368683772161603E-13</v>
      </c>
      <c r="BE82" s="13">
        <f>BD82*VLOOKUP('Données projet'!$B$11,Paramètres!$A$1:$I$89,3,0)*VLOOKUP('Données projet'!$B$11,Paramètres!$A$1:$I$89,5,0)</f>
        <v>6.3550942286383367E-14</v>
      </c>
      <c r="BF82" s="13">
        <f t="shared" si="91"/>
        <v>1.0064464192543978E-12</v>
      </c>
      <c r="BG82" s="20">
        <f t="shared" si="61"/>
        <v>1.8635787380168604E-12</v>
      </c>
      <c r="BH82" s="59">
        <f t="shared" si="62"/>
        <v>293.33333333333519</v>
      </c>
      <c r="BI82" s="59">
        <f ca="1">AVERAGE(OFFSET($BH$3,0,0,'Données projet'!$E$11+1,1))-AVERAGE(OFFSET($H$3,0,0,'Données projet'!$E$11+1,1))</f>
        <v>224.7049802939942</v>
      </c>
      <c r="BJ82" s="59">
        <f t="shared" si="92"/>
        <v>203.48513862195352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0.84545173724175537</v>
      </c>
      <c r="BQ82" s="21">
        <f>EXP(-LN(2)/25)*BQ81+(1-EXP(-LN(2)/25))/(LN(2)/25)*Calculateur!BL82*Calculateur!BN82*VLOOKUP('Données projet'!$B$11,Paramètres!$A$1:$I$89,3,0)*0.475*44/12</f>
        <v>5.0183591800116041</v>
      </c>
      <c r="BR82" s="21">
        <f>EXP(-LN(2)/2)*BR81+(1-EXP(-LN(2)/2))/(LN(2)/2)*BL82*BO82*VLOOKUP('Données projet'!$B$11,Paramètres!$A$1:$I$89,3,0)*0.475*44/12</f>
        <v>3.7766158144139578E-7</v>
      </c>
      <c r="BS82" s="22">
        <f t="shared" si="63"/>
        <v>5.8638112949149406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7.073076923076921</v>
      </c>
      <c r="BY82" s="12">
        <f>IF('Données projet'!$A$114&gt;35,BY81+BX82-CG81,IF(A82&lt;'Données projet'!$A$114,$BV$205^A82,IF(A82='Données projet'!$A$114,'Données projet'!$B$114,BY81+BX82-CG81)))</f>
        <v>361.78846153846149</v>
      </c>
      <c r="BZ82" s="13">
        <f>BY82*VLOOKUP('Données projet'!$B$12,Paramètres!$A$1:$I$89,3,0)*VLOOKUP('Données projet'!$B$12,Paramètres!$A$1:$I$89,5,0)</f>
        <v>202.23974999999999</v>
      </c>
      <c r="CA82" s="13">
        <f t="shared" si="93"/>
        <v>50.236077495105796</v>
      </c>
      <c r="CB82" s="20">
        <f t="shared" si="64"/>
        <v>439.72873288730921</v>
      </c>
      <c r="CC82" s="59">
        <f t="shared" si="65"/>
        <v>733.06206622064246</v>
      </c>
      <c r="CD82" s="59">
        <f ca="1">AVERAGE(OFFSET($CC$3,0,0,'Données projet'!$E$12+1,1))-AVERAGE(OFFSET($H$3,0,0,'Données projet'!$E$12+1,1))</f>
        <v>190.08613104982993</v>
      </c>
      <c r="CE82" s="59">
        <f t="shared" si="94"/>
        <v>180.55054525447781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0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12.5</v>
      </c>
      <c r="CT82" s="12">
        <f>IF('Données projet'!$A$140&gt;35,CT81+CS82-DB81,IF(A82&lt;'Données projet'!$A$140,$CQ$205^A82,IF(A82='Données projet'!$A$140,'Données projet'!$B$140,CT81+CS82-DB81)))</f>
        <v>524.50000000000023</v>
      </c>
      <c r="CU82" s="17">
        <f>CT82*VLOOKUP('Données projet'!$B$13,Paramètres!$A$1:$I$89,3,0)*VLOOKUP('Données projet'!$B$13,Paramètres!$A$1:$I$89,5,0)</f>
        <v>313.65100000000018</v>
      </c>
      <c r="CV82" s="13">
        <f t="shared" si="95"/>
        <v>74.030783927316818</v>
      </c>
      <c r="CW82" s="20">
        <f t="shared" si="67"/>
        <v>675.21244034007702</v>
      </c>
      <c r="CX82" s="59">
        <f t="shared" si="68"/>
        <v>968.54577367341039</v>
      </c>
      <c r="CY82" s="59">
        <f ca="1">AVERAGE(OFFSET($CX$3,0,0,'Données projet'!$E$13+1,1))-AVERAGE(OFFSET($H$3,0,0,'Données projet'!$E$13+1,1))</f>
        <v>270.30888762640245</v>
      </c>
      <c r="CZ82" s="59">
        <f t="shared" si="96"/>
        <v>202.23783851977691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0.8116173280454565</v>
      </c>
      <c r="DG82" s="21">
        <f>EXP(-LN(2)/25)*DG81+(1-EXP(-LN(2)/25))/(LN(2)/25)*Calculateur!DB82*Calculateur!DD82*VLOOKUP('Données projet'!$B$13,Paramètres!$A$1:$I$89,3,0)*0.475*44/12</f>
        <v>3.1602183808738435</v>
      </c>
      <c r="DH82" s="21">
        <f>EXP(-LN(2)/2)*DH81+(1-EXP(-LN(2)/2))/(LN(2)/2)*DB82*DE82*VLOOKUP('Données projet'!$B$13,Paramètres!$A$1:$I$89,3,0)*0.475*44/12</f>
        <v>7.7940517266489675E-7</v>
      </c>
      <c r="DI82" s="22">
        <f t="shared" si="69"/>
        <v>3.971836488324473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10.5</v>
      </c>
      <c r="DO82" s="12">
        <f>IF('Données projet'!$A$166&gt;35,DO81+DN82-DW81,IF(A82&lt;'Données projet'!$A$166,$DL$205^A82,IF(A82='Données projet'!$A$166,'Données projet'!$B$166,DO81+DN82-DW81)))</f>
        <v>451.50000000000011</v>
      </c>
      <c r="DP82" s="17">
        <f>DO82*VLOOKUP('Données projet'!$B$14,Paramètres!$A$1:$I$89,3,0)*VLOOKUP('Données projet'!$B$14,Paramètres!$A$1:$I$89,5,0)</f>
        <v>269.99700000000007</v>
      </c>
      <c r="DQ82" s="13">
        <f t="shared" si="97"/>
        <v>64.848632611712105</v>
      </c>
      <c r="DR82" s="20">
        <f t="shared" si="70"/>
        <v>583.18947679873202</v>
      </c>
      <c r="DS82" s="59">
        <f t="shared" si="71"/>
        <v>876.52281013206539</v>
      </c>
      <c r="DT82" s="59">
        <f ca="1">AVERAGE(OFFSET($DS$3,0,0,'Données projet'!$E$14+1,1))-AVERAGE(OFFSET($H$3,0,0,'Données projet'!$E$14+1,1))</f>
        <v>221.14988592347311</v>
      </c>
      <c r="DU82" s="59">
        <f t="shared" si="98"/>
        <v>179.09262081171607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0.86572514991515337</v>
      </c>
      <c r="EB82" s="21">
        <f>EXP(-LN(2)/25)*EB81+(1-EXP(-LN(2)/25))/(LN(2)/25)*Calculateur!DW82*Calculateur!DY82*VLOOKUP('Données projet'!$B$14,Paramètres!$A$1:$I$89,3,0)*0.475*44/12</f>
        <v>2.6321000432523953</v>
      </c>
      <c r="EC82" s="21">
        <f>EXP(-LN(2)/2)*EC81+(1-EXP(-LN(2)/2))/(LN(2)/2)*DW82*DZ82*VLOOKUP('Données projet'!$B$14,Paramètres!$A$1:$I$89,3,0)*0.475*44/12</f>
        <v>8.21853326233374E-7</v>
      </c>
      <c r="ED82" s="22">
        <f t="shared" si="72"/>
        <v>3.4978260150208751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6.1</v>
      </c>
      <c r="EJ82" s="12">
        <f>IF('Données projet'!$A$192&gt;35,EJ81+EI82-ER81,IF(A82&lt;'Données projet'!$A$192,$EG$205^A82,IF(A82='Données projet'!$A$192,'Données projet'!$B$192,EJ81+EI82-ER81)))</f>
        <v>366.9000000000002</v>
      </c>
      <c r="EK82" s="17">
        <f>EJ82*VLOOKUP('Données projet'!$B$15,Paramètres!$A$1:$I$89,3,0)*VLOOKUP('Données projet'!$B$15,Paramètres!$A$1:$I$89,5,0)</f>
        <v>200.3274000000001</v>
      </c>
      <c r="EL82" s="13">
        <f t="shared" si="99"/>
        <v>49.816113484973513</v>
      </c>
      <c r="EM82" s="20">
        <f t="shared" si="73"/>
        <v>435.66661931966229</v>
      </c>
      <c r="EN82" s="59">
        <f t="shared" si="74"/>
        <v>728.9999526529956</v>
      </c>
      <c r="EO82" s="59">
        <f ca="1">AVERAGE(OFFSET($EN$3,0,0,'Données projet'!$E$15+1,1))-AVERAGE(OFFSET($H$3,0,0,'Données projet'!$E$15+1,1))</f>
        <v>168.72306536277267</v>
      </c>
      <c r="EP82" s="59">
        <f t="shared" si="100"/>
        <v>203.35476578922339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1.1527318572239811</v>
      </c>
      <c r="EW82" s="21">
        <f>EXP(-LN(2)/25)*EW81+(1-EXP(-LN(2)/25))/(LN(2)/25)*Calculateur!ER82*Calculateur!ET82*VLOOKUP('Données projet'!$B$15,Paramètres!$A$1:$I$89,3,0)*0.475*44/12</f>
        <v>5.9078046144572749</v>
      </c>
      <c r="EX82" s="21">
        <f>EXP(-LN(2)/2)*EX81+(1-EXP(-LN(2)/2))/(LN(2)/2)*ER82*EU82*VLOOKUP('Données projet'!$B$15,Paramètres!$A$1:$I$89,3,0)*0.475*44/12</f>
        <v>8.4394203018657349E-7</v>
      </c>
      <c r="EY82" s="22">
        <f t="shared" si="75"/>
        <v>7.0605373156232858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4.5999999999999996</v>
      </c>
      <c r="FE82" s="12">
        <f>IF('Données projet'!$A$218&gt;35,FE81+FD82-FM81,IF(A82&lt;'Données projet'!$A$218,$FB$205^A82,IF(A82='Données projet'!$A$218,'Données projet'!$B$218,FE81+FD82-FM81)))</f>
        <v>307.40000000000032</v>
      </c>
      <c r="FF82" s="17">
        <f>FE82*VLOOKUP('Données projet'!$B$16,Paramètres!$A$1:$I$89,3,0)*VLOOKUP('Données projet'!$B$16,Paramètres!$A$1:$I$89,5,0)</f>
        <v>167.84040000000016</v>
      </c>
      <c r="FG82" s="13">
        <f t="shared" si="101"/>
        <v>42.605985718279626</v>
      </c>
      <c r="FH82" s="20">
        <f t="shared" si="76"/>
        <v>366.52745512600387</v>
      </c>
      <c r="FI82" s="59">
        <f t="shared" si="77"/>
        <v>659.86078845933719</v>
      </c>
      <c r="FJ82" s="59">
        <f ca="1">AVERAGE(OFFSET($FI$3,0,0,'Données projet'!$E$16+1,1))-AVERAGE(OFFSET($H$3,0,0,'Données projet'!$E$16+1,1))</f>
        <v>127.76128532861486</v>
      </c>
      <c r="FK82" s="59">
        <f t="shared" si="102"/>
        <v>157.52303491639736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>
        <f>EXP(-LN(2)/35)*FQ81+(1-EXP(-LN(2)/35))/(LN(2)/35)*FM82*FN82*VLOOKUP('Données projet'!$B$16,Paramètres!$A$1:$I$89,3,0)*0.475*44/12</f>
        <v>0.92218548577918491</v>
      </c>
      <c r="FR82" s="21">
        <f>EXP(-LN(2)/25)*FR81+(1-EXP(-LN(2)/25))/(LN(2)/25)*Calculateur!FM82*Calculateur!FO82*VLOOKUP('Données projet'!$B$16,Paramètres!$A$1:$I$89,3,0)*0.475*44/12</f>
        <v>4.1950307448993849</v>
      </c>
      <c r="FS82" s="21">
        <f>EXP(-LN(2)/2)*FS81+(1-EXP(-LN(2)/2))/(LN(2)/2)*FM82*FP82*VLOOKUP('Données projet'!$B$16,Paramètres!$A$1:$I$89,3,0)*0.475*44/12</f>
        <v>6.7002401991368336E-7</v>
      </c>
      <c r="FT82" s="22">
        <f t="shared" si="78"/>
        <v>5.1172169007025898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5.5042735042735051</v>
      </c>
      <c r="N83" s="13">
        <f>IF('Données projet'!$A$36&gt;35,N82+M83-V82,IF(A83&lt;'Données projet'!$A$36,$K$205^A83,IF(A83='Données projet'!$A$36,'Données projet'!$B$36,N82+M83-V82)))</f>
        <v>177.98931623931617</v>
      </c>
      <c r="O83" s="13">
        <f>N83*VLOOKUP('Données projet'!$B$9,Paramètres!$A$1:$I$89,3,0)*VLOOKUP('Données projet'!$B$9,Paramètres!$A$1:$I$89,5,0)</f>
        <v>161.04473333333328</v>
      </c>
      <c r="P83" s="13">
        <f t="shared" si="87"/>
        <v>41.078068593790562</v>
      </c>
      <c r="Q83" s="20">
        <f t="shared" si="54"/>
        <v>352.03054668974067</v>
      </c>
      <c r="R83" s="59">
        <f t="shared" si="55"/>
        <v>645.36388002307399</v>
      </c>
      <c r="S83" s="59">
        <f ca="1">AVERAGE(OFFSET($R$3,0,0,'Données projet'!$E$9+1,1))-AVERAGE(OFFSET($H$3,0,0,'Données projet'!$E$9+1,1))</f>
        <v>153.45079678708987</v>
      </c>
      <c r="T83" s="59">
        <f t="shared" si="88"/>
        <v>115.4217868409637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0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0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4.7037037037037051</v>
      </c>
      <c r="AI83" s="13">
        <f>IF('Données projet'!$A$62&gt;35,AI82+AH83-AQ82,IF(A83&lt;'Données projet'!$A$62,$AF$205^A83,IF(A83='Données projet'!$A$62,'Données projet'!$B$62,AI82+AH83-AQ82)))</f>
        <v>139.75854700854705</v>
      </c>
      <c r="AJ83" s="13">
        <f>AI83*VLOOKUP('Données projet'!$B$10,Paramètres!$A$1:$I$89,3,0)*VLOOKUP('Données projet'!$B$10,Paramètres!$A$1:$I$89,5,0)</f>
        <v>126.45353333333338</v>
      </c>
      <c r="AK83" s="13">
        <f t="shared" si="89"/>
        <v>33.175560493190382</v>
      </c>
      <c r="AL83" s="20">
        <f t="shared" si="58"/>
        <v>278.0206717478622</v>
      </c>
      <c r="AM83" s="59">
        <f t="shared" si="59"/>
        <v>571.35400508119551</v>
      </c>
      <c r="AN83" s="59">
        <f ca="1">AVERAGE(OFFSET($AM$3,0,0,'Données projet'!$E$10+1,1))-AVERAGE(OFFSET($H$3,0,0,'Données projet'!$E$10+1,1))</f>
        <v>123.92486590666675</v>
      </c>
      <c r="AO83" s="59">
        <f t="shared" si="90"/>
        <v>54.404493017418986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0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1.1368683772161603E-13</v>
      </c>
      <c r="BE83" s="13">
        <f>BD83*VLOOKUP('Données projet'!$B$11,Paramètres!$A$1:$I$89,3,0)*VLOOKUP('Données projet'!$B$11,Paramètres!$A$1:$I$89,5,0)</f>
        <v>6.3550942286383367E-14</v>
      </c>
      <c r="BF83" s="13">
        <f t="shared" si="91"/>
        <v>1.0064464192543978E-12</v>
      </c>
      <c r="BG83" s="20">
        <f t="shared" si="61"/>
        <v>1.8635787380168604E-12</v>
      </c>
      <c r="BH83" s="59">
        <f t="shared" si="62"/>
        <v>293.33333333333519</v>
      </c>
      <c r="BI83" s="59">
        <f ca="1">AVERAGE(OFFSET($BH$3,0,0,'Données projet'!$E$11+1,1))-AVERAGE(OFFSET($H$3,0,0,'Données projet'!$E$11+1,1))</f>
        <v>224.7049802939942</v>
      </c>
      <c r="BJ83" s="59">
        <f t="shared" si="92"/>
        <v>203.48513862195352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0.82887294434908565</v>
      </c>
      <c r="BQ83" s="21">
        <f>EXP(-LN(2)/25)*BQ82+(1-EXP(-LN(2)/25))/(LN(2)/25)*Calculateur!BL83*Calculateur!BN83*VLOOKUP('Données projet'!$B$11,Paramètres!$A$1:$I$89,3,0)*0.475*44/12</f>
        <v>4.8811318843301468</v>
      </c>
      <c r="BR83" s="21">
        <f>EXP(-LN(2)/2)*BR82+(1-EXP(-LN(2)/2))/(LN(2)/2)*BL83*BO83*VLOOKUP('Données projet'!$B$11,Paramètres!$A$1:$I$89,3,0)*0.475*44/12</f>
        <v>2.6704706523084654E-7</v>
      </c>
      <c r="BS83" s="22">
        <f t="shared" si="63"/>
        <v>5.7100050957262978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7.073076923076921</v>
      </c>
      <c r="BY83" s="12">
        <f>IF('Données projet'!$A$114&gt;35,BY82+BX83-CG82,IF(A83&lt;'Données projet'!$A$114,$BV$205^A83,IF(A83='Données projet'!$A$114,'Données projet'!$B$114,BY82+BX83-CG82)))</f>
        <v>368.86153846153843</v>
      </c>
      <c r="BZ83" s="13">
        <f>BY83*VLOOKUP('Données projet'!$B$12,Paramètres!$A$1:$I$89,3,0)*VLOOKUP('Données projet'!$B$12,Paramètres!$A$1:$I$89,5,0)</f>
        <v>206.19359999999998</v>
      </c>
      <c r="CA83" s="13">
        <f t="shared" si="93"/>
        <v>51.102908081090526</v>
      </c>
      <c r="CB83" s="20">
        <f t="shared" si="64"/>
        <v>448.12475157456601</v>
      </c>
      <c r="CC83" s="59">
        <f t="shared" si="65"/>
        <v>741.45808490789932</v>
      </c>
      <c r="CD83" s="59">
        <f ca="1">AVERAGE(OFFSET($CC$3,0,0,'Données projet'!$E$12+1,1))-AVERAGE(OFFSET($H$3,0,0,'Données projet'!$E$12+1,1))</f>
        <v>190.08613104982993</v>
      </c>
      <c r="CE83" s="59">
        <f t="shared" si="94"/>
        <v>180.55054525447781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0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537</v>
      </c>
      <c r="CR83" s="12">
        <f>VLOOKUP(A83,'Données projet'!$A$139:$I$159,9,0)</f>
        <v>12.5</v>
      </c>
      <c r="CS83" s="12">
        <f t="array" ref="CS83">INDEX(CR:CR,MIN(IF(ISNUMBER(CR83:CR279),ROW(CR83:CR279),"")))</f>
        <v>12.5</v>
      </c>
      <c r="CT83" s="12">
        <f>IF('Données projet'!$A$140&gt;35,CT82+CS83-DB82,IF(A83&lt;'Données projet'!$A$140,$CQ$205^A83,IF(A83='Données projet'!$A$140,'Données projet'!$B$140,CT82+CS83-DB82)))</f>
        <v>537.00000000000023</v>
      </c>
      <c r="CU83" s="17">
        <f>CT83*VLOOKUP('Données projet'!$B$13,Paramètres!$A$1:$I$89,3,0)*VLOOKUP('Données projet'!$B$13,Paramètres!$A$1:$I$89,5,0)</f>
        <v>321.12600000000015</v>
      </c>
      <c r="CV83" s="13">
        <f t="shared" si="95"/>
        <v>75.587591944000323</v>
      </c>
      <c r="CW83" s="20">
        <f t="shared" si="67"/>
        <v>690.94283930246741</v>
      </c>
      <c r="CX83" s="59">
        <f t="shared" si="68"/>
        <v>984.27617263580078</v>
      </c>
      <c r="CY83" s="59">
        <f ca="1">AVERAGE(OFFSET($CX$3,0,0,'Données projet'!$E$13+1,1))-AVERAGE(OFFSET($H$3,0,0,'Données projet'!$E$13+1,1))</f>
        <v>270.30888762640245</v>
      </c>
      <c r="CZ83" s="59">
        <f t="shared" si="96"/>
        <v>202.23783851977691</v>
      </c>
      <c r="DA83" s="15">
        <f>IF(ISNA(VLOOKUP(A83,'Données projet'!$A$139:$I$159,3,0)),0,VLOOKUP(A83,'Données projet'!$A$139:$I$159,3,0))</f>
        <v>7</v>
      </c>
      <c r="DB83" s="15">
        <f>IF(ISNA(VLOOKUP(A83,'Données projet'!$A$139:$I$159,4,0)),0,VLOOKUP(A83,'Données projet'!$A$139:$I$159,4,0))</f>
        <v>78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0.79570200728017426</v>
      </c>
      <c r="DG83" s="21">
        <f>EXP(-LN(2)/25)*DG82+(1-EXP(-LN(2)/25))/(LN(2)/25)*Calculateur!DB83*Calculateur!DD83*VLOOKUP('Données projet'!$B$13,Paramètres!$A$1:$I$89,3,0)*0.475*44/12</f>
        <v>3.0738020430601862</v>
      </c>
      <c r="DH83" s="21">
        <f>EXP(-LN(2)/2)*DH82+(1-EXP(-LN(2)/2))/(LN(2)/2)*DB83*DE83*VLOOKUP('Données projet'!$B$13,Paramètres!$A$1:$I$89,3,0)*0.475*44/12</f>
        <v>5.5112268288322043E-7</v>
      </c>
      <c r="DI83" s="22">
        <f t="shared" si="69"/>
        <v>3.8695046014630434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projet'!$A$165:$I$185,2,0)</f>
        <v>462</v>
      </c>
      <c r="DM83" s="12">
        <f>VLOOKUP(A83,'Données projet'!$A$165:$I$185,9,0)</f>
        <v>10.5</v>
      </c>
      <c r="DN83" s="12">
        <f t="array" ref="DN83">INDEX(DM:DM,MIN(IF(ISNUMBER(DM83:DM279),ROW(DM83:DM279),"")))</f>
        <v>10.5</v>
      </c>
      <c r="DO83" s="12">
        <f>IF('Données projet'!$A$166&gt;35,DO82+DN83-DW82,IF(A83&lt;'Données projet'!$A$166,$DL$205^A83,IF(A83='Données projet'!$A$166,'Données projet'!$B$166,DO82+DN83-DW82)))</f>
        <v>462.00000000000011</v>
      </c>
      <c r="DP83" s="17">
        <f>DO83*VLOOKUP('Données projet'!$B$14,Paramètres!$A$1:$I$89,3,0)*VLOOKUP('Données projet'!$B$14,Paramètres!$A$1:$I$89,5,0)</f>
        <v>276.27600000000012</v>
      </c>
      <c r="DQ83" s="13">
        <f t="shared" si="97"/>
        <v>66.179408416217214</v>
      </c>
      <c r="DR83" s="20">
        <f t="shared" si="70"/>
        <v>596.44316965824521</v>
      </c>
      <c r="DS83" s="59">
        <f t="shared" si="71"/>
        <v>889.77650299157858</v>
      </c>
      <c r="DT83" s="59">
        <f ca="1">AVERAGE(OFFSET($DS$3,0,0,'Données projet'!$E$14+1,1))-AVERAGE(OFFSET($H$3,0,0,'Données projet'!$E$14+1,1))</f>
        <v>221.14988592347311</v>
      </c>
      <c r="DU83" s="59">
        <f t="shared" si="98"/>
        <v>179.09262081171607</v>
      </c>
      <c r="DV83" s="15">
        <f>IF(ISNA(VLOOKUP(A83,'Données projet'!$A$165:$I$185,3,0)),0,VLOOKUP(A83,'Données projet'!$A$165:$I$185,3,0))</f>
        <v>6</v>
      </c>
      <c r="DW83" s="15">
        <f>IF(ISNA(VLOOKUP(A83,'Données projet'!$A$165:$I$185,4,0)),0,VLOOKUP(A83,'Données projet'!$A$165:$I$185,4,0))</f>
        <v>63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0.84874880776551898</v>
      </c>
      <c r="EB83" s="21">
        <f>EXP(-LN(2)/25)*EB82+(1-EXP(-LN(2)/25))/(LN(2)/25)*Calculateur!DW83*Calculateur!DY83*VLOOKUP('Données projet'!$B$14,Paramètres!$A$1:$I$89,3,0)*0.475*44/12</f>
        <v>2.560125129153533</v>
      </c>
      <c r="EC83" s="21">
        <f>EXP(-LN(2)/2)*EC82+(1-EXP(-LN(2)/2))/(LN(2)/2)*DW83*DZ83*VLOOKUP('Données projet'!$B$14,Paramètres!$A$1:$I$89,3,0)*0.475*44/12</f>
        <v>5.8113806012033864E-7</v>
      </c>
      <c r="ED83" s="22">
        <f t="shared" si="72"/>
        <v>3.4088745180571123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>
        <f>VLOOKUP(A83,'Données projet'!$A$191:$I$211,2,0)</f>
        <v>373</v>
      </c>
      <c r="EH83" s="12">
        <f>VLOOKUP(A83,'Données projet'!$A$191:$I$211,9,0)</f>
        <v>6.1</v>
      </c>
      <c r="EI83" s="12">
        <f t="array" ref="EI83">INDEX(EH:EH,MIN(IF(ISNUMBER(EH83:EH279),ROW(EH83:EH279),"")))</f>
        <v>6.1</v>
      </c>
      <c r="EJ83" s="12">
        <f>IF('Données projet'!$A$192&gt;35,EJ82+EI83-ER82,IF(A83&lt;'Données projet'!$A$192,$EG$205^A83,IF(A83='Données projet'!$A$192,'Données projet'!$B$192,EJ82+EI83-ER82)))</f>
        <v>373.00000000000023</v>
      </c>
      <c r="EK83" s="17">
        <f>EJ83*VLOOKUP('Données projet'!$B$15,Paramètres!$A$1:$I$89,3,0)*VLOOKUP('Données projet'!$B$15,Paramètres!$A$1:$I$89,5,0)</f>
        <v>203.6580000000001</v>
      </c>
      <c r="EL83" s="13">
        <f t="shared" si="99"/>
        <v>50.547235424843521</v>
      </c>
      <c r="EM83" s="20">
        <f t="shared" si="73"/>
        <v>442.74078503160263</v>
      </c>
      <c r="EN83" s="59">
        <f t="shared" si="74"/>
        <v>736.07411836493588</v>
      </c>
      <c r="EO83" s="59">
        <f ca="1">AVERAGE(OFFSET($EN$3,0,0,'Données projet'!$E$15+1,1))-AVERAGE(OFFSET($H$3,0,0,'Données projet'!$E$15+1,1))</f>
        <v>168.72306536277267</v>
      </c>
      <c r="EP83" s="59">
        <f t="shared" si="100"/>
        <v>203.35476578922339</v>
      </c>
      <c r="EQ83" s="15">
        <f>IF(ISNA(VLOOKUP(A83,'Données projet'!$A$191:$I$211,3,0)),0,VLOOKUP(A83,'Données projet'!$A$191:$I$211,3,0))</f>
        <v>7</v>
      </c>
      <c r="ER83" s="15">
        <f>IF(ISNA(VLOOKUP(A83,'Données projet'!$A$191:$I$211,4,0)),0,VLOOKUP(A83,'Données projet'!$A$191:$I$211,4,0))</f>
        <v>373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1.1301274886008266</v>
      </c>
      <c r="EW83" s="21">
        <f>EXP(-LN(2)/25)*EW82+(1-EXP(-LN(2)/25))/(LN(2)/25)*Calculateur!ER83*Calculateur!ET83*VLOOKUP('Données projet'!$B$15,Paramètres!$A$1:$I$89,3,0)*0.475*44/12</f>
        <v>5.7462553865969985</v>
      </c>
      <c r="EX83" s="21">
        <f>EXP(-LN(2)/2)*EX82+(1-EXP(-LN(2)/2))/(LN(2)/2)*ER83*EU83*VLOOKUP('Données projet'!$B$15,Paramètres!$A$1:$I$89,3,0)*0.475*44/12</f>
        <v>5.967571324732681E-7</v>
      </c>
      <c r="EY83" s="22">
        <f t="shared" si="75"/>
        <v>6.8763834719549575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>
        <f>VLOOKUP(A83,'Données projet'!$A$217:$I$237,2,0)</f>
        <v>312</v>
      </c>
      <c r="FC83" s="12">
        <f>VLOOKUP(A83,'Données projet'!$A$217:$I$237,9,0)</f>
        <v>4.5999999999999996</v>
      </c>
      <c r="FD83" s="12">
        <f t="array" ref="FD83">INDEX(FC:FC,MIN(IF(ISNUMBER(FC83:FC279),ROW(FC83:FC279),"")))</f>
        <v>4.5999999999999996</v>
      </c>
      <c r="FE83" s="12">
        <f>IF('Données projet'!$A$218&gt;35,FE82+FD83-FM82,IF(A83&lt;'Données projet'!$A$218,$FB$205^A83,IF(A83='Données projet'!$A$218,'Données projet'!$B$218,FE82+FD83-FM82)))</f>
        <v>312.00000000000034</v>
      </c>
      <c r="FF83" s="17">
        <f>FE83*VLOOKUP('Données projet'!$B$16,Paramètres!$A$1:$I$89,3,0)*VLOOKUP('Données projet'!$B$16,Paramètres!$A$1:$I$89,5,0)</f>
        <v>170.35200000000017</v>
      </c>
      <c r="FG83" s="13">
        <f t="shared" si="101"/>
        <v>43.168850382694529</v>
      </c>
      <c r="FH83" s="20">
        <f t="shared" si="76"/>
        <v>371.88214774985994</v>
      </c>
      <c r="FI83" s="59">
        <f t="shared" si="77"/>
        <v>665.21548108319325</v>
      </c>
      <c r="FJ83" s="59">
        <f ca="1">AVERAGE(OFFSET($FI$3,0,0,'Données projet'!$E$16+1,1))-AVERAGE(OFFSET($H$3,0,0,'Données projet'!$E$16+1,1))</f>
        <v>127.76128532861486</v>
      </c>
      <c r="FK83" s="59">
        <f t="shared" si="102"/>
        <v>157.52303491639736</v>
      </c>
      <c r="FL83" s="15">
        <f>IF(ISNA(VLOOKUP(A83,'Données projet'!$A$217:$I$237,3,0)),0,VLOOKUP(A83,'Données projet'!$A$217:$I$237,3,0))</f>
        <v>7</v>
      </c>
      <c r="FM83" s="15">
        <f>IF(ISNA(VLOOKUP(A83,'Données projet'!$A$217:$I$237,4,0)),0,VLOOKUP(A83,'Données projet'!$A$217:$I$237,4,0))</f>
        <v>312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>
        <f>EXP(-LN(2)/35)*FQ82+(1-EXP(-LN(2)/35))/(LN(2)/35)*FM83*FN83*VLOOKUP('Données projet'!$B$16,Paramètres!$A$1:$I$89,3,0)*0.475*44/12</f>
        <v>0.90410199088066134</v>
      </c>
      <c r="FR83" s="21">
        <f>EXP(-LN(2)/25)*FR82+(1-EXP(-LN(2)/25))/(LN(2)/25)*Calculateur!FM83*Calculateur!FO83*VLOOKUP('Données projet'!$B$16,Paramètres!$A$1:$I$89,3,0)*0.475*44/12</f>
        <v>4.0803174085730323</v>
      </c>
      <c r="FS83" s="21">
        <f>EXP(-LN(2)/2)*FS82+(1-EXP(-LN(2)/2))/(LN(2)/2)*FM83*FP83*VLOOKUP('Données projet'!$B$16,Paramètres!$A$1:$I$89,3,0)*0.475*44/12</f>
        <v>4.7377852803883588E-7</v>
      </c>
      <c r="FT83" s="22">
        <f t="shared" si="78"/>
        <v>4.9844198732322225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5.5042735042735051</v>
      </c>
      <c r="N84" s="13">
        <f>IF('Données projet'!$A$36&gt;35,N83+M84-V83,IF(A84&lt;'Données projet'!$A$36,$K$205^A84,IF(A84='Données projet'!$A$36,'Données projet'!$B$36,N83+M84-V83)))</f>
        <v>183.49358974358967</v>
      </c>
      <c r="O84" s="13">
        <f>N84*VLOOKUP('Données projet'!$B$9,Paramètres!$A$1:$I$89,3,0)*VLOOKUP('Données projet'!$B$9,Paramètres!$A$1:$I$89,5,0)</f>
        <v>166.02499999999992</v>
      </c>
      <c r="P84" s="13">
        <f t="shared" si="87"/>
        <v>42.198533618502132</v>
      </c>
      <c r="Q84" s="20">
        <f t="shared" si="54"/>
        <v>362.65598771889108</v>
      </c>
      <c r="R84" s="59">
        <f t="shared" si="55"/>
        <v>655.98932105222434</v>
      </c>
      <c r="S84" s="59">
        <f ca="1">AVERAGE(OFFSET($R$3,0,0,'Données projet'!$E$9+1,1))-AVERAGE(OFFSET($H$3,0,0,'Données projet'!$E$9+1,1))</f>
        <v>153.45079678708987</v>
      </c>
      <c r="T84" s="59">
        <f t="shared" si="88"/>
        <v>115.4217868409637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0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0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4.7037037037037051</v>
      </c>
      <c r="AI84" s="13">
        <f>IF('Données projet'!$A$62&gt;35,AI83+AH84-AQ83,IF(A84&lt;'Données projet'!$A$62,$AF$205^A84,IF(A84='Données projet'!$A$62,'Données projet'!$B$62,AI83+AH84-AQ83)))</f>
        <v>144.46225071225075</v>
      </c>
      <c r="AJ84" s="13">
        <f>AI84*VLOOKUP('Données projet'!$B$10,Paramètres!$A$1:$I$89,3,0)*VLOOKUP('Données projet'!$B$10,Paramètres!$A$1:$I$89,5,0)</f>
        <v>130.70944444444447</v>
      </c>
      <c r="AK84" s="13">
        <f t="shared" si="89"/>
        <v>34.160239152258555</v>
      </c>
      <c r="AL84" s="20">
        <f t="shared" si="58"/>
        <v>287.14803226425778</v>
      </c>
      <c r="AM84" s="59">
        <f t="shared" si="59"/>
        <v>580.48136559759109</v>
      </c>
      <c r="AN84" s="59">
        <f ca="1">AVERAGE(OFFSET($AM$3,0,0,'Données projet'!$E$10+1,1))-AVERAGE(OFFSET($H$3,0,0,'Données projet'!$E$10+1,1))</f>
        <v>123.92486590666675</v>
      </c>
      <c r="AO84" s="59">
        <f t="shared" si="90"/>
        <v>54.404493017418986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0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1.1368683772161603E-13</v>
      </c>
      <c r="BE84" s="13">
        <f>BD84*VLOOKUP('Données projet'!$B$11,Paramètres!$A$1:$I$89,3,0)*VLOOKUP('Données projet'!$B$11,Paramètres!$A$1:$I$89,5,0)</f>
        <v>6.3550942286383367E-14</v>
      </c>
      <c r="BF84" s="13">
        <f t="shared" si="91"/>
        <v>1.0064464192543978E-12</v>
      </c>
      <c r="BG84" s="20">
        <f t="shared" si="61"/>
        <v>1.8635787380168604E-12</v>
      </c>
      <c r="BH84" s="59">
        <f t="shared" si="62"/>
        <v>293.33333333333519</v>
      </c>
      <c r="BI84" s="59">
        <f ca="1">AVERAGE(OFFSET($BH$3,0,0,'Données projet'!$E$11+1,1))-AVERAGE(OFFSET($H$3,0,0,'Données projet'!$E$11+1,1))</f>
        <v>224.7049802939942</v>
      </c>
      <c r="BJ84" s="59">
        <f t="shared" si="92"/>
        <v>203.48513862195352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0.81261925147297598</v>
      </c>
      <c r="BQ84" s="21">
        <f>EXP(-LN(2)/25)*BQ83+(1-EXP(-LN(2)/25))/(LN(2)/25)*Calculateur!BL84*Calculateur!BN84*VLOOKUP('Données projet'!$B$11,Paramètres!$A$1:$I$89,3,0)*0.475*44/12</f>
        <v>4.7476570762655692</v>
      </c>
      <c r="BR84" s="21">
        <f>EXP(-LN(2)/2)*BR83+(1-EXP(-LN(2)/2))/(LN(2)/2)*BL84*BO84*VLOOKUP('Données projet'!$B$11,Paramètres!$A$1:$I$89,3,0)*0.475*44/12</f>
        <v>1.8883079072069789E-7</v>
      </c>
      <c r="BS84" s="22">
        <f t="shared" si="63"/>
        <v>5.5602765165693366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7.073076923076921</v>
      </c>
      <c r="BY84" s="12">
        <f>IF('Données projet'!$A$114&gt;35,BY83+BX84-CG83,IF(A84&lt;'Données projet'!$A$114,$BV$205^A84,IF(A84='Données projet'!$A$114,'Données projet'!$B$114,BY83+BX84-CG83)))</f>
        <v>375.93461538461537</v>
      </c>
      <c r="BZ84" s="13">
        <f>BY84*VLOOKUP('Données projet'!$B$12,Paramètres!$A$1:$I$89,3,0)*VLOOKUP('Données projet'!$B$12,Paramètres!$A$1:$I$89,5,0)</f>
        <v>210.14744999999999</v>
      </c>
      <c r="CA84" s="13">
        <f t="shared" si="93"/>
        <v>51.96780591670899</v>
      </c>
      <c r="CB84" s="20">
        <f t="shared" si="64"/>
        <v>456.51740405493479</v>
      </c>
      <c r="CC84" s="59">
        <f t="shared" si="65"/>
        <v>749.85073738826804</v>
      </c>
      <c r="CD84" s="59">
        <f ca="1">AVERAGE(OFFSET($CC$3,0,0,'Données projet'!$E$12+1,1))-AVERAGE(OFFSET($H$3,0,0,'Données projet'!$E$12+1,1))</f>
        <v>190.08613104982993</v>
      </c>
      <c r="CE84" s="59">
        <f t="shared" si="94"/>
        <v>180.55054525447781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0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10.8</v>
      </c>
      <c r="CT84" s="12">
        <f>IF('Données projet'!$A$140&gt;35,CT83+CS84-DB83,IF(A84&lt;'Données projet'!$A$140,$CQ$205^A84,IF(A84='Données projet'!$A$140,'Données projet'!$B$140,CT83+CS84-DB83)))</f>
        <v>469.80000000000018</v>
      </c>
      <c r="CU84" s="17">
        <f>CT84*VLOOKUP('Données projet'!$B$13,Paramètres!$A$1:$I$89,3,0)*VLOOKUP('Données projet'!$B$13,Paramètres!$A$1:$I$89,5,0)</f>
        <v>280.94040000000012</v>
      </c>
      <c r="CV84" s="13">
        <f t="shared" si="95"/>
        <v>67.165703636653262</v>
      </c>
      <c r="CW84" s="20">
        <f t="shared" si="67"/>
        <v>606.2847971671714</v>
      </c>
      <c r="CX84" s="59">
        <f t="shared" si="68"/>
        <v>899.61813050050478</v>
      </c>
      <c r="CY84" s="59">
        <f ca="1">AVERAGE(OFFSET($CX$3,0,0,'Données projet'!$E$13+1,1))-AVERAGE(OFFSET($H$3,0,0,'Données projet'!$E$13+1,1))</f>
        <v>270.30888762640245</v>
      </c>
      <c r="CZ84" s="59">
        <f t="shared" si="96"/>
        <v>202.23783851977691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0.78009877624771207</v>
      </c>
      <c r="DG84" s="21">
        <f>EXP(-LN(2)/25)*DG83+(1-EXP(-LN(2)/25))/(LN(2)/25)*Calculateur!DB84*Calculateur!DD84*VLOOKUP('Données projet'!$B$13,Paramètres!$A$1:$I$89,3,0)*0.475*44/12</f>
        <v>2.989748764548481</v>
      </c>
      <c r="DH84" s="21">
        <f>EXP(-LN(2)/2)*DH83+(1-EXP(-LN(2)/2))/(LN(2)/2)*DB84*DE84*VLOOKUP('Données projet'!$B$13,Paramètres!$A$1:$I$89,3,0)*0.475*44/12</f>
        <v>3.8970258633244837E-7</v>
      </c>
      <c r="DI84" s="22">
        <f t="shared" si="69"/>
        <v>3.7698479304987793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9</v>
      </c>
      <c r="DO84" s="12">
        <f>IF('Données projet'!$A$166&gt;35,DO83+DN84-DW83,IF(A84&lt;'Données projet'!$A$166,$DL$205^A84,IF(A84='Données projet'!$A$166,'Données projet'!$B$166,DO83+DN84-DW83)))</f>
        <v>408.00000000000011</v>
      </c>
      <c r="DP84" s="17">
        <f>DO84*VLOOKUP('Données projet'!$B$14,Paramètres!$A$1:$I$89,3,0)*VLOOKUP('Données projet'!$B$14,Paramètres!$A$1:$I$89,5,0)</f>
        <v>243.98400000000009</v>
      </c>
      <c r="DQ84" s="13">
        <f t="shared" si="97"/>
        <v>59.295884425255011</v>
      </c>
      <c r="DR84" s="20">
        <f t="shared" si="70"/>
        <v>528.21246537398588</v>
      </c>
      <c r="DS84" s="59">
        <f t="shared" si="71"/>
        <v>821.54579870731914</v>
      </c>
      <c r="DT84" s="59">
        <f ca="1">AVERAGE(OFFSET($DS$3,0,0,'Données projet'!$E$14+1,1))-AVERAGE(OFFSET($H$3,0,0,'Données projet'!$E$14+1,1))</f>
        <v>221.14988592347311</v>
      </c>
      <c r="DU84" s="59">
        <f t="shared" si="98"/>
        <v>179.09262081171607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0.83210536133089263</v>
      </c>
      <c r="EB84" s="21">
        <f>EXP(-LN(2)/25)*EB83+(1-EXP(-LN(2)/25))/(LN(2)/25)*Calculateur!DW84*Calculateur!DY84*VLOOKUP('Données projet'!$B$14,Paramètres!$A$1:$I$89,3,0)*0.475*44/12</f>
        <v>2.4901183728657004</v>
      </c>
      <c r="EC84" s="21">
        <f>EXP(-LN(2)/2)*EC83+(1-EXP(-LN(2)/2))/(LN(2)/2)*DW84*DZ84*VLOOKUP('Données projet'!$B$14,Paramètres!$A$1:$I$89,3,0)*0.475*44/12</f>
        <v>4.10926663116687E-7</v>
      </c>
      <c r="ED84" s="22">
        <f t="shared" si="72"/>
        <v>3.3222241451232559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2.2737367544323206E-13</v>
      </c>
      <c r="EK84" s="17">
        <f>EJ84*VLOOKUP('Données projet'!$B$15,Paramètres!$A$1:$I$89,3,0)*VLOOKUP('Données projet'!$B$15,Paramètres!$A$1:$I$89,5,0)</f>
        <v>1.2414602679200471E-13</v>
      </c>
      <c r="EL84" s="13">
        <f t="shared" si="99"/>
        <v>1.8186582995804361E-12</v>
      </c>
      <c r="EM84" s="20">
        <f t="shared" si="73"/>
        <v>3.3837175350986671E-12</v>
      </c>
      <c r="EN84" s="59">
        <f t="shared" si="74"/>
        <v>293.33333333333672</v>
      </c>
      <c r="EO84" s="59">
        <f ca="1">AVERAGE(OFFSET($EN$3,0,0,'Données projet'!$E$15+1,1))-AVERAGE(OFFSET($H$3,0,0,'Données projet'!$E$15+1,1))</f>
        <v>168.72306536277267</v>
      </c>
      <c r="EP84" s="59">
        <f t="shared" si="100"/>
        <v>203.35476578922339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1.1079663778590687</v>
      </c>
      <c r="EW84" s="21">
        <f>EXP(-LN(2)/25)*EW83+(1-EXP(-LN(2)/25))/(LN(2)/25)*Calculateur!ER84*Calculateur!ET84*VLOOKUP('Données projet'!$B$15,Paramètres!$A$1:$I$89,3,0)*0.475*44/12</f>
        <v>5.5891237308680664</v>
      </c>
      <c r="EX84" s="21">
        <f>EXP(-LN(2)/2)*EX83+(1-EXP(-LN(2)/2))/(LN(2)/2)*ER84*EU84*VLOOKUP('Données projet'!$B$15,Paramètres!$A$1:$I$89,3,0)*0.475*44/12</f>
        <v>4.2197101509328674E-7</v>
      </c>
      <c r="EY84" s="22">
        <f t="shared" si="75"/>
        <v>6.6970905306981505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3.4106051316484809E-13</v>
      </c>
      <c r="FF84" s="17">
        <f>FE84*VLOOKUP('Données projet'!$B$16,Paramètres!$A$1:$I$89,3,0)*VLOOKUP('Données projet'!$B$16,Paramètres!$A$1:$I$89,5,0)</f>
        <v>1.8621904018800707E-13</v>
      </c>
      <c r="FG84" s="13">
        <f t="shared" si="101"/>
        <v>2.6022279988572714E-12</v>
      </c>
      <c r="FH84" s="20">
        <f t="shared" si="76"/>
        <v>4.8565452596705266E-12</v>
      </c>
      <c r="FI84" s="59">
        <f t="shared" si="77"/>
        <v>293.33333333333815</v>
      </c>
      <c r="FJ84" s="59">
        <f ca="1">AVERAGE(OFFSET($FI$3,0,0,'Données projet'!$E$16+1,1))-AVERAGE(OFFSET($H$3,0,0,'Données projet'!$E$16+1,1))</f>
        <v>127.76128532861486</v>
      </c>
      <c r="FK84" s="59">
        <f t="shared" si="102"/>
        <v>157.52303491639736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>
        <f>EXP(-LN(2)/35)*FQ83+(1-EXP(-LN(2)/35))/(LN(2)/35)*FM84*FN84*VLOOKUP('Données projet'!$B$16,Paramètres!$A$1:$I$89,3,0)*0.475*44/12</f>
        <v>0.88637310228725508</v>
      </c>
      <c r="FR84" s="21">
        <f>EXP(-LN(2)/25)*FR83+(1-EXP(-LN(2)/25))/(LN(2)/25)*Calculateur!FM84*Calculateur!FO84*VLOOKUP('Données projet'!$B$16,Paramètres!$A$1:$I$89,3,0)*0.475*44/12</f>
        <v>3.9687409144610357</v>
      </c>
      <c r="FS84" s="21">
        <f>EXP(-LN(2)/2)*FS83+(1-EXP(-LN(2)/2))/(LN(2)/2)*FM84*FP84*VLOOKUP('Données projet'!$B$16,Paramètres!$A$1:$I$89,3,0)*0.475*44/12</f>
        <v>3.3501200995684173E-7</v>
      </c>
      <c r="FT84" s="22">
        <f t="shared" si="78"/>
        <v>4.8551143517603013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5.5042735042735051</v>
      </c>
      <c r="N85" s="13">
        <f>IF('Données projet'!$A$36&gt;35,N84+M85-V84,IF(A85&lt;'Données projet'!$A$36,$K$205^A85,IF(A85='Données projet'!$A$36,'Données projet'!$B$36,N84+M85-V84)))</f>
        <v>188.99786324786317</v>
      </c>
      <c r="O85" s="13">
        <f>N85*VLOOKUP('Données projet'!$B$9,Paramètres!$A$1:$I$89,3,0)*VLOOKUP('Données projet'!$B$9,Paramètres!$A$1:$I$89,5,0)</f>
        <v>171.00526666666659</v>
      </c>
      <c r="P85" s="13">
        <f t="shared" si="87"/>
        <v>43.31509256233069</v>
      </c>
      <c r="Q85" s="20">
        <f t="shared" si="54"/>
        <v>373.27462565717025</v>
      </c>
      <c r="R85" s="59">
        <f t="shared" si="55"/>
        <v>666.60795899050356</v>
      </c>
      <c r="S85" s="59">
        <f ca="1">AVERAGE(OFFSET($R$3,0,0,'Données projet'!$E$9+1,1))-AVERAGE(OFFSET($H$3,0,0,'Données projet'!$E$9+1,1))</f>
        <v>153.45079678708987</v>
      </c>
      <c r="T85" s="59">
        <f t="shared" si="88"/>
        <v>115.4217868409637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0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0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4.7037037037037051</v>
      </c>
      <c r="AI85" s="13">
        <f>IF('Données projet'!$A$62&gt;35,AI84+AH85-AQ84,IF(A85&lt;'Données projet'!$A$62,$AF$205^A85,IF(A85='Données projet'!$A$62,'Données projet'!$B$62,AI84+AH85-AQ84)))</f>
        <v>149.16595441595445</v>
      </c>
      <c r="AJ85" s="13">
        <f>AI85*VLOOKUP('Données projet'!$B$10,Paramètres!$A$1:$I$89,3,0)*VLOOKUP('Données projet'!$B$10,Paramètres!$A$1:$I$89,5,0)</f>
        <v>134.96535555555559</v>
      </c>
      <c r="AK85" s="13">
        <f t="shared" si="89"/>
        <v>35.141192252403719</v>
      </c>
      <c r="AL85" s="20">
        <f t="shared" si="58"/>
        <v>296.26890409886244</v>
      </c>
      <c r="AM85" s="59">
        <f t="shared" si="59"/>
        <v>589.60223743219581</v>
      </c>
      <c r="AN85" s="59">
        <f ca="1">AVERAGE(OFFSET($AM$3,0,0,'Données projet'!$E$10+1,1))-AVERAGE(OFFSET($H$3,0,0,'Données projet'!$E$10+1,1))</f>
        <v>123.92486590666675</v>
      </c>
      <c r="AO85" s="59">
        <f t="shared" si="90"/>
        <v>54.404493017418986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0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1.1368683772161603E-13</v>
      </c>
      <c r="BE85" s="13">
        <f>BD85*VLOOKUP('Données projet'!$B$11,Paramètres!$A$1:$I$89,3,0)*VLOOKUP('Données projet'!$B$11,Paramètres!$A$1:$I$89,5,0)</f>
        <v>6.3550942286383367E-14</v>
      </c>
      <c r="BF85" s="13">
        <f t="shared" si="91"/>
        <v>1.0064464192543978E-12</v>
      </c>
      <c r="BG85" s="20">
        <f t="shared" si="61"/>
        <v>1.8635787380168604E-12</v>
      </c>
      <c r="BH85" s="59">
        <f t="shared" si="62"/>
        <v>293.33333333333519</v>
      </c>
      <c r="BI85" s="59">
        <f ca="1">AVERAGE(OFFSET($BH$3,0,0,'Données projet'!$E$11+1,1))-AVERAGE(OFFSET($H$3,0,0,'Données projet'!$E$11+1,1))</f>
        <v>224.7049802939942</v>
      </c>
      <c r="BJ85" s="59">
        <f t="shared" si="92"/>
        <v>203.48513862195352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0.79668428360039312</v>
      </c>
      <c r="BQ85" s="21">
        <f>EXP(-LN(2)/25)*BQ84+(1-EXP(-LN(2)/25))/(LN(2)/25)*Calculateur!BL85*Calculateur!BN85*VLOOKUP('Données projet'!$B$11,Paramètres!$A$1:$I$89,3,0)*0.475*44/12</f>
        <v>4.6178321438466527</v>
      </c>
      <c r="BR85" s="21">
        <f>EXP(-LN(2)/2)*BR84+(1-EXP(-LN(2)/2))/(LN(2)/2)*BL85*BO85*VLOOKUP('Données projet'!$B$11,Paramètres!$A$1:$I$89,3,0)*0.475*44/12</f>
        <v>1.3352353261542327E-7</v>
      </c>
      <c r="BS85" s="22">
        <f t="shared" si="63"/>
        <v>5.4145165609705783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7.073076923076921</v>
      </c>
      <c r="BY85" s="12">
        <f>IF('Données projet'!$A$114&gt;35,BY84+BX85-CG84,IF(A85&lt;'Données projet'!$A$114,$BV$205^A85,IF(A85='Données projet'!$A$114,'Données projet'!$B$114,BY84+BX85-CG84)))</f>
        <v>383.00769230769231</v>
      </c>
      <c r="BZ85" s="13">
        <f>BY85*VLOOKUP('Données projet'!$B$12,Paramètres!$A$1:$I$89,3,0)*VLOOKUP('Données projet'!$B$12,Paramètres!$A$1:$I$89,5,0)</f>
        <v>214.10130000000001</v>
      </c>
      <c r="CA85" s="13">
        <f t="shared" si="93"/>
        <v>52.8308115591526</v>
      </c>
      <c r="CB85" s="20">
        <f t="shared" si="64"/>
        <v>464.90676096552414</v>
      </c>
      <c r="CC85" s="59">
        <f t="shared" si="65"/>
        <v>758.24009429885746</v>
      </c>
      <c r="CD85" s="59">
        <f ca="1">AVERAGE(OFFSET($CC$3,0,0,'Données projet'!$E$12+1,1))-AVERAGE(OFFSET($H$3,0,0,'Données projet'!$E$12+1,1))</f>
        <v>190.08613104982993</v>
      </c>
      <c r="CE85" s="59">
        <f t="shared" si="94"/>
        <v>180.55054525447781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0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10.8</v>
      </c>
      <c r="CT85" s="12">
        <f>IF('Données projet'!$A$140&gt;35,CT84+CS85-DB84,IF(A85&lt;'Données projet'!$A$140,$CQ$205^A85,IF(A85='Données projet'!$A$140,'Données projet'!$B$140,CT84+CS85-DB84)))</f>
        <v>480.60000000000019</v>
      </c>
      <c r="CU85" s="17">
        <f>CT85*VLOOKUP('Données projet'!$B$13,Paramètres!$A$1:$I$89,3,0)*VLOOKUP('Données projet'!$B$13,Paramètres!$A$1:$I$89,5,0)</f>
        <v>287.39880000000016</v>
      </c>
      <c r="CV85" s="13">
        <f t="shared" si="95"/>
        <v>68.528206713592894</v>
      </c>
      <c r="CW85" s="20">
        <f t="shared" si="67"/>
        <v>619.90620335950791</v>
      </c>
      <c r="CX85" s="59">
        <f t="shared" si="68"/>
        <v>913.23953669284128</v>
      </c>
      <c r="CY85" s="59">
        <f ca="1">AVERAGE(OFFSET($CX$3,0,0,'Données projet'!$E$13+1,1))-AVERAGE(OFFSET($H$3,0,0,'Données projet'!$E$13+1,1))</f>
        <v>270.30888762640245</v>
      </c>
      <c r="CZ85" s="59">
        <f t="shared" si="96"/>
        <v>202.23783851977691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0.76480151505876526</v>
      </c>
      <c r="DG85" s="21">
        <f>EXP(-LN(2)/25)*DG84+(1-EXP(-LN(2)/25))/(LN(2)/25)*Calculateur!DB85*Calculateur!DD85*VLOOKUP('Données projet'!$B$13,Paramètres!$A$1:$I$89,3,0)*0.475*44/12</f>
        <v>2.9079939273578486</v>
      </c>
      <c r="DH85" s="21">
        <f>EXP(-LN(2)/2)*DH84+(1-EXP(-LN(2)/2))/(LN(2)/2)*DB85*DE85*VLOOKUP('Données projet'!$B$13,Paramètres!$A$1:$I$89,3,0)*0.475*44/12</f>
        <v>2.7556134144161022E-7</v>
      </c>
      <c r="DI85" s="22">
        <f t="shared" si="69"/>
        <v>3.6727957179779551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9</v>
      </c>
      <c r="DO85" s="12">
        <f>IF('Données projet'!$A$166&gt;35,DO84+DN85-DW84,IF(A85&lt;'Données projet'!$A$166,$DL$205^A85,IF(A85='Données projet'!$A$166,'Données projet'!$B$166,DO84+DN85-DW84)))</f>
        <v>417.00000000000011</v>
      </c>
      <c r="DP85" s="17">
        <f>DO85*VLOOKUP('Données projet'!$B$14,Paramètres!$A$1:$I$89,3,0)*VLOOKUP('Données projet'!$B$14,Paramètres!$A$1:$I$89,5,0)</f>
        <v>249.36600000000007</v>
      </c>
      <c r="DQ85" s="13">
        <f t="shared" si="97"/>
        <v>60.450159237767835</v>
      </c>
      <c r="DR85" s="20">
        <f t="shared" si="70"/>
        <v>539.59647733911243</v>
      </c>
      <c r="DS85" s="59">
        <f t="shared" si="71"/>
        <v>832.92981067244568</v>
      </c>
      <c r="DT85" s="59">
        <f ca="1">AVERAGE(OFFSET($DS$3,0,0,'Données projet'!$E$14+1,1))-AVERAGE(OFFSET($H$3,0,0,'Données projet'!$E$14+1,1))</f>
        <v>221.14988592347311</v>
      </c>
      <c r="DU85" s="59">
        <f t="shared" si="98"/>
        <v>179.09262081171607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0.81578828272934945</v>
      </c>
      <c r="EB85" s="21">
        <f>EXP(-LN(2)/25)*EB84+(1-EXP(-LN(2)/25))/(LN(2)/25)*Calculateur!DW85*Calculateur!DY85*VLOOKUP('Données projet'!$B$14,Paramètres!$A$1:$I$89,3,0)*0.475*44/12</f>
        <v>2.4220259550100538</v>
      </c>
      <c r="EC85" s="21">
        <f>EXP(-LN(2)/2)*EC84+(1-EXP(-LN(2)/2))/(LN(2)/2)*DW85*DZ85*VLOOKUP('Données projet'!$B$14,Paramètres!$A$1:$I$89,3,0)*0.475*44/12</f>
        <v>2.9056903006016932E-7</v>
      </c>
      <c r="ED85" s="22">
        <f t="shared" si="72"/>
        <v>3.2378145283084336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2.2737367544323206E-13</v>
      </c>
      <c r="EK85" s="17">
        <f>EJ85*VLOOKUP('Données projet'!$B$15,Paramètres!$A$1:$I$89,3,0)*VLOOKUP('Données projet'!$B$15,Paramètres!$A$1:$I$89,5,0)</f>
        <v>1.2414602679200471E-13</v>
      </c>
      <c r="EL85" s="13">
        <f t="shared" si="99"/>
        <v>1.8186582995804361E-12</v>
      </c>
      <c r="EM85" s="20">
        <f t="shared" si="73"/>
        <v>3.3837175350986671E-12</v>
      </c>
      <c r="EN85" s="59">
        <f t="shared" si="74"/>
        <v>293.33333333333672</v>
      </c>
      <c r="EO85" s="59">
        <f ca="1">AVERAGE(OFFSET($EN$3,0,0,'Données projet'!$E$15+1,1))-AVERAGE(OFFSET($H$3,0,0,'Données projet'!$E$15+1,1))</f>
        <v>168.72306536277267</v>
      </c>
      <c r="EP85" s="59">
        <f t="shared" si="100"/>
        <v>203.35476578922339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1.0862398329820138</v>
      </c>
      <c r="EW85" s="21">
        <f>EXP(-LN(2)/25)*EW84+(1-EXP(-LN(2)/25))/(LN(2)/25)*Calculateur!ER85*Calculateur!ET85*VLOOKUP('Données projet'!$B$15,Paramètres!$A$1:$I$89,3,0)*0.475*44/12</f>
        <v>5.4362888485282364</v>
      </c>
      <c r="EX85" s="21">
        <f>EXP(-LN(2)/2)*EX84+(1-EXP(-LN(2)/2))/(LN(2)/2)*ER85*EU85*VLOOKUP('Données projet'!$B$15,Paramètres!$A$1:$I$89,3,0)*0.475*44/12</f>
        <v>2.9837856623663405E-7</v>
      </c>
      <c r="EY85" s="22">
        <f t="shared" si="75"/>
        <v>6.5225289798888166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3.4106051316484809E-13</v>
      </c>
      <c r="FF85" s="17">
        <f>FE85*VLOOKUP('Données projet'!$B$16,Paramètres!$A$1:$I$89,3,0)*VLOOKUP('Données projet'!$B$16,Paramètres!$A$1:$I$89,5,0)</f>
        <v>1.8621904018800707E-13</v>
      </c>
      <c r="FG85" s="13">
        <f t="shared" si="101"/>
        <v>2.6022279988572714E-12</v>
      </c>
      <c r="FH85" s="20">
        <f t="shared" si="76"/>
        <v>4.8565452596705266E-12</v>
      </c>
      <c r="FI85" s="59">
        <f t="shared" si="77"/>
        <v>293.33333333333815</v>
      </c>
      <c r="FJ85" s="59">
        <f ca="1">AVERAGE(OFFSET($FI$3,0,0,'Données projet'!$E$16+1,1))-AVERAGE(OFFSET($H$3,0,0,'Données projet'!$E$16+1,1))</f>
        <v>127.76128532861486</v>
      </c>
      <c r="FK85" s="59">
        <f t="shared" si="102"/>
        <v>157.52303491639736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>
        <f>EXP(-LN(2)/35)*FQ84+(1-EXP(-LN(2)/35))/(LN(2)/35)*FM85*FN85*VLOOKUP('Données projet'!$B$16,Paramètres!$A$1:$I$89,3,0)*0.475*44/12</f>
        <v>0.86899186638561121</v>
      </c>
      <c r="FR85" s="21">
        <f>EXP(-LN(2)/25)*FR84+(1-EXP(-LN(2)/25))/(LN(2)/25)*Calculateur!FM85*Calculateur!FO85*VLOOKUP('Données projet'!$B$16,Paramètres!$A$1:$I$89,3,0)*0.475*44/12</f>
        <v>3.8602154854480846</v>
      </c>
      <c r="FS85" s="21">
        <f>EXP(-LN(2)/2)*FS84+(1-EXP(-LN(2)/2))/(LN(2)/2)*FM85*FP85*VLOOKUP('Données projet'!$B$16,Paramètres!$A$1:$I$89,3,0)*0.475*44/12</f>
        <v>2.3688926401941799E-7</v>
      </c>
      <c r="FT85" s="22">
        <f t="shared" si="78"/>
        <v>4.7292075887229599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5.5042735042735051</v>
      </c>
      <c r="N86" s="13">
        <f>IF('Données projet'!$A$36&gt;35,N85+M86-V85,IF(A86&lt;'Données projet'!$A$36,$K$205^A86,IF(A86='Données projet'!$A$36,'Données projet'!$B$36,N85+M86-V85)))</f>
        <v>194.50213675213666</v>
      </c>
      <c r="O86" s="13">
        <f>N86*VLOOKUP('Données projet'!$B$9,Paramètres!$A$1:$I$89,3,0)*VLOOKUP('Données projet'!$B$9,Paramètres!$A$1:$I$89,5,0)</f>
        <v>175.98553333333325</v>
      </c>
      <c r="P86" s="13">
        <f t="shared" si="87"/>
        <v>44.427872246727624</v>
      </c>
      <c r="Q86" s="20">
        <f t="shared" si="54"/>
        <v>383.88668138527265</v>
      </c>
      <c r="R86" s="59">
        <f t="shared" si="55"/>
        <v>677.22001471860597</v>
      </c>
      <c r="S86" s="59">
        <f ca="1">AVERAGE(OFFSET($R$3,0,0,'Données projet'!$E$9+1,1))-AVERAGE(OFFSET($H$3,0,0,'Données projet'!$E$9+1,1))</f>
        <v>153.45079678708987</v>
      </c>
      <c r="T86" s="59">
        <f t="shared" si="88"/>
        <v>115.4217868409637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0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0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4.7037037037037051</v>
      </c>
      <c r="AI86" s="13">
        <f>IF('Données projet'!$A$62&gt;35,AI85+AH86-AQ85,IF(A86&lt;'Données projet'!$A$62,$AF$205^A86,IF(A86='Données projet'!$A$62,'Données projet'!$B$62,AI85+AH86-AQ85)))</f>
        <v>153.86965811965814</v>
      </c>
      <c r="AJ86" s="13">
        <f>AI86*VLOOKUP('Données projet'!$B$10,Paramètres!$A$1:$I$89,3,0)*VLOOKUP('Données projet'!$B$10,Paramètres!$A$1:$I$89,5,0)</f>
        <v>139.22126666666668</v>
      </c>
      <c r="AK86" s="13">
        <f t="shared" si="89"/>
        <v>36.11855075125537</v>
      </c>
      <c r="AL86" s="20">
        <f t="shared" si="58"/>
        <v>305.38351533621426</v>
      </c>
      <c r="AM86" s="59">
        <f t="shared" si="59"/>
        <v>598.71684866954752</v>
      </c>
      <c r="AN86" s="59">
        <f ca="1">AVERAGE(OFFSET($AM$3,0,0,'Données projet'!$E$10+1,1))-AVERAGE(OFFSET($H$3,0,0,'Données projet'!$E$10+1,1))</f>
        <v>123.92486590666675</v>
      </c>
      <c r="AO86" s="59">
        <f t="shared" si="90"/>
        <v>54.404493017418986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0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1.1368683772161603E-13</v>
      </c>
      <c r="BE86" s="13">
        <f>BD86*VLOOKUP('Données projet'!$B$11,Paramètres!$A$1:$I$89,3,0)*VLOOKUP('Données projet'!$B$11,Paramètres!$A$1:$I$89,5,0)</f>
        <v>6.3550942286383367E-14</v>
      </c>
      <c r="BF86" s="13">
        <f t="shared" si="91"/>
        <v>1.0064464192543978E-12</v>
      </c>
      <c r="BG86" s="20">
        <f t="shared" si="61"/>
        <v>1.8635787380168604E-12</v>
      </c>
      <c r="BH86" s="59">
        <f t="shared" si="62"/>
        <v>293.33333333333519</v>
      </c>
      <c r="BI86" s="59">
        <f ca="1">AVERAGE(OFFSET($BH$3,0,0,'Données projet'!$E$11+1,1))-AVERAGE(OFFSET($H$3,0,0,'Données projet'!$E$11+1,1))</f>
        <v>224.7049802939942</v>
      </c>
      <c r="BJ86" s="59">
        <f t="shared" si="92"/>
        <v>203.48513862195352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0.78106179072842086</v>
      </c>
      <c r="BQ86" s="21">
        <f>EXP(-LN(2)/25)*BQ85+(1-EXP(-LN(2)/25))/(LN(2)/25)*Calculateur!BL86*Calculateur!BN86*VLOOKUP('Données projet'!$B$11,Paramètres!$A$1:$I$89,3,0)*0.475*44/12</f>
        <v>4.4915572810319278</v>
      </c>
      <c r="BR86" s="21">
        <f>EXP(-LN(2)/2)*BR85+(1-EXP(-LN(2)/2))/(LN(2)/2)*BL86*BO86*VLOOKUP('Données projet'!$B$11,Paramètres!$A$1:$I$89,3,0)*0.475*44/12</f>
        <v>9.4415395360348944E-8</v>
      </c>
      <c r="BS86" s="22">
        <f t="shared" si="63"/>
        <v>5.272619166175744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7.073076923076921</v>
      </c>
      <c r="BY86" s="12">
        <f>IF('Données projet'!$A$114&gt;35,BY85+BX86-CG85,IF(A86&lt;'Données projet'!$A$114,$BV$205^A86,IF(A86='Données projet'!$A$114,'Données projet'!$B$114,BY85+BX86-CG85)))</f>
        <v>390.08076923076925</v>
      </c>
      <c r="BZ86" s="13">
        <f>BY86*VLOOKUP('Données projet'!$B$12,Paramètres!$A$1:$I$89,3,0)*VLOOKUP('Données projet'!$B$12,Paramètres!$A$1:$I$89,5,0)</f>
        <v>218.05515</v>
      </c>
      <c r="CA86" s="13">
        <f t="shared" si="93"/>
        <v>53.691963981909666</v>
      </c>
      <c r="CB86" s="20">
        <f t="shared" si="64"/>
        <v>473.29289018515925</v>
      </c>
      <c r="CC86" s="59">
        <f t="shared" si="65"/>
        <v>766.62622351849257</v>
      </c>
      <c r="CD86" s="59">
        <f ca="1">AVERAGE(OFFSET($CC$3,0,0,'Données projet'!$E$12+1,1))-AVERAGE(OFFSET($H$3,0,0,'Données projet'!$E$12+1,1))</f>
        <v>190.08613104982993</v>
      </c>
      <c r="CE86" s="59">
        <f t="shared" si="94"/>
        <v>180.55054525447781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0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10.8</v>
      </c>
      <c r="CT86" s="12">
        <f>IF('Données projet'!$A$140&gt;35,CT85+CS86-DB85,IF(A86&lt;'Données projet'!$A$140,$CQ$205^A86,IF(A86='Données projet'!$A$140,'Données projet'!$B$140,CT85+CS86-DB85)))</f>
        <v>491.4000000000002</v>
      </c>
      <c r="CU86" s="17">
        <f>CT86*VLOOKUP('Données projet'!$B$13,Paramètres!$A$1:$I$89,3,0)*VLOOKUP('Données projet'!$B$13,Paramètres!$A$1:$I$89,5,0)</f>
        <v>293.85720000000015</v>
      </c>
      <c r="CV86" s="13">
        <f t="shared" si="95"/>
        <v>69.887150190339838</v>
      </c>
      <c r="CW86" s="20">
        <f t="shared" si="67"/>
        <v>633.52140991484214</v>
      </c>
      <c r="CX86" s="59">
        <f t="shared" si="68"/>
        <v>926.85474324817551</v>
      </c>
      <c r="CY86" s="59">
        <f ca="1">AVERAGE(OFFSET($CX$3,0,0,'Données projet'!$E$13+1,1))-AVERAGE(OFFSET($H$3,0,0,'Données projet'!$E$13+1,1))</f>
        <v>270.30888762640245</v>
      </c>
      <c r="CZ86" s="59">
        <f t="shared" si="96"/>
        <v>202.23783851977691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0.74980422383132572</v>
      </c>
      <c r="DG86" s="21">
        <f>EXP(-LN(2)/25)*DG85+(1-EXP(-LN(2)/25))/(LN(2)/25)*Calculateur!DB86*Calculateur!DD86*VLOOKUP('Données projet'!$B$13,Paramètres!$A$1:$I$89,3,0)*0.475*44/12</f>
        <v>2.828474680489494</v>
      </c>
      <c r="DH86" s="21">
        <f>EXP(-LN(2)/2)*DH85+(1-EXP(-LN(2)/2))/(LN(2)/2)*DB86*DE86*VLOOKUP('Données projet'!$B$13,Paramètres!$A$1:$I$89,3,0)*0.475*44/12</f>
        <v>1.9485129316622419E-7</v>
      </c>
      <c r="DI86" s="22">
        <f t="shared" si="69"/>
        <v>3.578279099172113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9</v>
      </c>
      <c r="DO86" s="12">
        <f>IF('Données projet'!$A$166&gt;35,DO85+DN86-DW85,IF(A86&lt;'Données projet'!$A$166,$DL$205^A86,IF(A86='Données projet'!$A$166,'Données projet'!$B$166,DO85+DN86-DW85)))</f>
        <v>426.00000000000011</v>
      </c>
      <c r="DP86" s="17">
        <f>DO86*VLOOKUP('Données projet'!$B$14,Paramètres!$A$1:$I$89,3,0)*VLOOKUP('Données projet'!$B$14,Paramètres!$A$1:$I$89,5,0)</f>
        <v>254.7480000000001</v>
      </c>
      <c r="DQ86" s="13">
        <f t="shared" si="97"/>
        <v>61.601537647979256</v>
      </c>
      <c r="DR86" s="20">
        <f t="shared" si="70"/>
        <v>550.97544473689732</v>
      </c>
      <c r="DS86" s="59">
        <f t="shared" si="71"/>
        <v>844.30877807023057</v>
      </c>
      <c r="DT86" s="59">
        <f ca="1">AVERAGE(OFFSET($DS$3,0,0,'Données projet'!$E$14+1,1))-AVERAGE(OFFSET($H$3,0,0,'Données projet'!$E$14+1,1))</f>
        <v>221.14988592347311</v>
      </c>
      <c r="DU86" s="59">
        <f t="shared" si="98"/>
        <v>179.09262081171607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0.79979117208674722</v>
      </c>
      <c r="EB86" s="21">
        <f>EXP(-LN(2)/25)*EB85+(1-EXP(-LN(2)/25))/(LN(2)/25)*Calculateur!DW86*Calculateur!DY86*VLOOKUP('Données projet'!$B$14,Paramètres!$A$1:$I$89,3,0)*0.475*44/12</f>
        <v>2.3557955279014946</v>
      </c>
      <c r="EC86" s="21">
        <f>EXP(-LN(2)/2)*EC85+(1-EXP(-LN(2)/2))/(LN(2)/2)*DW86*DZ86*VLOOKUP('Données projet'!$B$14,Paramètres!$A$1:$I$89,3,0)*0.475*44/12</f>
        <v>2.054633315583435E-7</v>
      </c>
      <c r="ED86" s="22">
        <f t="shared" si="72"/>
        <v>3.1555869054515737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2.2737367544323206E-13</v>
      </c>
      <c r="EK86" s="17">
        <f>EJ86*VLOOKUP('Données projet'!$B$15,Paramètres!$A$1:$I$89,3,0)*VLOOKUP('Données projet'!$B$15,Paramètres!$A$1:$I$89,5,0)</f>
        <v>1.2414602679200471E-13</v>
      </c>
      <c r="EL86" s="13">
        <f t="shared" si="99"/>
        <v>1.8186582995804361E-12</v>
      </c>
      <c r="EM86" s="20">
        <f t="shared" si="73"/>
        <v>3.3837175350986671E-12</v>
      </c>
      <c r="EN86" s="59">
        <f t="shared" si="74"/>
        <v>293.33333333333672</v>
      </c>
      <c r="EO86" s="59">
        <f ca="1">AVERAGE(OFFSET($EN$3,0,0,'Données projet'!$E$15+1,1))-AVERAGE(OFFSET($H$3,0,0,'Données projet'!$E$15+1,1))</f>
        <v>168.72306536277267</v>
      </c>
      <c r="EP86" s="59">
        <f t="shared" si="100"/>
        <v>203.35476578922339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1.0649393323981142</v>
      </c>
      <c r="EW86" s="21">
        <f>EXP(-LN(2)/25)*EW85+(1-EXP(-LN(2)/25))/(LN(2)/25)*Calculateur!ER86*Calculateur!ET86*VLOOKUP('Données projet'!$B$15,Paramètres!$A$1:$I$89,3,0)*0.475*44/12</f>
        <v>5.2876332440832261</v>
      </c>
      <c r="EX86" s="21">
        <f>EXP(-LN(2)/2)*EX85+(1-EXP(-LN(2)/2))/(LN(2)/2)*ER86*EU86*VLOOKUP('Données projet'!$B$15,Paramètres!$A$1:$I$89,3,0)*0.475*44/12</f>
        <v>2.1098550754664337E-7</v>
      </c>
      <c r="EY86" s="22">
        <f t="shared" si="75"/>
        <v>6.3525727874668476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3.4106051316484809E-13</v>
      </c>
      <c r="FF86" s="17">
        <f>FE86*VLOOKUP('Données projet'!$B$16,Paramètres!$A$1:$I$89,3,0)*VLOOKUP('Données projet'!$B$16,Paramètres!$A$1:$I$89,5,0)</f>
        <v>1.8621904018800707E-13</v>
      </c>
      <c r="FG86" s="13">
        <f t="shared" si="101"/>
        <v>2.6022279988572714E-12</v>
      </c>
      <c r="FH86" s="20">
        <f t="shared" si="76"/>
        <v>4.8565452596705266E-12</v>
      </c>
      <c r="FI86" s="59">
        <f t="shared" si="77"/>
        <v>293.33333333333815</v>
      </c>
      <c r="FJ86" s="59">
        <f ca="1">AVERAGE(OFFSET($FI$3,0,0,'Données projet'!$E$16+1,1))-AVERAGE(OFFSET($H$3,0,0,'Données projet'!$E$16+1,1))</f>
        <v>127.76128532861486</v>
      </c>
      <c r="FK86" s="59">
        <f t="shared" si="102"/>
        <v>157.52303491639736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>
        <f>EXP(-LN(2)/35)*FQ85+(1-EXP(-LN(2)/35))/(LN(2)/35)*FM86*FN86*VLOOKUP('Données projet'!$B$16,Paramètres!$A$1:$I$89,3,0)*0.475*44/12</f>
        <v>0.85195146591849147</v>
      </c>
      <c r="FR86" s="21">
        <f>EXP(-LN(2)/25)*FR85+(1-EXP(-LN(2)/25))/(LN(2)/25)*Calculateur!FM86*Calculateur!FO86*VLOOKUP('Données projet'!$B$16,Paramètres!$A$1:$I$89,3,0)*0.475*44/12</f>
        <v>3.7546576899985968</v>
      </c>
      <c r="FS86" s="21">
        <f>EXP(-LN(2)/2)*FS85+(1-EXP(-LN(2)/2))/(LN(2)/2)*FM86*FP86*VLOOKUP('Données projet'!$B$16,Paramètres!$A$1:$I$89,3,0)*0.475*44/12</f>
        <v>1.6750600497842089E-7</v>
      </c>
      <c r="FT86" s="22">
        <f t="shared" si="78"/>
        <v>4.6066093234230925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>
        <f>VLOOKUP(A87,'Données projet'!$A$35:$I$55,2,0)</f>
        <v>200.00641025641025</v>
      </c>
      <c r="L87" s="12">
        <f>VLOOKUP(A87,'Données projet'!$A$35:$I$55,9,0)</f>
        <v>5.5042735042735051</v>
      </c>
      <c r="M87" s="12">
        <f t="array" ref="M87">INDEX(L:L,MIN(IF(ISNUMBER(L87:L283),ROW(L87:L283),"")))</f>
        <v>5.5042735042735051</v>
      </c>
      <c r="N87" s="13">
        <f>IF('Données projet'!$A$36&gt;35,N86+M87-V86,IF(A87&lt;'Données projet'!$A$36,$K$205^A87,IF(A87='Données projet'!$A$36,'Données projet'!$B$36,N86+M87-V86)))</f>
        <v>200.00641025641016</v>
      </c>
      <c r="O87" s="13">
        <f>N87*VLOOKUP('Données projet'!$B$9,Paramètres!$A$1:$I$89,3,0)*VLOOKUP('Données projet'!$B$9,Paramètres!$A$1:$I$89,5,0)</f>
        <v>180.96579999999992</v>
      </c>
      <c r="P87" s="13">
        <f t="shared" si="87"/>
        <v>45.536991906907375</v>
      </c>
      <c r="Q87" s="20">
        <f t="shared" si="54"/>
        <v>394.49236257119691</v>
      </c>
      <c r="R87" s="59">
        <f t="shared" si="55"/>
        <v>687.82569590453022</v>
      </c>
      <c r="S87" s="59">
        <f ca="1">AVERAGE(OFFSET($R$3,0,0,'Données projet'!$E$9+1,1))-AVERAGE(OFFSET($H$3,0,0,'Données projet'!$E$9+1,1))</f>
        <v>153.45079678708987</v>
      </c>
      <c r="T87" s="59">
        <f t="shared" si="88"/>
        <v>115.4217868409637</v>
      </c>
      <c r="U87" s="15">
        <f>IF(ISNA(VLOOKUP(A87,'Données projet'!$A$35:$I$55,3,0)),0,VLOOKUP(A87,'Données projet'!$A$35:$I$55,3,0))</f>
        <v>6</v>
      </c>
      <c r="V87" s="15">
        <f>IF(ISNA(VLOOKUP(A87,'Données projet'!$A$35:$I$55,4,0)),0,VLOOKUP(A87,'Données projet'!$A$35:$I$55,4,0))</f>
        <v>35.083333333333329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0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0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4.7037037037037051</v>
      </c>
      <c r="AI87" s="13">
        <f>IF('Données projet'!$A$62&gt;35,AI86+AH87-AQ86,IF(A87&lt;'Données projet'!$A$62,$AF$205^A87,IF(A87='Données projet'!$A$62,'Données projet'!$B$62,AI86+AH87-AQ86)))</f>
        <v>158.57336182336184</v>
      </c>
      <c r="AJ87" s="13">
        <f>AI87*VLOOKUP('Données projet'!$B$10,Paramètres!$A$1:$I$89,3,0)*VLOOKUP('Données projet'!$B$10,Paramètres!$A$1:$I$89,5,0)</f>
        <v>143.4771777777778</v>
      </c>
      <c r="AK87" s="13">
        <f t="shared" si="89"/>
        <v>37.092437144926052</v>
      </c>
      <c r="AL87" s="20">
        <f t="shared" si="58"/>
        <v>314.49207932370922</v>
      </c>
      <c r="AM87" s="59">
        <f t="shared" si="59"/>
        <v>607.82541265704253</v>
      </c>
      <c r="AN87" s="59">
        <f ca="1">AVERAGE(OFFSET($AM$3,0,0,'Données projet'!$E$10+1,1))-AVERAGE(OFFSET($H$3,0,0,'Données projet'!$E$10+1,1))</f>
        <v>123.92486590666675</v>
      </c>
      <c r="AO87" s="59">
        <f t="shared" si="90"/>
        <v>54.404493017418986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0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1.1368683772161603E-13</v>
      </c>
      <c r="BE87" s="13">
        <f>BD87*VLOOKUP('Données projet'!$B$11,Paramètres!$A$1:$I$89,3,0)*VLOOKUP('Données projet'!$B$11,Paramètres!$A$1:$I$89,5,0)</f>
        <v>6.3550942286383367E-14</v>
      </c>
      <c r="BF87" s="13">
        <f t="shared" si="91"/>
        <v>1.0064464192543978E-12</v>
      </c>
      <c r="BG87" s="20">
        <f t="shared" si="61"/>
        <v>1.8635787380168604E-12</v>
      </c>
      <c r="BH87" s="59">
        <f t="shared" si="62"/>
        <v>293.33333333333519</v>
      </c>
      <c r="BI87" s="59">
        <f ca="1">AVERAGE(OFFSET($BH$3,0,0,'Données projet'!$E$11+1,1))-AVERAGE(OFFSET($H$3,0,0,'Données projet'!$E$11+1,1))</f>
        <v>224.7049802939942</v>
      </c>
      <c r="BJ87" s="59">
        <f t="shared" si="92"/>
        <v>203.48513862195352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0.76574564541288825</v>
      </c>
      <c r="BQ87" s="21">
        <f>EXP(-LN(2)/25)*BQ86+(1-EXP(-LN(2)/25))/(LN(2)/25)*Calculateur!BL87*Calculateur!BN87*VLOOKUP('Données projet'!$B$11,Paramètres!$A$1:$I$89,3,0)*0.475*44/12</f>
        <v>4.3687354109813779</v>
      </c>
      <c r="BR87" s="21">
        <f>EXP(-LN(2)/2)*BR86+(1-EXP(-LN(2)/2))/(LN(2)/2)*BL87*BO87*VLOOKUP('Données projet'!$B$11,Paramètres!$A$1:$I$89,3,0)*0.475*44/12</f>
        <v>6.6761766307711635E-8</v>
      </c>
      <c r="BS87" s="22">
        <f t="shared" si="63"/>
        <v>5.1344811231560321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>
        <f>VLOOKUP(A87,'Données projet'!$A$113:$I$133,2,0)</f>
        <v>397.15384615384613</v>
      </c>
      <c r="BW87" s="12">
        <f>VLOOKUP(A87,'Données projet'!$A$113:$I$133,9,0)</f>
        <v>7.073076923076921</v>
      </c>
      <c r="BX87" s="12">
        <f t="array" ref="BX87">INDEX(BW:BW,MIN(IF(ISNUMBER(BW87:BW283),ROW(BW87:BW283),"")))</f>
        <v>7.073076923076921</v>
      </c>
      <c r="BY87" s="12">
        <f>IF('Données projet'!$A$114&gt;35,BY86+BX87-CG86,IF(A87&lt;'Données projet'!$A$114,$BV$205^A87,IF(A87='Données projet'!$A$114,'Données projet'!$B$114,BY86+BX87-CG86)))</f>
        <v>397.15384615384619</v>
      </c>
      <c r="BZ87" s="13">
        <f>BY87*VLOOKUP('Données projet'!$B$12,Paramètres!$A$1:$I$89,3,0)*VLOOKUP('Données projet'!$B$12,Paramètres!$A$1:$I$89,5,0)</f>
        <v>222.00900000000001</v>
      </c>
      <c r="CA87" s="13">
        <f t="shared" si="93"/>
        <v>54.551300664182143</v>
      </c>
      <c r="CB87" s="20">
        <f t="shared" si="64"/>
        <v>481.67585699011721</v>
      </c>
      <c r="CC87" s="59">
        <f t="shared" si="65"/>
        <v>775.00919032345053</v>
      </c>
      <c r="CD87" s="59">
        <f ca="1">AVERAGE(OFFSET($CC$3,0,0,'Données projet'!$E$12+1,1))-AVERAGE(OFFSET($H$3,0,0,'Données projet'!$E$12+1,1))</f>
        <v>190.08613104982993</v>
      </c>
      <c r="CE87" s="59">
        <f t="shared" si="94"/>
        <v>180.55054525447781</v>
      </c>
      <c r="CF87" s="15">
        <f>IF(ISNA(VLOOKUP(A87,'Données projet'!$A$113:$I$133,3,0)),0,VLOOKUP(A87,'Données projet'!$A$113:$I$133,3,0))</f>
        <v>6</v>
      </c>
      <c r="CG87" s="15">
        <f>IF(ISNA(VLOOKUP(A87,'Données projet'!$A$113:$I$133,4,0)),0,VLOOKUP(A87,'Données projet'!$A$113:$I$133,4,0))</f>
        <v>56.592307692307685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0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10.8</v>
      </c>
      <c r="CT87" s="12">
        <f>IF('Données projet'!$A$140&gt;35,CT86+CS87-DB86,IF(A87&lt;'Données projet'!$A$140,$CQ$205^A87,IF(A87='Données projet'!$A$140,'Données projet'!$B$140,CT86+CS87-DB86)))</f>
        <v>502.20000000000022</v>
      </c>
      <c r="CU87" s="17">
        <f>CT87*VLOOKUP('Données projet'!$B$13,Paramètres!$A$1:$I$89,3,0)*VLOOKUP('Données projet'!$B$13,Paramètres!$A$1:$I$89,5,0)</f>
        <v>300.31560000000013</v>
      </c>
      <c r="CV87" s="13">
        <f t="shared" si="95"/>
        <v>71.242621308749136</v>
      </c>
      <c r="CW87" s="20">
        <f t="shared" si="67"/>
        <v>647.13056877940483</v>
      </c>
      <c r="CX87" s="59">
        <f t="shared" si="68"/>
        <v>940.4639021127382</v>
      </c>
      <c r="CY87" s="59">
        <f ca="1">AVERAGE(OFFSET($CX$3,0,0,'Données projet'!$E$13+1,1))-AVERAGE(OFFSET($H$3,0,0,'Données projet'!$E$13+1,1))</f>
        <v>270.30888762640245</v>
      </c>
      <c r="CZ87" s="59">
        <f t="shared" si="96"/>
        <v>202.23783851977691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0.73510102033741187</v>
      </c>
      <c r="DG87" s="21">
        <f>EXP(-LN(2)/25)*DG86+(1-EXP(-LN(2)/25))/(LN(2)/25)*Calculateur!DB87*Calculateur!DD87*VLOOKUP('Données projet'!$B$13,Paramètres!$A$1:$I$89,3,0)*0.475*44/12</f>
        <v>2.7511298916084899</v>
      </c>
      <c r="DH87" s="21">
        <f>EXP(-LN(2)/2)*DH86+(1-EXP(-LN(2)/2))/(LN(2)/2)*DB87*DE87*VLOOKUP('Données projet'!$B$13,Paramètres!$A$1:$I$89,3,0)*0.475*44/12</f>
        <v>1.3778067072080511E-7</v>
      </c>
      <c r="DI87" s="22">
        <f t="shared" si="69"/>
        <v>3.4862310497265727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9</v>
      </c>
      <c r="DO87" s="12">
        <f>IF('Données projet'!$A$166&gt;35,DO86+DN87-DW86,IF(A87&lt;'Données projet'!$A$166,$DL$205^A87,IF(A87='Données projet'!$A$166,'Données projet'!$B$166,DO86+DN87-DW86)))</f>
        <v>435.00000000000011</v>
      </c>
      <c r="DP87" s="17">
        <f>DO87*VLOOKUP('Données projet'!$B$14,Paramètres!$A$1:$I$89,3,0)*VLOOKUP('Données projet'!$B$14,Paramètres!$A$1:$I$89,5,0)</f>
        <v>260.13000000000005</v>
      </c>
      <c r="DQ87" s="13">
        <f t="shared" si="97"/>
        <v>62.750087896510983</v>
      </c>
      <c r="DR87" s="20">
        <f t="shared" si="70"/>
        <v>562.34948641975677</v>
      </c>
      <c r="DS87" s="59">
        <f t="shared" si="71"/>
        <v>855.68281975309014</v>
      </c>
      <c r="DT87" s="59">
        <f ca="1">AVERAGE(OFFSET($DS$3,0,0,'Données projet'!$E$14+1,1))-AVERAGE(OFFSET($H$3,0,0,'Données projet'!$E$14+1,1))</f>
        <v>221.14988592347311</v>
      </c>
      <c r="DU87" s="59">
        <f t="shared" si="98"/>
        <v>179.09262081171607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0.78410775502657237</v>
      </c>
      <c r="EB87" s="21">
        <f>EXP(-LN(2)/25)*EB86+(1-EXP(-LN(2)/25))/(LN(2)/25)*Calculateur!DW87*Calculateur!DY87*VLOOKUP('Données projet'!$B$14,Paramètres!$A$1:$I$89,3,0)*0.475*44/12</f>
        <v>2.2913761753051256</v>
      </c>
      <c r="EC87" s="21">
        <f>EXP(-LN(2)/2)*EC86+(1-EXP(-LN(2)/2))/(LN(2)/2)*DW87*DZ87*VLOOKUP('Données projet'!$B$14,Paramètres!$A$1:$I$89,3,0)*0.475*44/12</f>
        <v>1.4528451503008466E-7</v>
      </c>
      <c r="ED87" s="22">
        <f t="shared" si="72"/>
        <v>3.0754840756162132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2.2737367544323206E-13</v>
      </c>
      <c r="EK87" s="17">
        <f>EJ87*VLOOKUP('Données projet'!$B$15,Paramètres!$A$1:$I$89,3,0)*VLOOKUP('Données projet'!$B$15,Paramètres!$A$1:$I$89,5,0)</f>
        <v>1.2414602679200471E-13</v>
      </c>
      <c r="EL87" s="13">
        <f t="shared" si="99"/>
        <v>1.8186582995804361E-12</v>
      </c>
      <c r="EM87" s="20">
        <f t="shared" si="73"/>
        <v>3.3837175350986671E-12</v>
      </c>
      <c r="EN87" s="59">
        <f t="shared" si="74"/>
        <v>293.33333333333672</v>
      </c>
      <c r="EO87" s="59">
        <f ca="1">AVERAGE(OFFSET($EN$3,0,0,'Données projet'!$E$15+1,1))-AVERAGE(OFFSET($H$3,0,0,'Données projet'!$E$15+1,1))</f>
        <v>168.72306536277267</v>
      </c>
      <c r="EP87" s="59">
        <f t="shared" si="100"/>
        <v>203.35476578922339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1.0440565216386424</v>
      </c>
      <c r="EW87" s="21">
        <f>EXP(-LN(2)/25)*EW86+(1-EXP(-LN(2)/25))/(LN(2)/25)*Calculateur!ER87*Calculateur!ET87*VLOOKUP('Données projet'!$B$15,Paramètres!$A$1:$I$89,3,0)*0.475*44/12</f>
        <v>5.1430426349592233</v>
      </c>
      <c r="EX87" s="21">
        <f>EXP(-LN(2)/2)*EX86+(1-EXP(-LN(2)/2))/(LN(2)/2)*ER87*EU87*VLOOKUP('Données projet'!$B$15,Paramètres!$A$1:$I$89,3,0)*0.475*44/12</f>
        <v>1.4918928311831702E-7</v>
      </c>
      <c r="EY87" s="22">
        <f t="shared" si="75"/>
        <v>6.1870993057871484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3.4106051316484809E-13</v>
      </c>
      <c r="FF87" s="17">
        <f>FE87*VLOOKUP('Données projet'!$B$16,Paramètres!$A$1:$I$89,3,0)*VLOOKUP('Données projet'!$B$16,Paramètres!$A$1:$I$89,5,0)</f>
        <v>1.8621904018800707E-13</v>
      </c>
      <c r="FG87" s="13">
        <f t="shared" si="101"/>
        <v>2.6022279988572714E-12</v>
      </c>
      <c r="FH87" s="20">
        <f t="shared" si="76"/>
        <v>4.8565452596705266E-12</v>
      </c>
      <c r="FI87" s="59">
        <f t="shared" si="77"/>
        <v>293.33333333333815</v>
      </c>
      <c r="FJ87" s="59">
        <f ca="1">AVERAGE(OFFSET($FI$3,0,0,'Données projet'!$E$16+1,1))-AVERAGE(OFFSET($H$3,0,0,'Données projet'!$E$16+1,1))</f>
        <v>127.76128532861486</v>
      </c>
      <c r="FK87" s="59">
        <f t="shared" si="102"/>
        <v>157.52303491639736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>
        <f>EXP(-LN(2)/35)*FQ86+(1-EXP(-LN(2)/35))/(LN(2)/35)*FM87*FN87*VLOOKUP('Données projet'!$B$16,Paramètres!$A$1:$I$89,3,0)*0.475*44/12</f>
        <v>0.83524521731091395</v>
      </c>
      <c r="FR87" s="21">
        <f>EXP(-LN(2)/25)*FR86+(1-EXP(-LN(2)/25))/(LN(2)/25)*Calculateur!FM87*Calculateur!FO87*VLOOKUP('Données projet'!$B$16,Paramètres!$A$1:$I$89,3,0)*0.475*44/12</f>
        <v>3.6519863780167188</v>
      </c>
      <c r="FS87" s="21">
        <f>EXP(-LN(2)/2)*FS86+(1-EXP(-LN(2)/2))/(LN(2)/2)*FM87*FP87*VLOOKUP('Données projet'!$B$16,Paramètres!$A$1:$I$89,3,0)*0.475*44/12</f>
        <v>1.1844463200970901E-7</v>
      </c>
      <c r="FT87" s="22">
        <f t="shared" si="78"/>
        <v>4.4872317137722648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5.2606837606837598</v>
      </c>
      <c r="N88" s="13">
        <f>IF('Données projet'!$A$36&gt;35,N87+M88-V87,IF(A88&lt;'Données projet'!$A$36,$K$205^A88,IF(A88='Données projet'!$A$36,'Données projet'!$B$36,N87+M88-V87)))</f>
        <v>170.18376068376057</v>
      </c>
      <c r="O88" s="13">
        <f>N88*VLOOKUP('Données projet'!$B$9,Paramètres!$A$1:$I$89,3,0)*VLOOKUP('Données projet'!$B$9,Paramètres!$A$1:$I$89,5,0)</f>
        <v>153.98226666666656</v>
      </c>
      <c r="P88" s="13">
        <f t="shared" si="87"/>
        <v>39.482185325458943</v>
      </c>
      <c r="Q88" s="20">
        <f t="shared" si="54"/>
        <v>336.95058721961857</v>
      </c>
      <c r="R88" s="59">
        <f t="shared" si="55"/>
        <v>630.28392055295194</v>
      </c>
      <c r="S88" s="59">
        <f ca="1">AVERAGE(OFFSET($R$3,0,0,'Données projet'!$E$9+1,1))-AVERAGE(OFFSET($H$3,0,0,'Données projet'!$E$9+1,1))</f>
        <v>153.45079678708987</v>
      </c>
      <c r="T88" s="59">
        <f t="shared" si="88"/>
        <v>115.4217868409637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0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0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4.7037037037037051</v>
      </c>
      <c r="AI88" s="13">
        <f>IF('Données projet'!$A$62&gt;35,AI87+AH88-AQ87,IF(A88&lt;'Données projet'!$A$62,$AF$205^A88,IF(A88='Données projet'!$A$62,'Données projet'!$B$62,AI87+AH88-AQ87)))</f>
        <v>163.27706552706553</v>
      </c>
      <c r="AJ88" s="13">
        <f>AI88*VLOOKUP('Données projet'!$B$10,Paramètres!$A$1:$I$89,3,0)*VLOOKUP('Données projet'!$B$10,Paramètres!$A$1:$I$89,5,0)</f>
        <v>147.73308888888889</v>
      </c>
      <c r="AK88" s="13">
        <f t="shared" si="89"/>
        <v>38.062966249316268</v>
      </c>
      <c r="AL88" s="20">
        <f t="shared" si="58"/>
        <v>323.59479603237395</v>
      </c>
      <c r="AM88" s="59">
        <f t="shared" si="59"/>
        <v>616.92812936570726</v>
      </c>
      <c r="AN88" s="59">
        <f ca="1">AVERAGE(OFFSET($AM$3,0,0,'Données projet'!$E$10+1,1))-AVERAGE(OFFSET($H$3,0,0,'Données projet'!$E$10+1,1))</f>
        <v>123.92486590666675</v>
      </c>
      <c r="AO88" s="59">
        <f t="shared" si="90"/>
        <v>54.404493017418986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0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1.1368683772161603E-13</v>
      </c>
      <c r="BE88" s="13">
        <f>BD88*VLOOKUP('Données projet'!$B$11,Paramètres!$A$1:$I$89,3,0)*VLOOKUP('Données projet'!$B$11,Paramètres!$A$1:$I$89,5,0)</f>
        <v>6.3550942286383367E-14</v>
      </c>
      <c r="BF88" s="13">
        <f t="shared" si="91"/>
        <v>1.0064464192543978E-12</v>
      </c>
      <c r="BG88" s="20">
        <f t="shared" si="61"/>
        <v>1.8635787380168604E-12</v>
      </c>
      <c r="BH88" s="59">
        <f t="shared" si="62"/>
        <v>293.33333333333519</v>
      </c>
      <c r="BI88" s="59">
        <f ca="1">AVERAGE(OFFSET($BH$3,0,0,'Données projet'!$E$11+1,1))-AVERAGE(OFFSET($H$3,0,0,'Données projet'!$E$11+1,1))</f>
        <v>224.7049802939942</v>
      </c>
      <c r="BJ88" s="59">
        <f t="shared" si="92"/>
        <v>203.48513862195352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0.75072984036506696</v>
      </c>
      <c r="BQ88" s="21">
        <f>EXP(-LN(2)/25)*BQ87+(1-EXP(-LN(2)/25))/(LN(2)/25)*Calculateur!BL88*Calculateur!BN88*VLOOKUP('Données projet'!$B$11,Paramètres!$A$1:$I$89,3,0)*0.475*44/12</f>
        <v>4.2492721114262819</v>
      </c>
      <c r="BR88" s="21">
        <f>EXP(-LN(2)/2)*BR87+(1-EXP(-LN(2)/2))/(LN(2)/2)*BL88*BO88*VLOOKUP('Données projet'!$B$11,Paramètres!$A$1:$I$89,3,0)*0.475*44/12</f>
        <v>4.7207697680174472E-8</v>
      </c>
      <c r="BS88" s="22">
        <f t="shared" si="63"/>
        <v>5.0000019989990463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5.6987179487179462</v>
      </c>
      <c r="BY88" s="12">
        <f>IF('Données projet'!$A$114&gt;35,BY87+BX88-CG87,IF(A88&lt;'Données projet'!$A$114,$BV$205^A88,IF(A88='Données projet'!$A$114,'Données projet'!$B$114,BY87+BX88-CG87)))</f>
        <v>346.26025641025649</v>
      </c>
      <c r="BZ88" s="13">
        <f>BY88*VLOOKUP('Données projet'!$B$12,Paramètres!$A$1:$I$89,3,0)*VLOOKUP('Données projet'!$B$12,Paramètres!$A$1:$I$89,5,0)</f>
        <v>193.55948333333339</v>
      </c>
      <c r="CA88" s="13">
        <f t="shared" si="93"/>
        <v>48.326051967828313</v>
      </c>
      <c r="CB88" s="20">
        <f t="shared" si="64"/>
        <v>421.28397398285665</v>
      </c>
      <c r="CC88" s="59">
        <f t="shared" si="65"/>
        <v>714.61730731618991</v>
      </c>
      <c r="CD88" s="59">
        <f ca="1">AVERAGE(OFFSET($CC$3,0,0,'Données projet'!$E$12+1,1))-AVERAGE(OFFSET($H$3,0,0,'Données projet'!$E$12+1,1))</f>
        <v>190.08613104982993</v>
      </c>
      <c r="CE88" s="59">
        <f t="shared" si="94"/>
        <v>180.55054525447781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0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10.8</v>
      </c>
      <c r="CT88" s="12">
        <f>IF('Données projet'!$A$140&gt;35,CT87+CS88-DB87,IF(A88&lt;'Données projet'!$A$140,$CQ$205^A88,IF(A88='Données projet'!$A$140,'Données projet'!$B$140,CT87+CS88-DB87)))</f>
        <v>513.00000000000023</v>
      </c>
      <c r="CU88" s="17">
        <f>CT88*VLOOKUP('Données projet'!$B$13,Paramètres!$A$1:$I$89,3,0)*VLOOKUP('Données projet'!$B$13,Paramètres!$A$1:$I$89,5,0)</f>
        <v>306.77400000000017</v>
      </c>
      <c r="CV88" s="13">
        <f t="shared" si="95"/>
        <v>72.594703343999115</v>
      </c>
      <c r="CW88" s="20">
        <f t="shared" si="67"/>
        <v>660.73382499079878</v>
      </c>
      <c r="CX88" s="59">
        <f t="shared" si="68"/>
        <v>954.06715832413215</v>
      </c>
      <c r="CY88" s="59">
        <f ca="1">AVERAGE(OFFSET($CX$3,0,0,'Données projet'!$E$13+1,1))-AVERAGE(OFFSET($H$3,0,0,'Données projet'!$E$13+1,1))</f>
        <v>270.30888762640245</v>
      </c>
      <c r="CZ88" s="59">
        <f t="shared" si="96"/>
        <v>202.23783851977691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0.72068613769594503</v>
      </c>
      <c r="DG88" s="21">
        <f>EXP(-LN(2)/25)*DG87+(1-EXP(-LN(2)/25))/(LN(2)/25)*Calculateur!DB88*Calculateur!DD88*VLOOKUP('Données projet'!$B$13,Paramètres!$A$1:$I$89,3,0)*0.475*44/12</f>
        <v>2.6759001000468223</v>
      </c>
      <c r="DH88" s="21">
        <f>EXP(-LN(2)/2)*DH87+(1-EXP(-LN(2)/2))/(LN(2)/2)*DB88*DE88*VLOOKUP('Données projet'!$B$13,Paramètres!$A$1:$I$89,3,0)*0.475*44/12</f>
        <v>9.7425646583112094E-8</v>
      </c>
      <c r="DI88" s="22">
        <f t="shared" si="69"/>
        <v>3.396586335168414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9</v>
      </c>
      <c r="DO88" s="12">
        <f>IF('Données projet'!$A$166&gt;35,DO87+DN88-DW87,IF(A88&lt;'Données projet'!$A$166,$DL$205^A88,IF(A88='Données projet'!$A$166,'Données projet'!$B$166,DO87+DN88-DW87)))</f>
        <v>444.00000000000011</v>
      </c>
      <c r="DP88" s="17">
        <f>DO88*VLOOKUP('Données projet'!$B$14,Paramètres!$A$1:$I$89,3,0)*VLOOKUP('Données projet'!$B$14,Paramètres!$A$1:$I$89,5,0)</f>
        <v>265.51200000000011</v>
      </c>
      <c r="DQ88" s="13">
        <f t="shared" si="97"/>
        <v>63.895875238848916</v>
      </c>
      <c r="DR88" s="20">
        <f t="shared" si="70"/>
        <v>573.71871604099533</v>
      </c>
      <c r="DS88" s="59">
        <f t="shared" si="71"/>
        <v>867.05204937432859</v>
      </c>
      <c r="DT88" s="59">
        <f ca="1">AVERAGE(OFFSET($DS$3,0,0,'Données projet'!$E$14+1,1))-AVERAGE(OFFSET($H$3,0,0,'Données projet'!$E$14+1,1))</f>
        <v>221.14988592347311</v>
      </c>
      <c r="DU88" s="59">
        <f t="shared" si="98"/>
        <v>179.09262081171607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0.76873188020900773</v>
      </c>
      <c r="EB88" s="21">
        <f>EXP(-LN(2)/25)*EB87+(1-EXP(-LN(2)/25))/(LN(2)/25)*Calculateur!DW88*Calculateur!DY88*VLOOKUP('Données projet'!$B$14,Paramètres!$A$1:$I$89,3,0)*0.475*44/12</f>
        <v>2.2287183732931708</v>
      </c>
      <c r="EC88" s="21">
        <f>EXP(-LN(2)/2)*EC87+(1-EXP(-LN(2)/2))/(LN(2)/2)*DW88*DZ88*VLOOKUP('Données projet'!$B$14,Paramètres!$A$1:$I$89,3,0)*0.475*44/12</f>
        <v>1.0273166577917175E-7</v>
      </c>
      <c r="ED88" s="22">
        <f t="shared" si="72"/>
        <v>2.9974503562338444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2.2737367544323206E-13</v>
      </c>
      <c r="EK88" s="17">
        <f>EJ88*VLOOKUP('Données projet'!$B$15,Paramètres!$A$1:$I$89,3,0)*VLOOKUP('Données projet'!$B$15,Paramètres!$A$1:$I$89,5,0)</f>
        <v>1.2414602679200471E-13</v>
      </c>
      <c r="EL88" s="13">
        <f t="shared" si="99"/>
        <v>1.8186582995804361E-12</v>
      </c>
      <c r="EM88" s="20">
        <f t="shared" si="73"/>
        <v>3.3837175350986671E-12</v>
      </c>
      <c r="EN88" s="59">
        <f t="shared" si="74"/>
        <v>293.33333333333672</v>
      </c>
      <c r="EO88" s="59">
        <f ca="1">AVERAGE(OFFSET($EN$3,0,0,'Données projet'!$E$15+1,1))-AVERAGE(OFFSET($H$3,0,0,'Données projet'!$E$15+1,1))</f>
        <v>168.72306536277267</v>
      </c>
      <c r="EP88" s="59">
        <f t="shared" si="100"/>
        <v>203.35476578922339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1.0235832100609068</v>
      </c>
      <c r="EW88" s="21">
        <f>EXP(-LN(2)/25)*EW87+(1-EXP(-LN(2)/25))/(LN(2)/25)*Calculateur!ER88*Calculateur!ET88*VLOOKUP('Données projet'!$B$15,Paramètres!$A$1:$I$89,3,0)*0.475*44/12</f>
        <v>5.0024058636454054</v>
      </c>
      <c r="EX88" s="21">
        <f>EXP(-LN(2)/2)*EX87+(1-EXP(-LN(2)/2))/(LN(2)/2)*ER88*EU88*VLOOKUP('Données projet'!$B$15,Paramètres!$A$1:$I$89,3,0)*0.475*44/12</f>
        <v>1.0549275377332169E-7</v>
      </c>
      <c r="EY88" s="22">
        <f t="shared" si="75"/>
        <v>6.0259891791990663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3.4106051316484809E-13</v>
      </c>
      <c r="FF88" s="17">
        <f>FE88*VLOOKUP('Données projet'!$B$16,Paramètres!$A$1:$I$89,3,0)*VLOOKUP('Données projet'!$B$16,Paramètres!$A$1:$I$89,5,0)</f>
        <v>1.8621904018800707E-13</v>
      </c>
      <c r="FG88" s="13">
        <f t="shared" si="101"/>
        <v>2.6022279988572714E-12</v>
      </c>
      <c r="FH88" s="20">
        <f t="shared" si="76"/>
        <v>4.8565452596705266E-12</v>
      </c>
      <c r="FI88" s="59">
        <f t="shared" si="77"/>
        <v>293.33333333333815</v>
      </c>
      <c r="FJ88" s="59">
        <f ca="1">AVERAGE(OFFSET($FI$3,0,0,'Données projet'!$E$16+1,1))-AVERAGE(OFFSET($H$3,0,0,'Données projet'!$E$16+1,1))</f>
        <v>127.76128532861486</v>
      </c>
      <c r="FK88" s="59">
        <f t="shared" si="102"/>
        <v>157.52303491639736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>
        <f>EXP(-LN(2)/35)*FQ87+(1-EXP(-LN(2)/35))/(LN(2)/35)*FM88*FN88*VLOOKUP('Données projet'!$B$16,Paramètres!$A$1:$I$89,3,0)*0.475*44/12</f>
        <v>0.8188665680487256</v>
      </c>
      <c r="FR88" s="21">
        <f>EXP(-LN(2)/25)*FR87+(1-EXP(-LN(2)/25))/(LN(2)/25)*Calculateur!FM88*Calculateur!FO88*VLOOKUP('Données projet'!$B$16,Paramètres!$A$1:$I$89,3,0)*0.475*44/12</f>
        <v>3.5521226184602348</v>
      </c>
      <c r="FS88" s="21">
        <f>EXP(-LN(2)/2)*FS87+(1-EXP(-LN(2)/2))/(LN(2)/2)*FM88*FP88*VLOOKUP('Données projet'!$B$16,Paramètres!$A$1:$I$89,3,0)*0.475*44/12</f>
        <v>8.3753002489210459E-8</v>
      </c>
      <c r="FT88" s="22">
        <f t="shared" si="78"/>
        <v>4.3709892702619628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5.2606837606837598</v>
      </c>
      <c r="N89" s="13">
        <f>IF('Données projet'!$A$36&gt;35,N88+M89-V88,IF(A89&lt;'Données projet'!$A$36,$K$205^A89,IF(A89='Données projet'!$A$36,'Données projet'!$B$36,N88+M89-V88)))</f>
        <v>175.44444444444431</v>
      </c>
      <c r="O89" s="13">
        <f>N89*VLOOKUP('Données projet'!$B$9,Paramètres!$A$1:$I$89,3,0)*VLOOKUP('Données projet'!$B$9,Paramètres!$A$1:$I$89,5,0)</f>
        <v>158.74213333333321</v>
      </c>
      <c r="P89" s="13">
        <f t="shared" si="87"/>
        <v>40.558669873865824</v>
      </c>
      <c r="Q89" s="20">
        <f t="shared" si="54"/>
        <v>347.11556558587159</v>
      </c>
      <c r="R89" s="59">
        <f t="shared" si="55"/>
        <v>640.44889891920491</v>
      </c>
      <c r="S89" s="59">
        <f ca="1">AVERAGE(OFFSET($R$3,0,0,'Données projet'!$E$9+1,1))-AVERAGE(OFFSET($H$3,0,0,'Données projet'!$E$9+1,1))</f>
        <v>153.45079678708987</v>
      </c>
      <c r="T89" s="59">
        <f t="shared" si="88"/>
        <v>115.4217868409637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0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0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>
        <f>VLOOKUP(A89,'Données projet'!$A$61:$I$81,2,0)</f>
        <v>167.98076923076923</v>
      </c>
      <c r="AG89" s="12">
        <f>VLOOKUP(A89,'Données projet'!$A$61:$I$81,9,0)</f>
        <v>4.7037037037037051</v>
      </c>
      <c r="AH89" s="12">
        <f t="array" ref="AH89">INDEX(AG:AG,MIN(IF(ISNUMBER(AG89:AG285),ROW(AG89:AG285),"")))</f>
        <v>4.7037037037037051</v>
      </c>
      <c r="AI89" s="13">
        <f>IF('Données projet'!$A$62&gt;35,AI88+AH89-AQ88,IF(A89&lt;'Données projet'!$A$62,$AF$205^A89,IF(A89='Données projet'!$A$62,'Données projet'!$B$62,AI88+AH89-AQ88)))</f>
        <v>167.98076923076923</v>
      </c>
      <c r="AJ89" s="13">
        <f>AI89*VLOOKUP('Données projet'!$B$10,Paramètres!$A$1:$I$89,3,0)*VLOOKUP('Données projet'!$B$10,Paramètres!$A$1:$I$89,5,0)</f>
        <v>151.98899999999998</v>
      </c>
      <c r="AK89" s="13">
        <f t="shared" si="89"/>
        <v>39.030245888857444</v>
      </c>
      <c r="AL89" s="20">
        <f t="shared" si="58"/>
        <v>332.69185325642667</v>
      </c>
      <c r="AM89" s="59">
        <f t="shared" si="59"/>
        <v>626.02518658975998</v>
      </c>
      <c r="AN89" s="59">
        <f ca="1">AVERAGE(OFFSET($AM$3,0,0,'Données projet'!$E$10+1,1))-AVERAGE(OFFSET($H$3,0,0,'Données projet'!$E$10+1,1))</f>
        <v>123.92486590666675</v>
      </c>
      <c r="AO89" s="59">
        <f t="shared" si="90"/>
        <v>54.404493017418986</v>
      </c>
      <c r="AP89" s="15">
        <f>IF(ISNA(VLOOKUP(A89,'Données projet'!$A$61:$I$81,3,0)),0,VLOOKUP(A89,'Données projet'!$A$61:$I$81,3,0))</f>
        <v>4</v>
      </c>
      <c r="AQ89" s="15">
        <f>IF(ISNA(VLOOKUP(A89,'Données projet'!$A$61:$I$81,4,0)),0,VLOOKUP(A89,'Données projet'!$A$61:$I$81,4,0))</f>
        <v>27.583333333333332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0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1.1368683772161603E-13</v>
      </c>
      <c r="BE89" s="13">
        <f>BD89*VLOOKUP('Données projet'!$B$11,Paramètres!$A$1:$I$89,3,0)*VLOOKUP('Données projet'!$B$11,Paramètres!$A$1:$I$89,5,0)</f>
        <v>6.3550942286383367E-14</v>
      </c>
      <c r="BF89" s="13">
        <f t="shared" si="91"/>
        <v>1.0064464192543978E-12</v>
      </c>
      <c r="BG89" s="20">
        <f t="shared" si="61"/>
        <v>1.8635787380168604E-12</v>
      </c>
      <c r="BH89" s="59">
        <f t="shared" si="62"/>
        <v>293.33333333333519</v>
      </c>
      <c r="BI89" s="59">
        <f ca="1">AVERAGE(OFFSET($BH$3,0,0,'Données projet'!$E$11+1,1))-AVERAGE(OFFSET($H$3,0,0,'Données projet'!$E$11+1,1))</f>
        <v>224.7049802939942</v>
      </c>
      <c r="BJ89" s="59">
        <f t="shared" si="92"/>
        <v>203.48513862195352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0.73600848609549674</v>
      </c>
      <c r="BQ89" s="21">
        <f>EXP(-LN(2)/25)*BQ88+(1-EXP(-LN(2)/25))/(LN(2)/25)*Calculateur!BL89*Calculateur!BN89*VLOOKUP('Données projet'!$B$11,Paramètres!$A$1:$I$89,3,0)*0.475*44/12</f>
        <v>4.1330755420798218</v>
      </c>
      <c r="BR89" s="21">
        <f>EXP(-LN(2)/2)*BR88+(1-EXP(-LN(2)/2))/(LN(2)/2)*BL89*BO89*VLOOKUP('Données projet'!$B$11,Paramètres!$A$1:$I$89,3,0)*0.475*44/12</f>
        <v>3.3380883153855818E-8</v>
      </c>
      <c r="BS89" s="22">
        <f t="shared" si="63"/>
        <v>4.8690840615562019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5.6987179487179462</v>
      </c>
      <c r="BY89" s="12">
        <f>IF('Données projet'!$A$114&gt;35,BY88+BX89-CG88,IF(A89&lt;'Données projet'!$A$114,$BV$205^A89,IF(A89='Données projet'!$A$114,'Données projet'!$B$114,BY88+BX89-CG88)))</f>
        <v>351.95897435897444</v>
      </c>
      <c r="BZ89" s="13">
        <f>BY89*VLOOKUP('Données projet'!$B$12,Paramètres!$A$1:$I$89,3,0)*VLOOKUP('Données projet'!$B$12,Paramètres!$A$1:$I$89,5,0)</f>
        <v>196.7450666666667</v>
      </c>
      <c r="CA89" s="13">
        <f t="shared" si="93"/>
        <v>49.028150200741912</v>
      </c>
      <c r="CB89" s="20">
        <f t="shared" si="64"/>
        <v>428.05501937740331</v>
      </c>
      <c r="CC89" s="59">
        <f t="shared" si="65"/>
        <v>721.38835271073663</v>
      </c>
      <c r="CD89" s="59">
        <f ca="1">AVERAGE(OFFSET($CC$3,0,0,'Données projet'!$E$12+1,1))-AVERAGE(OFFSET($H$3,0,0,'Données projet'!$E$12+1,1))</f>
        <v>190.08613104982993</v>
      </c>
      <c r="CE89" s="59">
        <f t="shared" si="94"/>
        <v>180.55054525447781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0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10.8</v>
      </c>
      <c r="CT89" s="12">
        <f>IF('Données projet'!$A$140&gt;35,CT88+CS89-DB88,IF(A89&lt;'Données projet'!$A$140,$CQ$205^A89,IF(A89='Données projet'!$A$140,'Données projet'!$B$140,CT88+CS89-DB88)))</f>
        <v>523.80000000000018</v>
      </c>
      <c r="CU89" s="17">
        <f>CT89*VLOOKUP('Données projet'!$B$13,Paramètres!$A$1:$I$89,3,0)*VLOOKUP('Données projet'!$B$13,Paramètres!$A$1:$I$89,5,0)</f>
        <v>313.23240000000015</v>
      </c>
      <c r="CV89" s="13">
        <f t="shared" si="95"/>
        <v>73.94347586459719</v>
      </c>
      <c r="CW89" s="20">
        <f t="shared" si="67"/>
        <v>674.33131713084038</v>
      </c>
      <c r="CX89" s="59">
        <f t="shared" si="68"/>
        <v>967.66465046417375</v>
      </c>
      <c r="CY89" s="59">
        <f ca="1">AVERAGE(OFFSET($CX$3,0,0,'Données projet'!$E$13+1,1))-AVERAGE(OFFSET($H$3,0,0,'Données projet'!$E$13+1,1))</f>
        <v>270.30888762640245</v>
      </c>
      <c r="CZ89" s="59">
        <f t="shared" si="96"/>
        <v>202.23783851977691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0.70655392211086709</v>
      </c>
      <c r="DG89" s="21">
        <f>EXP(-LN(2)/25)*DG88+(1-EXP(-LN(2)/25))/(LN(2)/25)*Calculateur!DB89*Calculateur!DD89*VLOOKUP('Données projet'!$B$13,Paramètres!$A$1:$I$89,3,0)*0.475*44/12</f>
        <v>2.6027274710915718</v>
      </c>
      <c r="DH89" s="21">
        <f>EXP(-LN(2)/2)*DH88+(1-EXP(-LN(2)/2))/(LN(2)/2)*DB89*DE89*VLOOKUP('Données projet'!$B$13,Paramètres!$A$1:$I$89,3,0)*0.475*44/12</f>
        <v>6.8890335360402554E-8</v>
      </c>
      <c r="DI89" s="22">
        <f t="shared" si="69"/>
        <v>3.3092814620927742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9</v>
      </c>
      <c r="DO89" s="12">
        <f>IF('Données projet'!$A$166&gt;35,DO88+DN89-DW88,IF(A89&lt;'Données projet'!$A$166,$DL$205^A89,IF(A89='Données projet'!$A$166,'Données projet'!$B$166,DO88+DN89-DW88)))</f>
        <v>453.00000000000011</v>
      </c>
      <c r="DP89" s="17">
        <f>DO89*VLOOKUP('Données projet'!$B$14,Paramètres!$A$1:$I$89,3,0)*VLOOKUP('Données projet'!$B$14,Paramètres!$A$1:$I$89,5,0)</f>
        <v>270.89400000000006</v>
      </c>
      <c r="DQ89" s="13">
        <f t="shared" si="97"/>
        <v>65.038962133743723</v>
      </c>
      <c r="DR89" s="20">
        <f t="shared" si="70"/>
        <v>585.0832423829371</v>
      </c>
      <c r="DS89" s="59">
        <f t="shared" si="71"/>
        <v>878.41657571627047</v>
      </c>
      <c r="DT89" s="59">
        <f ca="1">AVERAGE(OFFSET($DS$3,0,0,'Données projet'!$E$14+1,1))-AVERAGE(OFFSET($H$3,0,0,'Données projet'!$E$14+1,1))</f>
        <v>221.14988592347311</v>
      </c>
      <c r="DU89" s="59">
        <f t="shared" si="98"/>
        <v>179.09262081171607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0.753657516918258</v>
      </c>
      <c r="EB89" s="21">
        <f>EXP(-LN(2)/25)*EB88+(1-EXP(-LN(2)/25))/(LN(2)/25)*Calculateur!DW89*Calculateur!DY89*VLOOKUP('Données projet'!$B$14,Paramètres!$A$1:$I$89,3,0)*0.475*44/12</f>
        <v>2.1677739521722637</v>
      </c>
      <c r="EC89" s="21">
        <f>EXP(-LN(2)/2)*EC88+(1-EXP(-LN(2)/2))/(LN(2)/2)*DW89*DZ89*VLOOKUP('Données projet'!$B$14,Paramètres!$A$1:$I$89,3,0)*0.475*44/12</f>
        <v>7.264225751504233E-8</v>
      </c>
      <c r="ED89" s="22">
        <f t="shared" si="72"/>
        <v>2.9214315417327792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2.2737367544323206E-13</v>
      </c>
      <c r="EK89" s="17">
        <f>EJ89*VLOOKUP('Données projet'!$B$15,Paramètres!$A$1:$I$89,3,0)*VLOOKUP('Données projet'!$B$15,Paramètres!$A$1:$I$89,5,0)</f>
        <v>1.2414602679200471E-13</v>
      </c>
      <c r="EL89" s="13">
        <f t="shared" si="99"/>
        <v>1.8186582995804361E-12</v>
      </c>
      <c r="EM89" s="20">
        <f t="shared" si="73"/>
        <v>3.3837175350986671E-12</v>
      </c>
      <c r="EN89" s="59">
        <f t="shared" si="74"/>
        <v>293.33333333333672</v>
      </c>
      <c r="EO89" s="59">
        <f ca="1">AVERAGE(OFFSET($EN$3,0,0,'Données projet'!$E$15+1,1))-AVERAGE(OFFSET($H$3,0,0,'Données projet'!$E$15+1,1))</f>
        <v>168.72306536277267</v>
      </c>
      <c r="EP89" s="59">
        <f t="shared" si="100"/>
        <v>203.35476578922339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1.0035113676357237</v>
      </c>
      <c r="EW89" s="21">
        <f>EXP(-LN(2)/25)*EW88+(1-EXP(-LN(2)/25))/(LN(2)/25)*Calculateur!ER89*Calculateur!ET89*VLOOKUP('Données projet'!$B$15,Paramètres!$A$1:$I$89,3,0)*0.475*44/12</f>
        <v>4.8656148122389302</v>
      </c>
      <c r="EX89" s="21">
        <f>EXP(-LN(2)/2)*EX88+(1-EXP(-LN(2)/2))/(LN(2)/2)*ER89*EU89*VLOOKUP('Données projet'!$B$15,Paramètres!$A$1:$I$89,3,0)*0.475*44/12</f>
        <v>7.4594641559158512E-8</v>
      </c>
      <c r="EY89" s="22">
        <f t="shared" si="75"/>
        <v>5.869126254469295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3.4106051316484809E-13</v>
      </c>
      <c r="FF89" s="17">
        <f>FE89*VLOOKUP('Données projet'!$B$16,Paramètres!$A$1:$I$89,3,0)*VLOOKUP('Données projet'!$B$16,Paramètres!$A$1:$I$89,5,0)</f>
        <v>1.8621904018800707E-13</v>
      </c>
      <c r="FG89" s="13">
        <f t="shared" si="101"/>
        <v>2.6022279988572714E-12</v>
      </c>
      <c r="FH89" s="20">
        <f t="shared" si="76"/>
        <v>4.8565452596705266E-12</v>
      </c>
      <c r="FI89" s="59">
        <f t="shared" si="77"/>
        <v>293.33333333333815</v>
      </c>
      <c r="FJ89" s="59">
        <f ca="1">AVERAGE(OFFSET($FI$3,0,0,'Données projet'!$E$16+1,1))-AVERAGE(OFFSET($H$3,0,0,'Données projet'!$E$16+1,1))</f>
        <v>127.76128532861486</v>
      </c>
      <c r="FK89" s="59">
        <f t="shared" si="102"/>
        <v>157.52303491639736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>
        <f>EXP(-LN(2)/35)*FQ88+(1-EXP(-LN(2)/35))/(LN(2)/35)*FM89*FN89*VLOOKUP('Données projet'!$B$16,Paramètres!$A$1:$I$89,3,0)*0.475*44/12</f>
        <v>0.80280909410857904</v>
      </c>
      <c r="FR89" s="21">
        <f>EXP(-LN(2)/25)*FR88+(1-EXP(-LN(2)/25))/(LN(2)/25)*Calculateur!FM89*Calculateur!FO89*VLOOKUP('Données projet'!$B$16,Paramètres!$A$1:$I$89,3,0)*0.475*44/12</f>
        <v>3.4549896386604297</v>
      </c>
      <c r="FS89" s="21">
        <f>EXP(-LN(2)/2)*FS88+(1-EXP(-LN(2)/2))/(LN(2)/2)*FM89*FP89*VLOOKUP('Données projet'!$B$16,Paramètres!$A$1:$I$89,3,0)*0.475*44/12</f>
        <v>5.9222316004854512E-8</v>
      </c>
      <c r="FT89" s="22">
        <f t="shared" si="78"/>
        <v>4.2577987919913252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5.2606837606837598</v>
      </c>
      <c r="N90" s="13">
        <f>IF('Données projet'!$A$36&gt;35,N89+M90-V89,IF(A90&lt;'Données projet'!$A$36,$K$205^A90,IF(A90='Données projet'!$A$36,'Données projet'!$B$36,N89+M90-V89)))</f>
        <v>180.70512820512806</v>
      </c>
      <c r="O90" s="13">
        <f>N90*VLOOKUP('Données projet'!$B$9,Paramètres!$A$1:$I$89,3,0)*VLOOKUP('Données projet'!$B$9,Paramètres!$A$1:$I$89,5,0)</f>
        <v>163.50199999999987</v>
      </c>
      <c r="P90" s="13">
        <f t="shared" si="87"/>
        <v>41.631403185766587</v>
      </c>
      <c r="Q90" s="20">
        <f t="shared" si="54"/>
        <v>357.27401054854323</v>
      </c>
      <c r="R90" s="59">
        <f t="shared" si="55"/>
        <v>650.60734388187655</v>
      </c>
      <c r="S90" s="59">
        <f ca="1">AVERAGE(OFFSET($R$3,0,0,'Données projet'!$E$9+1,1))-AVERAGE(OFFSET($H$3,0,0,'Données projet'!$E$9+1,1))</f>
        <v>153.45079678708987</v>
      </c>
      <c r="T90" s="59">
        <f t="shared" si="88"/>
        <v>115.4217868409637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0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0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4.6887464387464428</v>
      </c>
      <c r="AI90" s="13">
        <f>IF('Données projet'!$A$62&gt;35,AI89+AH90-AQ89,IF(A90&lt;'Données projet'!$A$62,$AF$205^A90,IF(A90='Données projet'!$A$62,'Données projet'!$B$62,AI89+AH90-AQ89)))</f>
        <v>145.08618233618233</v>
      </c>
      <c r="AJ90" s="13">
        <f>AI90*VLOOKUP('Données projet'!$B$10,Paramètres!$A$1:$I$89,3,0)*VLOOKUP('Données projet'!$B$10,Paramètres!$A$1:$I$89,5,0)</f>
        <v>131.27397777777779</v>
      </c>
      <c r="AK90" s="13">
        <f t="shared" si="89"/>
        <v>34.290570902034197</v>
      </c>
      <c r="AL90" s="20">
        <f t="shared" si="58"/>
        <v>288.35825561733924</v>
      </c>
      <c r="AM90" s="59">
        <f t="shared" si="59"/>
        <v>581.69158895067255</v>
      </c>
      <c r="AN90" s="59">
        <f ca="1">AVERAGE(OFFSET($AM$3,0,0,'Données projet'!$E$10+1,1))-AVERAGE(OFFSET($H$3,0,0,'Données projet'!$E$10+1,1))</f>
        <v>123.92486590666675</v>
      </c>
      <c r="AO90" s="59">
        <f t="shared" si="90"/>
        <v>54.404493017418986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0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1.1368683772161603E-13</v>
      </c>
      <c r="BE90" s="13">
        <f>BD90*VLOOKUP('Données projet'!$B$11,Paramètres!$A$1:$I$89,3,0)*VLOOKUP('Données projet'!$B$11,Paramètres!$A$1:$I$89,5,0)</f>
        <v>6.3550942286383367E-14</v>
      </c>
      <c r="BF90" s="13">
        <f t="shared" si="91"/>
        <v>1.0064464192543978E-12</v>
      </c>
      <c r="BG90" s="20">
        <f t="shared" si="61"/>
        <v>1.8635787380168604E-12</v>
      </c>
      <c r="BH90" s="59">
        <f t="shared" si="62"/>
        <v>293.33333333333519</v>
      </c>
      <c r="BI90" s="59">
        <f ca="1">AVERAGE(OFFSET($BH$3,0,0,'Données projet'!$E$11+1,1))-AVERAGE(OFFSET($H$3,0,0,'Données projet'!$E$11+1,1))</f>
        <v>224.7049802939942</v>
      </c>
      <c r="BJ90" s="59">
        <f t="shared" si="92"/>
        <v>203.48513862195352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0.72157580860401327</v>
      </c>
      <c r="BQ90" s="21">
        <f>EXP(-LN(2)/25)*BQ89+(1-EXP(-LN(2)/25))/(LN(2)/25)*Calculateur!BL90*Calculateur!BN90*VLOOKUP('Données projet'!$B$11,Paramètres!$A$1:$I$89,3,0)*0.475*44/12</f>
        <v>4.0200563740326523</v>
      </c>
      <c r="BR90" s="21">
        <f>EXP(-LN(2)/2)*BR89+(1-EXP(-LN(2)/2))/(LN(2)/2)*BL90*BO90*VLOOKUP('Données projet'!$B$11,Paramètres!$A$1:$I$89,3,0)*0.475*44/12</f>
        <v>2.3603848840087236E-8</v>
      </c>
      <c r="BS90" s="22">
        <f t="shared" si="63"/>
        <v>4.7416322062405145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5.6987179487179462</v>
      </c>
      <c r="BY90" s="12">
        <f>IF('Données projet'!$A$114&gt;35,BY89+BX90-CG89,IF(A90&lt;'Données projet'!$A$114,$BV$205^A90,IF(A90='Données projet'!$A$114,'Données projet'!$B$114,BY89+BX90-CG89)))</f>
        <v>357.6576923076924</v>
      </c>
      <c r="BZ90" s="13">
        <f>BY90*VLOOKUP('Données projet'!$B$12,Paramètres!$A$1:$I$89,3,0)*VLOOKUP('Données projet'!$B$12,Paramètres!$A$1:$I$89,5,0)</f>
        <v>199.93065000000004</v>
      </c>
      <c r="CA90" s="13">
        <f t="shared" si="93"/>
        <v>49.72892638678227</v>
      </c>
      <c r="CB90" s="20">
        <f t="shared" si="64"/>
        <v>434.82376220697915</v>
      </c>
      <c r="CC90" s="59">
        <f t="shared" si="65"/>
        <v>728.15709554031241</v>
      </c>
      <c r="CD90" s="59">
        <f ca="1">AVERAGE(OFFSET($CC$3,0,0,'Données projet'!$E$12+1,1))-AVERAGE(OFFSET($H$3,0,0,'Données projet'!$E$12+1,1))</f>
        <v>190.08613104982993</v>
      </c>
      <c r="CE90" s="59">
        <f t="shared" si="94"/>
        <v>180.55054525447781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0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10.8</v>
      </c>
      <c r="CT90" s="12">
        <f>IF('Données projet'!$A$140&gt;35,CT89+CS90-DB89,IF(A90&lt;'Données projet'!$A$140,$CQ$205^A90,IF(A90='Données projet'!$A$140,'Données projet'!$B$140,CT89+CS90-DB89)))</f>
        <v>534.60000000000014</v>
      </c>
      <c r="CU90" s="17">
        <f>CT90*VLOOKUP('Données projet'!$B$13,Paramètres!$A$1:$I$89,3,0)*VLOOKUP('Données projet'!$B$13,Paramètres!$A$1:$I$89,5,0)</f>
        <v>319.69080000000014</v>
      </c>
      <c r="CV90" s="13">
        <f t="shared" si="95"/>
        <v>75.289014970336254</v>
      </c>
      <c r="CW90" s="20">
        <f t="shared" si="67"/>
        <v>687.92317774000242</v>
      </c>
      <c r="CX90" s="59">
        <f t="shared" si="68"/>
        <v>981.25651107333579</v>
      </c>
      <c r="CY90" s="59">
        <f ca="1">AVERAGE(OFFSET($CX$3,0,0,'Données projet'!$E$13+1,1))-AVERAGE(OFFSET($H$3,0,0,'Données projet'!$E$13+1,1))</f>
        <v>270.30888762640245</v>
      </c>
      <c r="CZ90" s="59">
        <f t="shared" si="96"/>
        <v>202.23783851977691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0.69269883065361215</v>
      </c>
      <c r="DG90" s="21">
        <f>EXP(-LN(2)/25)*DG89+(1-EXP(-LN(2)/25))/(LN(2)/25)*Calculateur!DB90*Calculateur!DD90*VLOOKUP('Données projet'!$B$13,Paramètres!$A$1:$I$89,3,0)*0.475*44/12</f>
        <v>2.5315557515230838</v>
      </c>
      <c r="DH90" s="21">
        <f>EXP(-LN(2)/2)*DH89+(1-EXP(-LN(2)/2))/(LN(2)/2)*DB90*DE90*VLOOKUP('Données projet'!$B$13,Paramètres!$A$1:$I$89,3,0)*0.475*44/12</f>
        <v>4.8712823291556047E-8</v>
      </c>
      <c r="DI90" s="22">
        <f t="shared" si="69"/>
        <v>3.224254630889519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9</v>
      </c>
      <c r="DO90" s="12">
        <f>IF('Données projet'!$A$166&gt;35,DO89+DN90-DW89,IF(A90&lt;'Données projet'!$A$166,$DL$205^A90,IF(A90='Données projet'!$A$166,'Données projet'!$B$166,DO89+DN90-DW89)))</f>
        <v>462.00000000000011</v>
      </c>
      <c r="DP90" s="17">
        <f>DO90*VLOOKUP('Données projet'!$B$14,Paramètres!$A$1:$I$89,3,0)*VLOOKUP('Données projet'!$B$14,Paramètres!$A$1:$I$89,5,0)</f>
        <v>276.27600000000012</v>
      </c>
      <c r="DQ90" s="13">
        <f t="shared" si="97"/>
        <v>66.179408416217214</v>
      </c>
      <c r="DR90" s="20">
        <f t="shared" si="70"/>
        <v>596.44316965824521</v>
      </c>
      <c r="DS90" s="59">
        <f t="shared" si="71"/>
        <v>889.77650299157858</v>
      </c>
      <c r="DT90" s="59">
        <f ca="1">AVERAGE(OFFSET($DS$3,0,0,'Données projet'!$E$14+1,1))-AVERAGE(OFFSET($H$3,0,0,'Données projet'!$E$14+1,1))</f>
        <v>221.14988592347311</v>
      </c>
      <c r="DU90" s="59">
        <f t="shared" si="98"/>
        <v>179.09262081171607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0.73887875269718606</v>
      </c>
      <c r="EB90" s="21">
        <f>EXP(-LN(2)/25)*EB89+(1-EXP(-LN(2)/25))/(LN(2)/25)*Calculateur!DW90*Calculateur!DY90*VLOOKUP('Données projet'!$B$14,Paramètres!$A$1:$I$89,3,0)*0.475*44/12</f>
        <v>2.1084960594518356</v>
      </c>
      <c r="EC90" s="21">
        <f>EXP(-LN(2)/2)*EC89+(1-EXP(-LN(2)/2))/(LN(2)/2)*DW90*DZ90*VLOOKUP('Données projet'!$B$14,Paramètres!$A$1:$I$89,3,0)*0.475*44/12</f>
        <v>5.1365832889585875E-8</v>
      </c>
      <c r="ED90" s="22">
        <f t="shared" si="72"/>
        <v>2.8473748635148546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2.2737367544323206E-13</v>
      </c>
      <c r="EK90" s="17">
        <f>EJ90*VLOOKUP('Données projet'!$B$15,Paramètres!$A$1:$I$89,3,0)*VLOOKUP('Données projet'!$B$15,Paramètres!$A$1:$I$89,5,0)</f>
        <v>1.2414602679200471E-13</v>
      </c>
      <c r="EL90" s="13">
        <f t="shared" si="99"/>
        <v>1.8186582995804361E-12</v>
      </c>
      <c r="EM90" s="20">
        <f t="shared" si="73"/>
        <v>3.3837175350986671E-12</v>
      </c>
      <c r="EN90" s="59">
        <f t="shared" si="74"/>
        <v>293.33333333333672</v>
      </c>
      <c r="EO90" s="59">
        <f ca="1">AVERAGE(OFFSET($EN$3,0,0,'Données projet'!$E$15+1,1))-AVERAGE(OFFSET($H$3,0,0,'Données projet'!$E$15+1,1))</f>
        <v>168.72306536277267</v>
      </c>
      <c r="EP90" s="59">
        <f t="shared" si="100"/>
        <v>203.35476578922339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0.9838331217978834</v>
      </c>
      <c r="EW90" s="21">
        <f>EXP(-LN(2)/25)*EW89+(1-EXP(-LN(2)/25))/(LN(2)/25)*Calculateur!ER90*Calculateur!ET90*VLOOKUP('Données projet'!$B$15,Paramètres!$A$1:$I$89,3,0)*0.475*44/12</f>
        <v>4.732564319326694</v>
      </c>
      <c r="EX90" s="21">
        <f>EXP(-LN(2)/2)*EX89+(1-EXP(-LN(2)/2))/(LN(2)/2)*ER90*EU90*VLOOKUP('Données projet'!$B$15,Paramètres!$A$1:$I$89,3,0)*0.475*44/12</f>
        <v>5.2746376886660843E-8</v>
      </c>
      <c r="EY90" s="22">
        <f t="shared" si="75"/>
        <v>5.7163974938709545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3.4106051316484809E-13</v>
      </c>
      <c r="FF90" s="17">
        <f>FE90*VLOOKUP('Données projet'!$B$16,Paramètres!$A$1:$I$89,3,0)*VLOOKUP('Données projet'!$B$16,Paramètres!$A$1:$I$89,5,0)</f>
        <v>1.8621904018800707E-13</v>
      </c>
      <c r="FG90" s="13">
        <f t="shared" si="101"/>
        <v>2.6022279988572714E-12</v>
      </c>
      <c r="FH90" s="20">
        <f t="shared" si="76"/>
        <v>4.8565452596705266E-12</v>
      </c>
      <c r="FI90" s="59">
        <f t="shared" si="77"/>
        <v>293.33333333333815</v>
      </c>
      <c r="FJ90" s="59">
        <f ca="1">AVERAGE(OFFSET($FI$3,0,0,'Données projet'!$E$16+1,1))-AVERAGE(OFFSET($H$3,0,0,'Données projet'!$E$16+1,1))</f>
        <v>127.76128532861486</v>
      </c>
      <c r="FK90" s="59">
        <f t="shared" si="102"/>
        <v>157.52303491639736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>
        <f>EXP(-LN(2)/35)*FQ89+(1-EXP(-LN(2)/35))/(LN(2)/35)*FM90*FN90*VLOOKUP('Données projet'!$B$16,Paramètres!$A$1:$I$89,3,0)*0.475*44/12</f>
        <v>0.78706649743830681</v>
      </c>
      <c r="FR90" s="21">
        <f>EXP(-LN(2)/25)*FR89+(1-EXP(-LN(2)/25))/(LN(2)/25)*Calculateur!FM90*Calculateur!FO90*VLOOKUP('Données projet'!$B$16,Paramètres!$A$1:$I$89,3,0)*0.475*44/12</f>
        <v>3.3605127653012516</v>
      </c>
      <c r="FS90" s="21">
        <f>EXP(-LN(2)/2)*FS89+(1-EXP(-LN(2)/2))/(LN(2)/2)*FM90*FP90*VLOOKUP('Données projet'!$B$16,Paramètres!$A$1:$I$89,3,0)*0.475*44/12</f>
        <v>4.1876501244605236E-8</v>
      </c>
      <c r="FT90" s="22">
        <f t="shared" si="78"/>
        <v>4.1475793046160598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5.2606837606837598</v>
      </c>
      <c r="N91" s="13">
        <f>IF('Données projet'!$A$36&gt;35,N90+M91-V90,IF(A91&lt;'Données projet'!$A$36,$K$205^A91,IF(A91='Données projet'!$A$36,'Données projet'!$B$36,N90+M91-V90)))</f>
        <v>185.96581196581181</v>
      </c>
      <c r="O91" s="13">
        <f>N91*VLOOKUP('Données projet'!$B$9,Paramètres!$A$1:$I$89,3,0)*VLOOKUP('Données projet'!$B$9,Paramètres!$A$1:$I$89,5,0)</f>
        <v>168.26186666666652</v>
      </c>
      <c r="P91" s="13">
        <f t="shared" si="87"/>
        <v>42.700507007169499</v>
      </c>
      <c r="Q91" s="20">
        <f t="shared" si="54"/>
        <v>367.42613414859778</v>
      </c>
      <c r="R91" s="59">
        <f t="shared" si="55"/>
        <v>660.7594674819311</v>
      </c>
      <c r="S91" s="59">
        <f ca="1">AVERAGE(OFFSET($R$3,0,0,'Données projet'!$E$9+1,1))-AVERAGE(OFFSET($H$3,0,0,'Données projet'!$E$9+1,1))</f>
        <v>153.45079678708987</v>
      </c>
      <c r="T91" s="59">
        <f t="shared" si="88"/>
        <v>115.4217868409637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0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4.6887464387464428</v>
      </c>
      <c r="AI91" s="13">
        <f>IF('Données projet'!$A$62&gt;35,AI90+AH91-AQ90,IF(A91&lt;'Données projet'!$A$62,$AF$205^A91,IF(A91='Données projet'!$A$62,'Données projet'!$B$62,AI90+AH91-AQ90)))</f>
        <v>149.77492877492878</v>
      </c>
      <c r="AJ91" s="13">
        <f>AI91*VLOOKUP('Données projet'!$B$10,Paramètres!$A$1:$I$89,3,0)*VLOOKUP('Données projet'!$B$10,Paramètres!$A$1:$I$89,5,0)</f>
        <v>135.51635555555555</v>
      </c>
      <c r="AK91" s="13">
        <f t="shared" si="89"/>
        <v>35.267927801057589</v>
      </c>
      <c r="AL91" s="20">
        <f t="shared" si="58"/>
        <v>297.44929351276789</v>
      </c>
      <c r="AM91" s="59">
        <f t="shared" si="59"/>
        <v>590.78262684610127</v>
      </c>
      <c r="AN91" s="59">
        <f ca="1">AVERAGE(OFFSET($AM$3,0,0,'Données projet'!$E$10+1,1))-AVERAGE(OFFSET($H$3,0,0,'Données projet'!$E$10+1,1))</f>
        <v>123.92486590666675</v>
      </c>
      <c r="AO91" s="59">
        <f t="shared" si="90"/>
        <v>54.404493017418986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0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1.1368683772161603E-13</v>
      </c>
      <c r="BE91" s="13">
        <f>BD91*VLOOKUP('Données projet'!$B$11,Paramètres!$A$1:$I$89,3,0)*VLOOKUP('Données projet'!$B$11,Paramètres!$A$1:$I$89,5,0)</f>
        <v>6.3550942286383367E-14</v>
      </c>
      <c r="BF91" s="13">
        <f t="shared" si="91"/>
        <v>1.0064464192543978E-12</v>
      </c>
      <c r="BG91" s="20">
        <f t="shared" si="61"/>
        <v>1.8635787380168604E-12</v>
      </c>
      <c r="BH91" s="59">
        <f t="shared" si="62"/>
        <v>293.33333333333519</v>
      </c>
      <c r="BI91" s="59">
        <f ca="1">AVERAGE(OFFSET($BH$3,0,0,'Données projet'!$E$11+1,1))-AVERAGE(OFFSET($H$3,0,0,'Données projet'!$E$11+1,1))</f>
        <v>224.7049802939942</v>
      </c>
      <c r="BJ91" s="59">
        <f t="shared" si="92"/>
        <v>203.48513862195352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0.70742614711507379</v>
      </c>
      <c r="BQ91" s="21">
        <f>EXP(-LN(2)/25)*BQ90+(1-EXP(-LN(2)/25))/(LN(2)/25)*Calculateur!BL91*Calculateur!BN91*VLOOKUP('Données projet'!$B$11,Paramètres!$A$1:$I$89,3,0)*0.475*44/12</f>
        <v>3.9101277210791525</v>
      </c>
      <c r="BR91" s="21">
        <f>EXP(-LN(2)/2)*BR90+(1-EXP(-LN(2)/2))/(LN(2)/2)*BL91*BO91*VLOOKUP('Données projet'!$B$11,Paramètres!$A$1:$I$89,3,0)*0.475*44/12</f>
        <v>1.6690441576927909E-8</v>
      </c>
      <c r="BS91" s="22">
        <f t="shared" si="63"/>
        <v>4.6175538848846687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5.6987179487179462</v>
      </c>
      <c r="BY91" s="12">
        <f>IF('Données projet'!$A$114&gt;35,BY90+BX91-CG90,IF(A91&lt;'Données projet'!$A$114,$BV$205^A91,IF(A91='Données projet'!$A$114,'Données projet'!$B$114,BY90+BX91-CG90)))</f>
        <v>363.35641025641036</v>
      </c>
      <c r="BZ91" s="13">
        <f>BY91*VLOOKUP('Données projet'!$B$12,Paramètres!$A$1:$I$89,3,0)*VLOOKUP('Données projet'!$B$12,Paramètres!$A$1:$I$89,5,0)</f>
        <v>203.11623333333341</v>
      </c>
      <c r="CA91" s="13">
        <f t="shared" si="93"/>
        <v>50.428404022852121</v>
      </c>
      <c r="CB91" s="20">
        <f t="shared" si="64"/>
        <v>441.59024339535648</v>
      </c>
      <c r="CC91" s="59">
        <f t="shared" si="65"/>
        <v>734.9235767286898</v>
      </c>
      <c r="CD91" s="59">
        <f ca="1">AVERAGE(OFFSET($CC$3,0,0,'Données projet'!$E$12+1,1))-AVERAGE(OFFSET($H$3,0,0,'Données projet'!$E$12+1,1))</f>
        <v>190.08613104982993</v>
      </c>
      <c r="CE91" s="59">
        <f t="shared" si="94"/>
        <v>180.55054525447781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0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10.8</v>
      </c>
      <c r="CT91" s="12">
        <f>IF('Données projet'!$A$140&gt;35,CT90+CS91-DB90,IF(A91&lt;'Données projet'!$A$140,$CQ$205^A91,IF(A91='Données projet'!$A$140,'Données projet'!$B$140,CT90+CS91-DB90)))</f>
        <v>545.40000000000009</v>
      </c>
      <c r="CU91" s="17">
        <f>CT91*VLOOKUP('Données projet'!$B$13,Paramètres!$A$1:$I$89,3,0)*VLOOKUP('Données projet'!$B$13,Paramètres!$A$1:$I$89,5,0)</f>
        <v>326.14920000000006</v>
      </c>
      <c r="CV91" s="13">
        <f t="shared" si="95"/>
        <v>76.631393510479626</v>
      </c>
      <c r="CW91" s="20">
        <f t="shared" si="67"/>
        <v>701.50953369741865</v>
      </c>
      <c r="CX91" s="59">
        <f t="shared" si="68"/>
        <v>994.8428670307519</v>
      </c>
      <c r="CY91" s="59">
        <f ca="1">AVERAGE(OFFSET($CX$3,0,0,'Données projet'!$E$13+1,1))-AVERAGE(OFFSET($H$3,0,0,'Données projet'!$E$13+1,1))</f>
        <v>270.30888762640245</v>
      </c>
      <c r="CZ91" s="59">
        <f t="shared" si="96"/>
        <v>202.23783851977691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0.67911542908906264</v>
      </c>
      <c r="DG91" s="21">
        <f>EXP(-LN(2)/25)*DG90+(1-EXP(-LN(2)/25))/(LN(2)/25)*Calculateur!DB91*Calculateur!DD91*VLOOKUP('Données projet'!$B$13,Paramètres!$A$1:$I$89,3,0)*0.475*44/12</f>
        <v>2.4623302263689539</v>
      </c>
      <c r="DH91" s="21">
        <f>EXP(-LN(2)/2)*DH90+(1-EXP(-LN(2)/2))/(LN(2)/2)*DB91*DE91*VLOOKUP('Données projet'!$B$13,Paramètres!$A$1:$I$89,3,0)*0.475*44/12</f>
        <v>3.4445167680201277E-8</v>
      </c>
      <c r="DI91" s="22">
        <f t="shared" si="69"/>
        <v>3.1414456899031844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9</v>
      </c>
      <c r="DO91" s="12">
        <f>IF('Données projet'!$A$166&gt;35,DO90+DN91-DW90,IF(A91&lt;'Données projet'!$A$166,$DL$205^A91,IF(A91='Données projet'!$A$166,'Données projet'!$B$166,DO90+DN91-DW90)))</f>
        <v>471.00000000000011</v>
      </c>
      <c r="DP91" s="17">
        <f>DO91*VLOOKUP('Données projet'!$B$14,Paramètres!$A$1:$I$89,3,0)*VLOOKUP('Données projet'!$B$14,Paramètres!$A$1:$I$89,5,0)</f>
        <v>281.65800000000007</v>
      </c>
      <c r="DQ91" s="13">
        <f t="shared" si="97"/>
        <v>67.317271456706166</v>
      </c>
      <c r="DR91" s="20">
        <f t="shared" si="70"/>
        <v>607.7985977870967</v>
      </c>
      <c r="DS91" s="59">
        <f t="shared" si="71"/>
        <v>901.13193112042995</v>
      </c>
      <c r="DT91" s="59">
        <f ca="1">AVERAGE(OFFSET($DS$3,0,0,'Données projet'!$E$14+1,1))-AVERAGE(OFFSET($H$3,0,0,'Données projet'!$E$14+1,1))</f>
        <v>221.14988592347311</v>
      </c>
      <c r="DU91" s="59">
        <f t="shared" si="98"/>
        <v>179.09262081171607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0.72438979102833323</v>
      </c>
      <c r="EB91" s="21">
        <f>EXP(-LN(2)/25)*EB90+(1-EXP(-LN(2)/25))/(LN(2)/25)*Calculateur!DW91*Calculateur!DY91*VLOOKUP('Données projet'!$B$14,Paramètres!$A$1:$I$89,3,0)*0.475*44/12</f>
        <v>2.0508391238251362</v>
      </c>
      <c r="EC91" s="21">
        <f>EXP(-LN(2)/2)*EC90+(1-EXP(-LN(2)/2))/(LN(2)/2)*DW91*DZ91*VLOOKUP('Données projet'!$B$14,Paramètres!$A$1:$I$89,3,0)*0.475*44/12</f>
        <v>3.6321128757521165E-8</v>
      </c>
      <c r="ED91" s="22">
        <f t="shared" si="72"/>
        <v>2.7752289511745984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2.2737367544323206E-13</v>
      </c>
      <c r="EK91" s="17">
        <f>EJ91*VLOOKUP('Données projet'!$B$15,Paramètres!$A$1:$I$89,3,0)*VLOOKUP('Données projet'!$B$15,Paramètres!$A$1:$I$89,5,0)</f>
        <v>1.2414602679200471E-13</v>
      </c>
      <c r="EL91" s="13">
        <f t="shared" si="99"/>
        <v>1.8186582995804361E-12</v>
      </c>
      <c r="EM91" s="20">
        <f t="shared" si="73"/>
        <v>3.3837175350986671E-12</v>
      </c>
      <c r="EN91" s="59">
        <f t="shared" si="74"/>
        <v>293.33333333333672</v>
      </c>
      <c r="EO91" s="59">
        <f ca="1">AVERAGE(OFFSET($EN$3,0,0,'Données projet'!$E$15+1,1))-AVERAGE(OFFSET($H$3,0,0,'Données projet'!$E$15+1,1))</f>
        <v>168.72306536277267</v>
      </c>
      <c r="EP91" s="59">
        <f t="shared" si="100"/>
        <v>203.35476578922339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0.96454075435837838</v>
      </c>
      <c r="EW91" s="21">
        <f>EXP(-LN(2)/25)*EW90+(1-EXP(-LN(2)/25))/(LN(2)/25)*Calculateur!ER91*Calculateur!ET91*VLOOKUP('Données projet'!$B$15,Paramètres!$A$1:$I$89,3,0)*0.475*44/12</f>
        <v>4.6031520991399644</v>
      </c>
      <c r="EX91" s="21">
        <f>EXP(-LN(2)/2)*EX90+(1-EXP(-LN(2)/2))/(LN(2)/2)*ER91*EU91*VLOOKUP('Données projet'!$B$15,Paramètres!$A$1:$I$89,3,0)*0.475*44/12</f>
        <v>3.7297320779579256E-8</v>
      </c>
      <c r="EY91" s="22">
        <f t="shared" si="75"/>
        <v>5.567692890795664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3.4106051316484809E-13</v>
      </c>
      <c r="FF91" s="17">
        <f>FE91*VLOOKUP('Données projet'!$B$16,Paramètres!$A$1:$I$89,3,0)*VLOOKUP('Données projet'!$B$16,Paramètres!$A$1:$I$89,5,0)</f>
        <v>1.8621904018800707E-13</v>
      </c>
      <c r="FG91" s="13">
        <f t="shared" si="101"/>
        <v>2.6022279988572714E-12</v>
      </c>
      <c r="FH91" s="20">
        <f t="shared" si="76"/>
        <v>4.8565452596705266E-12</v>
      </c>
      <c r="FI91" s="59">
        <f t="shared" si="77"/>
        <v>293.33333333333815</v>
      </c>
      <c r="FJ91" s="59">
        <f ca="1">AVERAGE(OFFSET($FI$3,0,0,'Données projet'!$E$16+1,1))-AVERAGE(OFFSET($H$3,0,0,'Données projet'!$E$16+1,1))</f>
        <v>127.76128532861486</v>
      </c>
      <c r="FK91" s="59">
        <f t="shared" si="102"/>
        <v>157.52303491639736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>
        <f>EXP(-LN(2)/35)*FQ90+(1-EXP(-LN(2)/35))/(LN(2)/35)*FM91*FN91*VLOOKUP('Données projet'!$B$16,Paramètres!$A$1:$I$89,3,0)*0.475*44/12</f>
        <v>0.77163260348670271</v>
      </c>
      <c r="FR91" s="21">
        <f>EXP(-LN(2)/25)*FR90+(1-EXP(-LN(2)/25))/(LN(2)/25)*Calculateur!FM91*Calculateur!FO91*VLOOKUP('Données projet'!$B$16,Paramètres!$A$1:$I$89,3,0)*0.475*44/12</f>
        <v>3.2686193670124033</v>
      </c>
      <c r="FS91" s="21">
        <f>EXP(-LN(2)/2)*FS90+(1-EXP(-LN(2)/2))/(LN(2)/2)*FM91*FP91*VLOOKUP('Données projet'!$B$16,Paramètres!$A$1:$I$89,3,0)*0.475*44/12</f>
        <v>2.9611158002427263E-8</v>
      </c>
      <c r="FT91" s="22">
        <f t="shared" si="78"/>
        <v>4.0402520001102644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5.2606837606837598</v>
      </c>
      <c r="N92" s="13">
        <f>IF('Données projet'!$A$36&gt;35,N91+M92-V91,IF(A92&lt;'Données projet'!$A$36,$K$205^A92,IF(A92='Données projet'!$A$36,'Données projet'!$B$36,N91+M92-V91)))</f>
        <v>191.22649572649556</v>
      </c>
      <c r="O92" s="13">
        <f>N92*VLOOKUP('Données projet'!$B$9,Paramètres!$A$1:$I$89,3,0)*VLOOKUP('Données projet'!$B$9,Paramètres!$A$1:$I$89,5,0)</f>
        <v>173.02173333333317</v>
      </c>
      <c r="P92" s="13">
        <f t="shared" si="87"/>
        <v>43.766095804240145</v>
      </c>
      <c r="Q92" s="20">
        <f t="shared" si="54"/>
        <v>377.57213574794014</v>
      </c>
      <c r="R92" s="59">
        <f t="shared" si="55"/>
        <v>670.9054690812734</v>
      </c>
      <c r="S92" s="59">
        <f ca="1">AVERAGE(OFFSET($R$3,0,0,'Données projet'!$E$9+1,1))-AVERAGE(OFFSET($H$3,0,0,'Données projet'!$E$9+1,1))</f>
        <v>153.45079678708987</v>
      </c>
      <c r="T92" s="59">
        <f t="shared" si="88"/>
        <v>115.4217868409637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0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4.6887464387464428</v>
      </c>
      <c r="AI92" s="13">
        <f>IF('Données projet'!$A$62&gt;35,AI91+AH92-AQ91,IF(A92&lt;'Données projet'!$A$62,$AF$205^A92,IF(A92='Données projet'!$A$62,'Données projet'!$B$62,AI91+AH92-AQ91)))</f>
        <v>154.46367521367523</v>
      </c>
      <c r="AJ92" s="13">
        <f>AI92*VLOOKUP('Données projet'!$B$10,Paramètres!$A$1:$I$89,3,0)*VLOOKUP('Données projet'!$B$10,Paramètres!$A$1:$I$89,5,0)</f>
        <v>139.75873333333334</v>
      </c>
      <c r="AK92" s="13">
        <f t="shared" si="89"/>
        <v>36.241729142542923</v>
      </c>
      <c r="AL92" s="20">
        <f t="shared" si="58"/>
        <v>306.53413881215113</v>
      </c>
      <c r="AM92" s="59">
        <f t="shared" si="59"/>
        <v>599.8674721454845</v>
      </c>
      <c r="AN92" s="59">
        <f ca="1">AVERAGE(OFFSET($AM$3,0,0,'Données projet'!$E$10+1,1))-AVERAGE(OFFSET($H$3,0,0,'Données projet'!$E$10+1,1))</f>
        <v>123.92486590666675</v>
      </c>
      <c r="AO92" s="59">
        <f t="shared" si="90"/>
        <v>54.404493017418986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0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1.1368683772161603E-13</v>
      </c>
      <c r="BE92" s="13">
        <f>BD92*VLOOKUP('Données projet'!$B$11,Paramètres!$A$1:$I$89,3,0)*VLOOKUP('Données projet'!$B$11,Paramètres!$A$1:$I$89,5,0)</f>
        <v>6.3550942286383367E-14</v>
      </c>
      <c r="BF92" s="13">
        <f t="shared" si="91"/>
        <v>1.0064464192543978E-12</v>
      </c>
      <c r="BG92" s="20">
        <f t="shared" si="61"/>
        <v>1.8635787380168604E-12</v>
      </c>
      <c r="BH92" s="59">
        <f t="shared" si="62"/>
        <v>293.33333333333519</v>
      </c>
      <c r="BI92" s="59">
        <f ca="1">AVERAGE(OFFSET($BH$3,0,0,'Données projet'!$E$11+1,1))-AVERAGE(OFFSET($H$3,0,0,'Données projet'!$E$11+1,1))</f>
        <v>224.7049802939942</v>
      </c>
      <c r="BJ92" s="59">
        <f t="shared" si="92"/>
        <v>203.48513862195352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0.69355395185749114</v>
      </c>
      <c r="BQ92" s="21">
        <f>EXP(-LN(2)/25)*BQ91+(1-EXP(-LN(2)/25))/(LN(2)/25)*Calculateur!BL92*Calculateur!BN92*VLOOKUP('Données projet'!$B$11,Paramètres!$A$1:$I$89,3,0)*0.475*44/12</f>
        <v>3.8032050729215632</v>
      </c>
      <c r="BR92" s="21">
        <f>EXP(-LN(2)/2)*BR91+(1-EXP(-LN(2)/2))/(LN(2)/2)*BL92*BO92*VLOOKUP('Données projet'!$B$11,Paramètres!$A$1:$I$89,3,0)*0.475*44/12</f>
        <v>1.1801924420043618E-8</v>
      </c>
      <c r="BS92" s="22">
        <f t="shared" si="63"/>
        <v>4.4967590365809791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5.6987179487179462</v>
      </c>
      <c r="BY92" s="12">
        <f>IF('Données projet'!$A$114&gt;35,BY91+BX92-CG91,IF(A92&lt;'Données projet'!$A$114,$BV$205^A92,IF(A92='Données projet'!$A$114,'Données projet'!$B$114,BY91+BX92-CG91)))</f>
        <v>369.05512820512831</v>
      </c>
      <c r="BZ92" s="13">
        <f>BY92*VLOOKUP('Données projet'!$B$12,Paramètres!$A$1:$I$89,3,0)*VLOOKUP('Données projet'!$B$12,Paramètres!$A$1:$I$89,5,0)</f>
        <v>206.30181666666675</v>
      </c>
      <c r="CA92" s="13">
        <f t="shared" si="93"/>
        <v>51.126605826545855</v>
      </c>
      <c r="CB92" s="20">
        <f t="shared" si="64"/>
        <v>448.35450250901198</v>
      </c>
      <c r="CC92" s="59">
        <f t="shared" si="65"/>
        <v>741.68783584234529</v>
      </c>
      <c r="CD92" s="59">
        <f ca="1">AVERAGE(OFFSET($CC$3,0,0,'Données projet'!$E$12+1,1))-AVERAGE(OFFSET($H$3,0,0,'Données projet'!$E$12+1,1))</f>
        <v>190.08613104982993</v>
      </c>
      <c r="CE92" s="59">
        <f t="shared" si="94"/>
        <v>180.55054525447781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0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10.8</v>
      </c>
      <c r="CT92" s="12">
        <f>IF('Données projet'!$A$140&gt;35,CT91+CS92-DB91,IF(A92&lt;'Données projet'!$A$140,$CQ$205^A92,IF(A92='Données projet'!$A$140,'Données projet'!$B$140,CT91+CS92-DB91)))</f>
        <v>556.20000000000005</v>
      </c>
      <c r="CU92" s="17">
        <f>CT92*VLOOKUP('Données projet'!$B$13,Paramètres!$A$1:$I$89,3,0)*VLOOKUP('Données projet'!$B$13,Paramètres!$A$1:$I$89,5,0)</f>
        <v>332.60760000000005</v>
      </c>
      <c r="CV92" s="13">
        <f t="shared" si="95"/>
        <v>77.97068128417547</v>
      </c>
      <c r="CW92" s="20">
        <f t="shared" si="67"/>
        <v>715.09050656993907</v>
      </c>
      <c r="CX92" s="59">
        <f t="shared" si="68"/>
        <v>1008.4238399032724</v>
      </c>
      <c r="CY92" s="59">
        <f ca="1">AVERAGE(OFFSET($CX$3,0,0,'Données projet'!$E$13+1,1))-AVERAGE(OFFSET($H$3,0,0,'Données projet'!$E$13+1,1))</f>
        <v>270.30888762640245</v>
      </c>
      <c r="CZ92" s="59">
        <f t="shared" si="96"/>
        <v>202.23783851977691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0.66579838974413708</v>
      </c>
      <c r="DG92" s="21">
        <f>EXP(-LN(2)/25)*DG91+(1-EXP(-LN(2)/25))/(LN(2)/25)*Calculateur!DB92*Calculateur!DD92*VLOOKUP('Données projet'!$B$13,Paramètres!$A$1:$I$89,3,0)*0.475*44/12</f>
        <v>2.3949976768405761</v>
      </c>
      <c r="DH92" s="21">
        <f>EXP(-LN(2)/2)*DH91+(1-EXP(-LN(2)/2))/(LN(2)/2)*DB92*DE92*VLOOKUP('Données projet'!$B$13,Paramètres!$A$1:$I$89,3,0)*0.475*44/12</f>
        <v>2.4356411645778023E-8</v>
      </c>
      <c r="DI92" s="22">
        <f t="shared" si="69"/>
        <v>3.0607960909411247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9</v>
      </c>
      <c r="DO92" s="12">
        <f>IF('Données projet'!$A$166&gt;35,DO91+DN92-DW91,IF(A92&lt;'Données projet'!$A$166,$DL$205^A92,IF(A92='Données projet'!$A$166,'Données projet'!$B$166,DO91+DN92-DW91)))</f>
        <v>480.00000000000011</v>
      </c>
      <c r="DP92" s="17">
        <f>DO92*VLOOKUP('Données projet'!$B$14,Paramètres!$A$1:$I$89,3,0)*VLOOKUP('Données projet'!$B$14,Paramètres!$A$1:$I$89,5,0)</f>
        <v>287.04000000000008</v>
      </c>
      <c r="DQ92" s="13">
        <f t="shared" si="97"/>
        <v>68.452606307698659</v>
      </c>
      <c r="DR92" s="20">
        <f t="shared" si="70"/>
        <v>619.1496226525752</v>
      </c>
      <c r="DS92" s="59">
        <f t="shared" si="71"/>
        <v>912.48295598590857</v>
      </c>
      <c r="DT92" s="59">
        <f ca="1">AVERAGE(OFFSET($DS$3,0,0,'Données projet'!$E$14+1,1))-AVERAGE(OFFSET($H$3,0,0,'Données projet'!$E$14+1,1))</f>
        <v>221.14988592347311</v>
      </c>
      <c r="DU92" s="59">
        <f t="shared" si="98"/>
        <v>179.09262081171607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0.71018494906041263</v>
      </c>
      <c r="EB92" s="21">
        <f>EXP(-LN(2)/25)*EB91+(1-EXP(-LN(2)/25))/(LN(2)/25)*Calculateur!DW92*Calculateur!DY92*VLOOKUP('Données projet'!$B$14,Paramètres!$A$1:$I$89,3,0)*0.475*44/12</f>
        <v>1.9947588201351956</v>
      </c>
      <c r="EC92" s="21">
        <f>EXP(-LN(2)/2)*EC91+(1-EXP(-LN(2)/2))/(LN(2)/2)*DW92*DZ92*VLOOKUP('Données projet'!$B$14,Paramètres!$A$1:$I$89,3,0)*0.475*44/12</f>
        <v>2.5682916444792938E-8</v>
      </c>
      <c r="ED92" s="22">
        <f t="shared" si="72"/>
        <v>2.7049437948785244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2.2737367544323206E-13</v>
      </c>
      <c r="EK92" s="17">
        <f>EJ92*VLOOKUP('Données projet'!$B$15,Paramètres!$A$1:$I$89,3,0)*VLOOKUP('Données projet'!$B$15,Paramètres!$A$1:$I$89,5,0)</f>
        <v>1.2414602679200471E-13</v>
      </c>
      <c r="EL92" s="13">
        <f t="shared" si="99"/>
        <v>1.8186582995804361E-12</v>
      </c>
      <c r="EM92" s="20">
        <f t="shared" si="73"/>
        <v>3.3837175350986671E-12</v>
      </c>
      <c r="EN92" s="59">
        <f t="shared" si="74"/>
        <v>293.33333333333672</v>
      </c>
      <c r="EO92" s="59">
        <f ca="1">AVERAGE(OFFSET($EN$3,0,0,'Données projet'!$E$15+1,1))-AVERAGE(OFFSET($H$3,0,0,'Données projet'!$E$15+1,1))</f>
        <v>168.72306536277267</v>
      </c>
      <c r="EP92" s="59">
        <f t="shared" si="100"/>
        <v>203.35476578922339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0.94562669847717973</v>
      </c>
      <c r="EW92" s="21">
        <f>EXP(-LN(2)/25)*EW91+(1-EXP(-LN(2)/25))/(LN(2)/25)*Calculateur!ER92*Calculateur!ET92*VLOOKUP('Données projet'!$B$15,Paramètres!$A$1:$I$89,3,0)*0.475*44/12</f>
        <v>4.4772786629197334</v>
      </c>
      <c r="EX92" s="21">
        <f>EXP(-LN(2)/2)*EX91+(1-EXP(-LN(2)/2))/(LN(2)/2)*ER92*EU92*VLOOKUP('Données projet'!$B$15,Paramètres!$A$1:$I$89,3,0)*0.475*44/12</f>
        <v>2.6373188443330422E-8</v>
      </c>
      <c r="EY92" s="22">
        <f t="shared" si="75"/>
        <v>5.4229053877701014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3.4106051316484809E-13</v>
      </c>
      <c r="FF92" s="17">
        <f>FE92*VLOOKUP('Données projet'!$B$16,Paramètres!$A$1:$I$89,3,0)*VLOOKUP('Données projet'!$B$16,Paramètres!$A$1:$I$89,5,0)</f>
        <v>1.8621904018800707E-13</v>
      </c>
      <c r="FG92" s="13">
        <f t="shared" si="101"/>
        <v>2.6022279988572714E-12</v>
      </c>
      <c r="FH92" s="20">
        <f t="shared" si="76"/>
        <v>4.8565452596705266E-12</v>
      </c>
      <c r="FI92" s="59">
        <f t="shared" si="77"/>
        <v>293.33333333333815</v>
      </c>
      <c r="FJ92" s="59">
        <f ca="1">AVERAGE(OFFSET($FI$3,0,0,'Données projet'!$E$16+1,1))-AVERAGE(OFFSET($H$3,0,0,'Données projet'!$E$16+1,1))</f>
        <v>127.76128532861486</v>
      </c>
      <c r="FK92" s="59">
        <f t="shared" si="102"/>
        <v>157.52303491639736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>
        <f>EXP(-LN(2)/35)*FQ91+(1-EXP(-LN(2)/35))/(LN(2)/35)*FM92*FN92*VLOOKUP('Données projet'!$B$16,Paramètres!$A$1:$I$89,3,0)*0.475*44/12</f>
        <v>0.75650135878174385</v>
      </c>
      <c r="FR92" s="21">
        <f>EXP(-LN(2)/25)*FR91+(1-EXP(-LN(2)/25))/(LN(2)/25)*Calculateur!FM92*Calculateur!FO92*VLOOKUP('Données projet'!$B$16,Paramètres!$A$1:$I$89,3,0)*0.475*44/12</f>
        <v>3.1792387985322272</v>
      </c>
      <c r="FS92" s="21">
        <f>EXP(-LN(2)/2)*FS91+(1-EXP(-LN(2)/2))/(LN(2)/2)*FM92*FP92*VLOOKUP('Données projet'!$B$16,Paramètres!$A$1:$I$89,3,0)*0.475*44/12</f>
        <v>2.0938250622302621E-8</v>
      </c>
      <c r="FT92" s="22">
        <f t="shared" si="78"/>
        <v>3.9357401782522219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5.2606837606837598</v>
      </c>
      <c r="N93" s="13">
        <f>IF('Données projet'!$A$36&gt;35,N92+M93-V92,IF(A93&lt;'Données projet'!$A$36,$K$205^A93,IF(A93='Données projet'!$A$36,'Données projet'!$B$36,N92+M93-V92)))</f>
        <v>196.4871794871793</v>
      </c>
      <c r="O93" s="13">
        <f>N93*VLOOKUP('Données projet'!$B$9,Paramètres!$A$1:$I$89,3,0)*VLOOKUP('Données projet'!$B$9,Paramètres!$A$1:$I$89,5,0)</f>
        <v>177.78159999999983</v>
      </c>
      <c r="P93" s="13">
        <f t="shared" si="87"/>
        <v>44.828277386743572</v>
      </c>
      <c r="Q93" s="20">
        <f t="shared" si="54"/>
        <v>387.71220311524468</v>
      </c>
      <c r="R93" s="59">
        <f t="shared" si="55"/>
        <v>681.04553644857799</v>
      </c>
      <c r="S93" s="59">
        <f ca="1">AVERAGE(OFFSET($R$3,0,0,'Données projet'!$E$9+1,1))-AVERAGE(OFFSET($H$3,0,0,'Données projet'!$E$9+1,1))</f>
        <v>153.45079678708987</v>
      </c>
      <c r="T93" s="59">
        <f t="shared" si="88"/>
        <v>115.4217868409637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0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4.6887464387464428</v>
      </c>
      <c r="AI93" s="13">
        <f>IF('Données projet'!$A$62&gt;35,AI92+AH93-AQ92,IF(A93&lt;'Données projet'!$A$62,$AF$205^A93,IF(A93='Données projet'!$A$62,'Données projet'!$B$62,AI92+AH93-AQ92)))</f>
        <v>159.15242165242168</v>
      </c>
      <c r="AJ93" s="13">
        <f>AI93*VLOOKUP('Données projet'!$B$10,Paramètres!$A$1:$I$89,3,0)*VLOOKUP('Données projet'!$B$10,Paramètres!$A$1:$I$89,5,0)</f>
        <v>144.00111111111113</v>
      </c>
      <c r="AK93" s="13">
        <f t="shared" si="89"/>
        <v>37.212095243267377</v>
      </c>
      <c r="AL93" s="20">
        <f t="shared" si="58"/>
        <v>315.61300106720921</v>
      </c>
      <c r="AM93" s="59">
        <f t="shared" si="59"/>
        <v>608.94633440054258</v>
      </c>
      <c r="AN93" s="59">
        <f ca="1">AVERAGE(OFFSET($AM$3,0,0,'Données projet'!$E$10+1,1))-AVERAGE(OFFSET($H$3,0,0,'Données projet'!$E$10+1,1))</f>
        <v>123.92486590666675</v>
      </c>
      <c r="AO93" s="59">
        <f t="shared" si="90"/>
        <v>54.404493017418986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0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1.1368683772161603E-13</v>
      </c>
      <c r="BE93" s="13">
        <f>BD93*VLOOKUP('Données projet'!$B$11,Paramètres!$A$1:$I$89,3,0)*VLOOKUP('Données projet'!$B$11,Paramètres!$A$1:$I$89,5,0)</f>
        <v>6.3550942286383367E-14</v>
      </c>
      <c r="BF93" s="13">
        <f t="shared" si="91"/>
        <v>1.0064464192543978E-12</v>
      </c>
      <c r="BG93" s="20">
        <f t="shared" si="61"/>
        <v>1.8635787380168604E-12</v>
      </c>
      <c r="BH93" s="59">
        <f t="shared" si="62"/>
        <v>293.33333333333519</v>
      </c>
      <c r="BI93" s="59">
        <f ca="1">AVERAGE(OFFSET($BH$3,0,0,'Données projet'!$E$11+1,1))-AVERAGE(OFFSET($H$3,0,0,'Données projet'!$E$11+1,1))</f>
        <v>224.7049802939942</v>
      </c>
      <c r="BJ93" s="59">
        <f t="shared" si="92"/>
        <v>203.48513862195352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0.67995378188770605</v>
      </c>
      <c r="BQ93" s="21">
        <f>EXP(-LN(2)/25)*BQ92+(1-EXP(-LN(2)/25))/(LN(2)/25)*Calculateur!BL93*Calculateur!BN93*VLOOKUP('Données projet'!$B$11,Paramètres!$A$1:$I$89,3,0)*0.475*44/12</f>
        <v>3.6992062302006605</v>
      </c>
      <c r="BR93" s="21">
        <f>EXP(-LN(2)/2)*BR92+(1-EXP(-LN(2)/2))/(LN(2)/2)*BL93*BO93*VLOOKUP('Données projet'!$B$11,Paramètres!$A$1:$I$89,3,0)*0.475*44/12</f>
        <v>8.3452207884639544E-9</v>
      </c>
      <c r="BS93" s="22">
        <f t="shared" si="63"/>
        <v>4.379160020433587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5.6987179487179462</v>
      </c>
      <c r="BY93" s="12">
        <f>IF('Données projet'!$A$114&gt;35,BY92+BX93-CG92,IF(A93&lt;'Données projet'!$A$114,$BV$205^A93,IF(A93='Données projet'!$A$114,'Données projet'!$B$114,BY92+BX93-CG92)))</f>
        <v>374.75384615384627</v>
      </c>
      <c r="BZ93" s="13">
        <f>BY93*VLOOKUP('Données projet'!$B$12,Paramètres!$A$1:$I$89,3,0)*VLOOKUP('Données projet'!$B$12,Paramètres!$A$1:$I$89,5,0)</f>
        <v>209.48740000000006</v>
      </c>
      <c r="CA93" s="13">
        <f t="shared" si="93"/>
        <v>51.823553773622535</v>
      </c>
      <c r="CB93" s="20">
        <f t="shared" si="64"/>
        <v>455.11657782239268</v>
      </c>
      <c r="CC93" s="59">
        <f t="shared" si="65"/>
        <v>748.449911155726</v>
      </c>
      <c r="CD93" s="59">
        <f ca="1">AVERAGE(OFFSET($CC$3,0,0,'Données projet'!$E$12+1,1))-AVERAGE(OFFSET($H$3,0,0,'Données projet'!$E$12+1,1))</f>
        <v>190.08613104982993</v>
      </c>
      <c r="CE93" s="59">
        <f t="shared" si="94"/>
        <v>180.55054525447781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0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>
        <f>VLOOKUP(A93,'Données projet'!$A$139:$I$159,2,0)</f>
        <v>567</v>
      </c>
      <c r="CR93" s="12">
        <f>VLOOKUP(A93,'Données projet'!$A$139:$I$159,9,0)</f>
        <v>10.8</v>
      </c>
      <c r="CS93" s="12">
        <f t="array" ref="CS93">INDEX(CR:CR,MIN(IF(ISNUMBER(CR93:CR289),ROW(CR93:CR289),"")))</f>
        <v>10.8</v>
      </c>
      <c r="CT93" s="12">
        <f>IF('Données projet'!$A$140&gt;35,CT92+CS93-DB92,IF(A93&lt;'Données projet'!$A$140,$CQ$205^A93,IF(A93='Données projet'!$A$140,'Données projet'!$B$140,CT92+CS93-DB92)))</f>
        <v>567</v>
      </c>
      <c r="CU93" s="17">
        <f>CT93*VLOOKUP('Données projet'!$B$13,Paramètres!$A$1:$I$89,3,0)*VLOOKUP('Données projet'!$B$13,Paramètres!$A$1:$I$89,5,0)</f>
        <v>339.06600000000003</v>
      </c>
      <c r="CV93" s="13">
        <f t="shared" si="95"/>
        <v>79.30694522486489</v>
      </c>
      <c r="CW93" s="20">
        <f t="shared" si="67"/>
        <v>728.66621293330627</v>
      </c>
      <c r="CX93" s="59">
        <f t="shared" si="68"/>
        <v>1021.9995462666395</v>
      </c>
      <c r="CY93" s="59">
        <f ca="1">AVERAGE(OFFSET($CX$3,0,0,'Données projet'!$E$13+1,1))-AVERAGE(OFFSET($H$3,0,0,'Données projet'!$E$13+1,1))</f>
        <v>270.30888762640245</v>
      </c>
      <c r="CZ93" s="59">
        <f t="shared" si="96"/>
        <v>202.23783851977691</v>
      </c>
      <c r="DA93" s="15">
        <f>IF(ISNA(VLOOKUP(A93,'Données projet'!$A$139:$I$159,3,0)),0,VLOOKUP(A93,'Données projet'!$A$139:$I$159,3,0))</f>
        <v>8</v>
      </c>
      <c r="DB93" s="15">
        <f>IF(ISNA(VLOOKUP(A93,'Données projet'!$A$139:$I$159,4,0)),0,VLOOKUP(A93,'Données projet'!$A$139:$I$159,4,0))</f>
        <v>70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0.65274248941817359</v>
      </c>
      <c r="DG93" s="21">
        <f>EXP(-LN(2)/25)*DG92+(1-EXP(-LN(2)/25))/(LN(2)/25)*Calculateur!DB93*Calculateur!DD93*VLOOKUP('Données projet'!$B$13,Paramètres!$A$1:$I$89,3,0)*0.475*44/12</f>
        <v>2.3295063394199165</v>
      </c>
      <c r="DH93" s="21">
        <f>EXP(-LN(2)/2)*DH92+(1-EXP(-LN(2)/2))/(LN(2)/2)*DB93*DE93*VLOOKUP('Données projet'!$B$13,Paramètres!$A$1:$I$89,3,0)*0.475*44/12</f>
        <v>1.7222583840100639E-8</v>
      </c>
      <c r="DI93" s="22">
        <f t="shared" si="69"/>
        <v>2.9822488460606738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>
        <f>VLOOKUP(A93,'Données projet'!$A$165:$I$185,2,0)</f>
        <v>489</v>
      </c>
      <c r="DM93" s="12">
        <f>VLOOKUP(A93,'Données projet'!$A$165:$I$185,9,0)</f>
        <v>9</v>
      </c>
      <c r="DN93" s="12">
        <f t="array" ref="DN93">INDEX(DM:DM,MIN(IF(ISNUMBER(DM93:DM289),ROW(DM93:DM289),"")))</f>
        <v>9</v>
      </c>
      <c r="DO93" s="12">
        <f>IF('Données projet'!$A$166&gt;35,DO92+DN93-DW92,IF(A93&lt;'Données projet'!$A$166,$DL$205^A93,IF(A93='Données projet'!$A$166,'Données projet'!$B$166,DO92+DN93-DW92)))</f>
        <v>489.00000000000011</v>
      </c>
      <c r="DP93" s="17">
        <f>DO93*VLOOKUP('Données projet'!$B$14,Paramètres!$A$1:$I$89,3,0)*VLOOKUP('Données projet'!$B$14,Paramètres!$A$1:$I$89,5,0)</f>
        <v>292.42200000000008</v>
      </c>
      <c r="DQ93" s="13">
        <f t="shared" si="97"/>
        <v>69.585465839061428</v>
      </c>
      <c r="DR93" s="20">
        <f t="shared" si="70"/>
        <v>630.49633633636552</v>
      </c>
      <c r="DS93" s="59">
        <f t="shared" si="71"/>
        <v>923.82966966969889</v>
      </c>
      <c r="DT93" s="59">
        <f ca="1">AVERAGE(OFFSET($DS$3,0,0,'Données projet'!$E$14+1,1))-AVERAGE(OFFSET($H$3,0,0,'Données projet'!$E$14+1,1))</f>
        <v>221.14988592347311</v>
      </c>
      <c r="DU93" s="59">
        <f t="shared" si="98"/>
        <v>179.09262081171607</v>
      </c>
      <c r="DV93" s="15">
        <f>IF(ISNA(VLOOKUP(A93,'Données projet'!$A$165:$I$185,3,0)),0,VLOOKUP(A93,'Données projet'!$A$165:$I$185,3,0))</f>
        <v>7</v>
      </c>
      <c r="DW93" s="15">
        <f>IF(ISNA(VLOOKUP(A93,'Données projet'!$A$165:$I$185,4,0)),0,VLOOKUP(A93,'Données projet'!$A$165:$I$185,4,0))</f>
        <v>56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0.69625865537938492</v>
      </c>
      <c r="EB93" s="21">
        <f>EXP(-LN(2)/25)*EB92+(1-EXP(-LN(2)/25))/(LN(2)/25)*Calculateur!DW93*Calculateur!DY93*VLOOKUP('Données projet'!$B$14,Paramètres!$A$1:$I$89,3,0)*0.475*44/12</f>
        <v>1.9402120352987913</v>
      </c>
      <c r="EC93" s="21">
        <f>EXP(-LN(2)/2)*EC92+(1-EXP(-LN(2)/2))/(LN(2)/2)*DW93*DZ93*VLOOKUP('Données projet'!$B$14,Paramètres!$A$1:$I$89,3,0)*0.475*44/12</f>
        <v>1.8160564378760582E-8</v>
      </c>
      <c r="ED93" s="22">
        <f t="shared" si="72"/>
        <v>2.6364707088387402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2.2737367544323206E-13</v>
      </c>
      <c r="EK93" s="17">
        <f>EJ93*VLOOKUP('Données projet'!$B$15,Paramètres!$A$1:$I$89,3,0)*VLOOKUP('Données projet'!$B$15,Paramètres!$A$1:$I$89,5,0)</f>
        <v>1.2414602679200471E-13</v>
      </c>
      <c r="EL93" s="13">
        <f t="shared" si="99"/>
        <v>1.8186582995804361E-12</v>
      </c>
      <c r="EM93" s="20">
        <f t="shared" si="73"/>
        <v>3.3837175350986671E-12</v>
      </c>
      <c r="EN93" s="59">
        <f t="shared" si="74"/>
        <v>293.33333333333672</v>
      </c>
      <c r="EO93" s="59">
        <f ca="1">AVERAGE(OFFSET($EN$3,0,0,'Données projet'!$E$15+1,1))-AVERAGE(OFFSET($H$3,0,0,'Données projet'!$E$15+1,1))</f>
        <v>168.72306536277267</v>
      </c>
      <c r="EP93" s="59">
        <f t="shared" si="100"/>
        <v>203.35476578922339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0.92708353569537649</v>
      </c>
      <c r="EW93" s="21">
        <f>EXP(-LN(2)/25)*EW92+(1-EXP(-LN(2)/25))/(LN(2)/25)*Calculateur!ER93*Calculateur!ET93*VLOOKUP('Données projet'!$B$15,Paramètres!$A$1:$I$89,3,0)*0.475*44/12</f>
        <v>4.3548472424323412</v>
      </c>
      <c r="EX93" s="21">
        <f>EXP(-LN(2)/2)*EX92+(1-EXP(-LN(2)/2))/(LN(2)/2)*ER93*EU93*VLOOKUP('Données projet'!$B$15,Paramètres!$A$1:$I$89,3,0)*0.475*44/12</f>
        <v>1.8648660389789628E-8</v>
      </c>
      <c r="EY93" s="22">
        <f t="shared" si="75"/>
        <v>5.2819307967763782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3.4106051316484809E-13</v>
      </c>
      <c r="FF93" s="17">
        <f>FE93*VLOOKUP('Données projet'!$B$16,Paramètres!$A$1:$I$89,3,0)*VLOOKUP('Données projet'!$B$16,Paramètres!$A$1:$I$89,5,0)</f>
        <v>1.8621904018800707E-13</v>
      </c>
      <c r="FG93" s="13">
        <f t="shared" si="101"/>
        <v>2.6022279988572714E-12</v>
      </c>
      <c r="FH93" s="20">
        <f t="shared" si="76"/>
        <v>4.8565452596705266E-12</v>
      </c>
      <c r="FI93" s="59">
        <f t="shared" si="77"/>
        <v>293.33333333333815</v>
      </c>
      <c r="FJ93" s="59">
        <f ca="1">AVERAGE(OFFSET($FI$3,0,0,'Données projet'!$E$16+1,1))-AVERAGE(OFFSET($H$3,0,0,'Données projet'!$E$16+1,1))</f>
        <v>127.76128532861486</v>
      </c>
      <c r="FK93" s="59">
        <f t="shared" si="102"/>
        <v>157.52303491639736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>
        <f>EXP(-LN(2)/35)*FQ92+(1-EXP(-LN(2)/35))/(LN(2)/35)*FM93*FN93*VLOOKUP('Données projet'!$B$16,Paramètres!$A$1:$I$89,3,0)*0.475*44/12</f>
        <v>0.74166682855630128</v>
      </c>
      <c r="FR93" s="21">
        <f>EXP(-LN(2)/25)*FR92+(1-EXP(-LN(2)/25))/(LN(2)/25)*Calculateur!FM93*Calculateur!FO93*VLOOKUP('Données projet'!$B$16,Paramètres!$A$1:$I$89,3,0)*0.475*44/12</f>
        <v>3.0923023463974615</v>
      </c>
      <c r="FS93" s="21">
        <f>EXP(-LN(2)/2)*FS92+(1-EXP(-LN(2)/2))/(LN(2)/2)*FM93*FP93*VLOOKUP('Données projet'!$B$16,Paramètres!$A$1:$I$89,3,0)*0.475*44/12</f>
        <v>1.4805579001213633E-8</v>
      </c>
      <c r="FT93" s="22">
        <f t="shared" si="78"/>
        <v>3.8339691897593418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5.2606837606837598</v>
      </c>
      <c r="N94" s="13">
        <f>IF('Données projet'!$A$36&gt;35,N93+M94-V93,IF(A94&lt;'Données projet'!$A$36,$K$205^A94,IF(A94='Données projet'!$A$36,'Données projet'!$B$36,N93+M94-V93)))</f>
        <v>201.74786324786305</v>
      </c>
      <c r="O94" s="13">
        <f>N94*VLOOKUP('Données projet'!$B$9,Paramètres!$A$1:$I$89,3,0)*VLOOKUP('Données projet'!$B$9,Paramètres!$A$1:$I$89,5,0)</f>
        <v>182.54146666666648</v>
      </c>
      <c r="P94" s="13">
        <f t="shared" si="87"/>
        <v>45.887153462840786</v>
      </c>
      <c r="Q94" s="20">
        <f t="shared" si="54"/>
        <v>397.84651339222506</v>
      </c>
      <c r="R94" s="59">
        <f t="shared" si="55"/>
        <v>691.17984672555838</v>
      </c>
      <c r="S94" s="59">
        <f ca="1">AVERAGE(OFFSET($R$3,0,0,'Données projet'!$E$9+1,1))-AVERAGE(OFFSET($H$3,0,0,'Données projet'!$E$9+1,1))</f>
        <v>153.45079678708987</v>
      </c>
      <c r="T94" s="59">
        <f t="shared" si="88"/>
        <v>115.4217868409637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0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4.6887464387464428</v>
      </c>
      <c r="AI94" s="13">
        <f>IF('Données projet'!$A$62&gt;35,AI93+AH94-AQ93,IF(A94&lt;'Données projet'!$A$62,$AF$205^A94,IF(A94='Données projet'!$A$62,'Données projet'!$B$62,AI93+AH94-AQ93)))</f>
        <v>163.84116809116813</v>
      </c>
      <c r="AJ94" s="13">
        <f>AI94*VLOOKUP('Données projet'!$B$10,Paramètres!$A$1:$I$89,3,0)*VLOOKUP('Données projet'!$B$10,Paramètres!$A$1:$I$89,5,0)</f>
        <v>148.24348888888892</v>
      </c>
      <c r="AK94" s="13">
        <f t="shared" si="89"/>
        <v>38.179138927739963</v>
      </c>
      <c r="AL94" s="20">
        <f t="shared" si="58"/>
        <v>324.68607678062864</v>
      </c>
      <c r="AM94" s="59">
        <f t="shared" si="59"/>
        <v>618.01941011396195</v>
      </c>
      <c r="AN94" s="59">
        <f ca="1">AVERAGE(OFFSET($AM$3,0,0,'Données projet'!$E$10+1,1))-AVERAGE(OFFSET($H$3,0,0,'Données projet'!$E$10+1,1))</f>
        <v>123.92486590666675</v>
      </c>
      <c r="AO94" s="59">
        <f t="shared" si="90"/>
        <v>54.404493017418986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0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1.1368683772161603E-13</v>
      </c>
      <c r="BE94" s="13">
        <f>BD94*VLOOKUP('Données projet'!$B$11,Paramètres!$A$1:$I$89,3,0)*VLOOKUP('Données projet'!$B$11,Paramètres!$A$1:$I$89,5,0)</f>
        <v>6.3550942286383367E-14</v>
      </c>
      <c r="BF94" s="13">
        <f t="shared" si="91"/>
        <v>1.0064464192543978E-12</v>
      </c>
      <c r="BG94" s="20">
        <f t="shared" si="61"/>
        <v>1.8635787380168604E-12</v>
      </c>
      <c r="BH94" s="59">
        <f t="shared" si="62"/>
        <v>293.33333333333519</v>
      </c>
      <c r="BI94" s="59">
        <f ca="1">AVERAGE(OFFSET($BH$3,0,0,'Données projet'!$E$11+1,1))-AVERAGE(OFFSET($H$3,0,0,'Données projet'!$E$11+1,1))</f>
        <v>224.7049802939942</v>
      </c>
      <c r="BJ94" s="59">
        <f t="shared" si="92"/>
        <v>203.48513862195352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0.66662030295574382</v>
      </c>
      <c r="BQ94" s="21">
        <f>EXP(-LN(2)/25)*BQ93+(1-EXP(-LN(2)/25))/(LN(2)/25)*Calculateur!BL94*Calculateur!BN94*VLOOKUP('Données projet'!$B$11,Paramètres!$A$1:$I$89,3,0)*0.475*44/12</f>
        <v>3.5980512413030223</v>
      </c>
      <c r="BR94" s="21">
        <f>EXP(-LN(2)/2)*BR93+(1-EXP(-LN(2)/2))/(LN(2)/2)*BL94*BO94*VLOOKUP('Données projet'!$B$11,Paramètres!$A$1:$I$89,3,0)*0.475*44/12</f>
        <v>5.900962210021809E-9</v>
      </c>
      <c r="BS94" s="22">
        <f t="shared" si="63"/>
        <v>4.2646715501597283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5.6987179487179462</v>
      </c>
      <c r="BY94" s="12">
        <f>IF('Données projet'!$A$114&gt;35,BY93+BX94-CG93,IF(A94&lt;'Données projet'!$A$114,$BV$205^A94,IF(A94='Données projet'!$A$114,'Données projet'!$B$114,BY93+BX94-CG93)))</f>
        <v>380.45256410256422</v>
      </c>
      <c r="BZ94" s="13">
        <f>BY94*VLOOKUP('Données projet'!$B$12,Paramètres!$A$1:$I$89,3,0)*VLOOKUP('Données projet'!$B$12,Paramètres!$A$1:$I$89,5,0)</f>
        <v>212.67298333333341</v>
      </c>
      <c r="CA94" s="13">
        <f t="shared" si="93"/>
        <v>52.519269133136127</v>
      </c>
      <c r="CB94" s="20">
        <f t="shared" si="64"/>
        <v>461.8765063791011</v>
      </c>
      <c r="CC94" s="59">
        <f t="shared" si="65"/>
        <v>755.20983971243436</v>
      </c>
      <c r="CD94" s="59">
        <f ca="1">AVERAGE(OFFSET($CC$3,0,0,'Données projet'!$E$12+1,1))-AVERAGE(OFFSET($H$3,0,0,'Données projet'!$E$12+1,1))</f>
        <v>190.08613104982993</v>
      </c>
      <c r="CE94" s="59">
        <f t="shared" si="94"/>
        <v>180.55054525447781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0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497</v>
      </c>
      <c r="CU94" s="17">
        <f>CT94*VLOOKUP('Données projet'!$B$13,Paramètres!$A$1:$I$89,3,0)*VLOOKUP('Données projet'!$B$13,Paramètres!$A$1:$I$89,5,0)</f>
        <v>297.20600000000002</v>
      </c>
      <c r="CV94" s="13">
        <f t="shared" si="95"/>
        <v>70.590415164571112</v>
      </c>
      <c r="CW94" s="20">
        <f t="shared" si="67"/>
        <v>640.57875641162809</v>
      </c>
      <c r="CX94" s="59">
        <f t="shared" si="68"/>
        <v>933.91208974496135</v>
      </c>
      <c r="CY94" s="59">
        <f ca="1">AVERAGE(OFFSET($CX$3,0,0,'Données projet'!$E$13+1,1))-AVERAGE(OFFSET($H$3,0,0,'Données projet'!$E$13+1,1))</f>
        <v>270.30888762640245</v>
      </c>
      <c r="CZ94" s="59">
        <f t="shared" si="96"/>
        <v>202.23783851977691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0.63994260733428932</v>
      </c>
      <c r="DG94" s="21">
        <f>EXP(-LN(2)/25)*DG93+(1-EXP(-LN(2)/25))/(LN(2)/25)*Calculateur!DB94*Calculateur!DD94*VLOOKUP('Données projet'!$B$13,Paramètres!$A$1:$I$89,3,0)*0.475*44/12</f>
        <v>2.2658058660650648</v>
      </c>
      <c r="DH94" s="21">
        <f>EXP(-LN(2)/2)*DH93+(1-EXP(-LN(2)/2))/(LN(2)/2)*DB94*DE94*VLOOKUP('Données projet'!$B$13,Paramètres!$A$1:$I$89,3,0)*0.475*44/12</f>
        <v>1.2178205822889012E-8</v>
      </c>
      <c r="DI94" s="22">
        <f t="shared" si="69"/>
        <v>2.9057484855775604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433.00000000000011</v>
      </c>
      <c r="DP94" s="17">
        <f>DO94*VLOOKUP('Données projet'!$B$14,Paramètres!$A$1:$I$89,3,0)*VLOOKUP('Données projet'!$B$14,Paramètres!$A$1:$I$89,5,0)</f>
        <v>258.93400000000008</v>
      </c>
      <c r="DQ94" s="13">
        <f t="shared" si="97"/>
        <v>62.495095530116075</v>
      </c>
      <c r="DR94" s="20">
        <f t="shared" si="70"/>
        <v>559.82234138161891</v>
      </c>
      <c r="DS94" s="59">
        <f t="shared" si="71"/>
        <v>853.15567471495228</v>
      </c>
      <c r="DT94" s="59">
        <f ca="1">AVERAGE(OFFSET($DS$3,0,0,'Données projet'!$E$14+1,1))-AVERAGE(OFFSET($H$3,0,0,'Données projet'!$E$14+1,1))</f>
        <v>221.14988592347311</v>
      </c>
      <c r="DU94" s="59">
        <f t="shared" si="98"/>
        <v>179.09262081171607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0.68260544782324173</v>
      </c>
      <c r="EB94" s="21">
        <f>EXP(-LN(2)/25)*EB93+(1-EXP(-LN(2)/25))/(LN(2)/25)*Calculateur!DW94*Calculateur!DY94*VLOOKUP('Données projet'!$B$14,Paramètres!$A$1:$I$89,3,0)*0.475*44/12</f>
        <v>1.8871568351622292</v>
      </c>
      <c r="EC94" s="21">
        <f>EXP(-LN(2)/2)*EC93+(1-EXP(-LN(2)/2))/(LN(2)/2)*DW94*DZ94*VLOOKUP('Données projet'!$B$14,Paramètres!$A$1:$I$89,3,0)*0.475*44/12</f>
        <v>1.2841458222396469E-8</v>
      </c>
      <c r="ED94" s="22">
        <f t="shared" si="72"/>
        <v>2.5697622958269291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2.2737367544323206E-13</v>
      </c>
      <c r="EK94" s="17">
        <f>EJ94*VLOOKUP('Données projet'!$B$15,Paramètres!$A$1:$I$89,3,0)*VLOOKUP('Données projet'!$B$15,Paramètres!$A$1:$I$89,5,0)</f>
        <v>1.2414602679200471E-13</v>
      </c>
      <c r="EL94" s="13">
        <f t="shared" si="99"/>
        <v>1.8186582995804361E-12</v>
      </c>
      <c r="EM94" s="20">
        <f t="shared" si="73"/>
        <v>3.3837175350986671E-12</v>
      </c>
      <c r="EN94" s="59">
        <f t="shared" si="74"/>
        <v>293.33333333333672</v>
      </c>
      <c r="EO94" s="59">
        <f ca="1">AVERAGE(OFFSET($EN$3,0,0,'Données projet'!$E$15+1,1))-AVERAGE(OFFSET($H$3,0,0,'Données projet'!$E$15+1,1))</f>
        <v>168.72306536277267</v>
      </c>
      <c r="EP94" s="59">
        <f t="shared" si="100"/>
        <v>203.35476578922339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0.90890399302551184</v>
      </c>
      <c r="EW94" s="21">
        <f>EXP(-LN(2)/25)*EW93+(1-EXP(-LN(2)/25))/(LN(2)/25)*Calculateur!ER94*Calculateur!ET94*VLOOKUP('Données projet'!$B$15,Paramètres!$A$1:$I$89,3,0)*0.475*44/12</f>
        <v>4.2357637155765655</v>
      </c>
      <c r="EX94" s="21">
        <f>EXP(-LN(2)/2)*EX93+(1-EXP(-LN(2)/2))/(LN(2)/2)*ER94*EU94*VLOOKUP('Données projet'!$B$15,Paramètres!$A$1:$I$89,3,0)*0.475*44/12</f>
        <v>1.3186594221665211E-8</v>
      </c>
      <c r="EY94" s="22">
        <f t="shared" si="75"/>
        <v>5.1446677217886716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3.4106051316484809E-13</v>
      </c>
      <c r="FF94" s="17">
        <f>FE94*VLOOKUP('Données projet'!$B$16,Paramètres!$A$1:$I$89,3,0)*VLOOKUP('Données projet'!$B$16,Paramètres!$A$1:$I$89,5,0)</f>
        <v>1.8621904018800707E-13</v>
      </c>
      <c r="FG94" s="13">
        <f t="shared" si="101"/>
        <v>2.6022279988572714E-12</v>
      </c>
      <c r="FH94" s="20">
        <f t="shared" si="76"/>
        <v>4.8565452596705266E-12</v>
      </c>
      <c r="FI94" s="59">
        <f t="shared" si="77"/>
        <v>293.33333333333815</v>
      </c>
      <c r="FJ94" s="59">
        <f ca="1">AVERAGE(OFFSET($FI$3,0,0,'Données projet'!$E$16+1,1))-AVERAGE(OFFSET($H$3,0,0,'Données projet'!$E$16+1,1))</f>
        <v>127.76128532861486</v>
      </c>
      <c r="FK94" s="59">
        <f t="shared" si="102"/>
        <v>157.52303491639736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>
        <f>EXP(-LN(2)/35)*FQ93+(1-EXP(-LN(2)/35))/(LN(2)/35)*FM94*FN94*VLOOKUP('Données projet'!$B$16,Paramètres!$A$1:$I$89,3,0)*0.475*44/12</f>
        <v>0.72712319442040962</v>
      </c>
      <c r="FR94" s="21">
        <f>EXP(-LN(2)/25)*FR93+(1-EXP(-LN(2)/25))/(LN(2)/25)*Calculateur!FM94*Calculateur!FO94*VLOOKUP('Données projet'!$B$16,Paramètres!$A$1:$I$89,3,0)*0.475*44/12</f>
        <v>3.0077431761181099</v>
      </c>
      <c r="FS94" s="21">
        <f>EXP(-LN(2)/2)*FS93+(1-EXP(-LN(2)/2))/(LN(2)/2)*FM94*FP94*VLOOKUP('Données projet'!$B$16,Paramètres!$A$1:$I$89,3,0)*0.475*44/12</f>
        <v>1.0469125311151312E-8</v>
      </c>
      <c r="FT94" s="22">
        <f t="shared" si="78"/>
        <v>3.7348663810076448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5.2606837606837598</v>
      </c>
      <c r="N95" s="13">
        <f>IF('Données projet'!$A$36&gt;35,N94+M95-V94,IF(A95&lt;'Données projet'!$A$36,$K$205^A95,IF(A95='Données projet'!$A$36,'Données projet'!$B$36,N94+M95-V94)))</f>
        <v>207.0085470085468</v>
      </c>
      <c r="O95" s="13">
        <f>N95*VLOOKUP('Données projet'!$B$9,Paramètres!$A$1:$I$89,3,0)*VLOOKUP('Données projet'!$B$9,Paramètres!$A$1:$I$89,5,0)</f>
        <v>187.30133333333313</v>
      </c>
      <c r="P95" s="13">
        <f t="shared" si="87"/>
        <v>46.942820134391475</v>
      </c>
      <c r="Q95" s="20">
        <f t="shared" si="54"/>
        <v>407.97523395628696</v>
      </c>
      <c r="R95" s="59">
        <f t="shared" si="55"/>
        <v>701.30856728962021</v>
      </c>
      <c r="S95" s="59">
        <f ca="1">AVERAGE(OFFSET($R$3,0,0,'Données projet'!$E$9+1,1))-AVERAGE(OFFSET($H$3,0,0,'Données projet'!$E$9+1,1))</f>
        <v>153.45079678708987</v>
      </c>
      <c r="T95" s="59">
        <f t="shared" si="88"/>
        <v>115.4217868409637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0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4.6887464387464428</v>
      </c>
      <c r="AI95" s="13">
        <f>IF('Données projet'!$A$62&gt;35,AI94+AH95-AQ94,IF(A95&lt;'Données projet'!$A$62,$AF$205^A95,IF(A95='Données projet'!$A$62,'Données projet'!$B$62,AI94+AH95-AQ94)))</f>
        <v>168.52991452991458</v>
      </c>
      <c r="AJ95" s="13">
        <f>AI95*VLOOKUP('Données projet'!$B$10,Paramètres!$A$1:$I$89,3,0)*VLOOKUP('Données projet'!$B$10,Paramètres!$A$1:$I$89,5,0)</f>
        <v>152.48586666666671</v>
      </c>
      <c r="AK95" s="13">
        <f t="shared" si="89"/>
        <v>39.142966195649919</v>
      </c>
      <c r="AL95" s="20">
        <f t="shared" si="58"/>
        <v>333.75355056853476</v>
      </c>
      <c r="AM95" s="59">
        <f t="shared" si="59"/>
        <v>627.08688390186808</v>
      </c>
      <c r="AN95" s="59">
        <f ca="1">AVERAGE(OFFSET($AM$3,0,0,'Données projet'!$E$10+1,1))-AVERAGE(OFFSET($H$3,0,0,'Données projet'!$E$10+1,1))</f>
        <v>123.92486590666675</v>
      </c>
      <c r="AO95" s="59">
        <f t="shared" si="90"/>
        <v>54.404493017418986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0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1.1368683772161603E-13</v>
      </c>
      <c r="BE95" s="13">
        <f>BD95*VLOOKUP('Données projet'!$B$11,Paramètres!$A$1:$I$89,3,0)*VLOOKUP('Données projet'!$B$11,Paramètres!$A$1:$I$89,5,0)</f>
        <v>6.3550942286383367E-14</v>
      </c>
      <c r="BF95" s="13">
        <f t="shared" si="91"/>
        <v>1.0064464192543978E-12</v>
      </c>
      <c r="BG95" s="20">
        <f t="shared" si="61"/>
        <v>1.8635787380168604E-12</v>
      </c>
      <c r="BH95" s="59">
        <f t="shared" si="62"/>
        <v>293.33333333333519</v>
      </c>
      <c r="BI95" s="59">
        <f ca="1">AVERAGE(OFFSET($BH$3,0,0,'Données projet'!$E$11+1,1))-AVERAGE(OFFSET($H$3,0,0,'Données projet'!$E$11+1,1))</f>
        <v>224.7049802939942</v>
      </c>
      <c r="BJ95" s="59">
        <f t="shared" si="92"/>
        <v>203.48513862195352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0.65354828541301824</v>
      </c>
      <c r="BQ95" s="21">
        <f>EXP(-LN(2)/25)*BQ94+(1-EXP(-LN(2)/25))/(LN(2)/25)*Calculateur!BL95*Calculateur!BN95*VLOOKUP('Données projet'!$B$11,Paramètres!$A$1:$I$89,3,0)*0.475*44/12</f>
        <v>3.4996623408962999</v>
      </c>
      <c r="BR95" s="21">
        <f>EXP(-LN(2)/2)*BR94+(1-EXP(-LN(2)/2))/(LN(2)/2)*BL95*BO95*VLOOKUP('Données projet'!$B$11,Paramètres!$A$1:$I$89,3,0)*0.475*44/12</f>
        <v>4.1726103942319772E-9</v>
      </c>
      <c r="BS95" s="22">
        <f t="shared" si="63"/>
        <v>4.1532106304819285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5.6987179487179462</v>
      </c>
      <c r="BY95" s="12">
        <f>IF('Données projet'!$A$114&gt;35,BY94+BX95-CG94,IF(A95&lt;'Données projet'!$A$114,$BV$205^A95,IF(A95='Données projet'!$A$114,'Données projet'!$B$114,BY94+BX95-CG94)))</f>
        <v>386.15128205128218</v>
      </c>
      <c r="BZ95" s="13">
        <f>BY95*VLOOKUP('Données projet'!$B$12,Paramètres!$A$1:$I$89,3,0)*VLOOKUP('Données projet'!$B$12,Paramètres!$A$1:$I$89,5,0)</f>
        <v>215.85856666666675</v>
      </c>
      <c r="CA95" s="13">
        <f t="shared" si="93"/>
        <v>53.213772500400168</v>
      </c>
      <c r="CB95" s="20">
        <f t="shared" si="64"/>
        <v>468.63432404930813</v>
      </c>
      <c r="CC95" s="59">
        <f t="shared" si="65"/>
        <v>761.96765738264139</v>
      </c>
      <c r="CD95" s="59">
        <f ca="1">AVERAGE(OFFSET($CC$3,0,0,'Données projet'!$E$12+1,1))-AVERAGE(OFFSET($H$3,0,0,'Données projet'!$E$12+1,1))</f>
        <v>190.08613104982993</v>
      </c>
      <c r="CE95" s="59">
        <f t="shared" si="94"/>
        <v>180.55054525447781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0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497</v>
      </c>
      <c r="CU95" s="17">
        <f>CT95*VLOOKUP('Données projet'!$B$13,Paramètres!$A$1:$I$89,3,0)*VLOOKUP('Données projet'!$B$13,Paramètres!$A$1:$I$89,5,0)</f>
        <v>297.20600000000002</v>
      </c>
      <c r="CV95" s="13">
        <f t="shared" si="95"/>
        <v>70.590415164571112</v>
      </c>
      <c r="CW95" s="20">
        <f t="shared" si="67"/>
        <v>640.57875641162809</v>
      </c>
      <c r="CX95" s="59">
        <f t="shared" si="68"/>
        <v>933.91208974496135</v>
      </c>
      <c r="CY95" s="59">
        <f ca="1">AVERAGE(OFFSET($CX$3,0,0,'Données projet'!$E$13+1,1))-AVERAGE(OFFSET($H$3,0,0,'Données projet'!$E$13+1,1))</f>
        <v>270.30888762640245</v>
      </c>
      <c r="CZ95" s="59">
        <f t="shared" si="96"/>
        <v>202.23783851977691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0.62739372313091279</v>
      </c>
      <c r="DG95" s="21">
        <f>EXP(-LN(2)/25)*DG94+(1-EXP(-LN(2)/25))/(LN(2)/25)*Calculateur!DB95*Calculateur!DD95*VLOOKUP('Données projet'!$B$13,Paramètres!$A$1:$I$89,3,0)*0.475*44/12</f>
        <v>2.2038472855039637</v>
      </c>
      <c r="DH95" s="21">
        <f>EXP(-LN(2)/2)*DH94+(1-EXP(-LN(2)/2))/(LN(2)/2)*DB95*DE95*VLOOKUP('Données projet'!$B$13,Paramètres!$A$1:$I$89,3,0)*0.475*44/12</f>
        <v>8.6112919200503193E-9</v>
      </c>
      <c r="DI95" s="22">
        <f t="shared" si="69"/>
        <v>2.8312410172461684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433.00000000000011</v>
      </c>
      <c r="DP95" s="17">
        <f>DO95*VLOOKUP('Données projet'!$B$14,Paramètres!$A$1:$I$89,3,0)*VLOOKUP('Données projet'!$B$14,Paramètres!$A$1:$I$89,5,0)</f>
        <v>258.93400000000008</v>
      </c>
      <c r="DQ95" s="13">
        <f t="shared" si="97"/>
        <v>62.495095530116075</v>
      </c>
      <c r="DR95" s="20">
        <f t="shared" si="70"/>
        <v>559.82234138161891</v>
      </c>
      <c r="DS95" s="59">
        <f t="shared" si="71"/>
        <v>853.15567471495228</v>
      </c>
      <c r="DT95" s="59">
        <f ca="1">AVERAGE(OFFSET($DS$3,0,0,'Données projet'!$E$14+1,1))-AVERAGE(OFFSET($H$3,0,0,'Données projet'!$E$14+1,1))</f>
        <v>221.14988592347311</v>
      </c>
      <c r="DU95" s="59">
        <f t="shared" si="98"/>
        <v>179.09262081171607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0.66921997133964017</v>
      </c>
      <c r="EB95" s="21">
        <f>EXP(-LN(2)/25)*EB94+(1-EXP(-LN(2)/25))/(LN(2)/25)*Calculateur!DW95*Calculateur!DY95*VLOOKUP('Données projet'!$B$14,Paramètres!$A$1:$I$89,3,0)*0.475*44/12</f>
        <v>1.8355524322634533</v>
      </c>
      <c r="EC95" s="21">
        <f>EXP(-LN(2)/2)*EC94+(1-EXP(-LN(2)/2))/(LN(2)/2)*DW95*DZ95*VLOOKUP('Données projet'!$B$14,Paramètres!$A$1:$I$89,3,0)*0.475*44/12</f>
        <v>9.0802821893802912E-9</v>
      </c>
      <c r="ED95" s="22">
        <f t="shared" si="72"/>
        <v>2.5047724126833759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2.2737367544323206E-13</v>
      </c>
      <c r="EK95" s="17">
        <f>EJ95*VLOOKUP('Données projet'!$B$15,Paramètres!$A$1:$I$89,3,0)*VLOOKUP('Données projet'!$B$15,Paramètres!$A$1:$I$89,5,0)</f>
        <v>1.2414602679200471E-13</v>
      </c>
      <c r="EL95" s="13">
        <f t="shared" si="99"/>
        <v>1.8186582995804361E-12</v>
      </c>
      <c r="EM95" s="20">
        <f t="shared" si="73"/>
        <v>3.3837175350986671E-12</v>
      </c>
      <c r="EN95" s="59">
        <f t="shared" si="74"/>
        <v>293.33333333333672</v>
      </c>
      <c r="EO95" s="59">
        <f ca="1">AVERAGE(OFFSET($EN$3,0,0,'Données projet'!$E$15+1,1))-AVERAGE(OFFSET($H$3,0,0,'Données projet'!$E$15+1,1))</f>
        <v>168.72306536277267</v>
      </c>
      <c r="EP95" s="59">
        <f t="shared" si="100"/>
        <v>203.35476578922339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0.89108094009897709</v>
      </c>
      <c r="EW95" s="21">
        <f>EXP(-LN(2)/25)*EW94+(1-EXP(-LN(2)/25))/(LN(2)/25)*Calculateur!ER95*Calculateur!ET95*VLOOKUP('Données projet'!$B$15,Paramètres!$A$1:$I$89,3,0)*0.475*44/12</f>
        <v>4.1199365340249914</v>
      </c>
      <c r="EX95" s="21">
        <f>EXP(-LN(2)/2)*EX94+(1-EXP(-LN(2)/2))/(LN(2)/2)*ER95*EU95*VLOOKUP('Données projet'!$B$15,Paramètres!$A$1:$I$89,3,0)*0.475*44/12</f>
        <v>9.324330194894814E-9</v>
      </c>
      <c r="EY95" s="22">
        <f t="shared" si="75"/>
        <v>5.0110174834482981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3.4106051316484809E-13</v>
      </c>
      <c r="FF95" s="17">
        <f>FE95*VLOOKUP('Données projet'!$B$16,Paramètres!$A$1:$I$89,3,0)*VLOOKUP('Données projet'!$B$16,Paramètres!$A$1:$I$89,5,0)</f>
        <v>1.8621904018800707E-13</v>
      </c>
      <c r="FG95" s="13">
        <f t="shared" si="101"/>
        <v>2.6022279988572714E-12</v>
      </c>
      <c r="FH95" s="20">
        <f t="shared" si="76"/>
        <v>4.8565452596705266E-12</v>
      </c>
      <c r="FI95" s="59">
        <f t="shared" si="77"/>
        <v>293.33333333333815</v>
      </c>
      <c r="FJ95" s="59">
        <f ca="1">AVERAGE(OFFSET($FI$3,0,0,'Données projet'!$E$16+1,1))-AVERAGE(OFFSET($H$3,0,0,'Données projet'!$E$16+1,1))</f>
        <v>127.76128532861486</v>
      </c>
      <c r="FK95" s="59">
        <f t="shared" si="102"/>
        <v>157.52303491639736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>
        <f>EXP(-LN(2)/35)*FQ94+(1-EXP(-LN(2)/35))/(LN(2)/35)*FM95*FN95*VLOOKUP('Données projet'!$B$16,Paramètres!$A$1:$I$89,3,0)*0.475*44/12</f>
        <v>0.71286475207918187</v>
      </c>
      <c r="FR95" s="21">
        <f>EXP(-LN(2)/25)*FR94+(1-EXP(-LN(2)/25))/(LN(2)/25)*Calculateur!FM95*Calculateur!FO95*VLOOKUP('Données projet'!$B$16,Paramètres!$A$1:$I$89,3,0)*0.475*44/12</f>
        <v>2.9254962807968208</v>
      </c>
      <c r="FS95" s="21">
        <f>EXP(-LN(2)/2)*FS94+(1-EXP(-LN(2)/2))/(LN(2)/2)*FM95*FP95*VLOOKUP('Données projet'!$B$16,Paramètres!$A$1:$I$89,3,0)*0.475*44/12</f>
        <v>7.4027895006068181E-9</v>
      </c>
      <c r="FT95" s="22">
        <f t="shared" si="78"/>
        <v>3.638361040278792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>
        <f>VLOOKUP(A96,'Données projet'!$A$35:$I$55,2,0)</f>
        <v>212.26923076923075</v>
      </c>
      <c r="L96" s="12">
        <f>VLOOKUP(A96,'Données projet'!$A$35:$I$55,9,0)</f>
        <v>5.2606837606837598</v>
      </c>
      <c r="M96" s="12">
        <f t="array" ref="M96">INDEX(L:L,MIN(IF(ISNUMBER(L96:L292),ROW(L96:L292),"")))</f>
        <v>5.2606837606837598</v>
      </c>
      <c r="N96" s="13">
        <f>IF('Données projet'!$A$36&gt;35,N95+M96-V95,IF(A96&lt;'Données projet'!$A$36,$K$205^A96,IF(A96='Données projet'!$A$36,'Données projet'!$B$36,N95+M96-V95)))</f>
        <v>212.26923076923055</v>
      </c>
      <c r="O96" s="13">
        <f>N96*VLOOKUP('Données projet'!$B$9,Paramètres!$A$1:$I$89,3,0)*VLOOKUP('Données projet'!$B$9,Paramètres!$A$1:$I$89,5,0)</f>
        <v>192.06119999999979</v>
      </c>
      <c r="P96" s="13">
        <f t="shared" si="87"/>
        <v>47.995368340490955</v>
      </c>
      <c r="Q96" s="20">
        <f t="shared" si="54"/>
        <v>418.09852319302132</v>
      </c>
      <c r="R96" s="59">
        <f t="shared" si="55"/>
        <v>711.43185652635464</v>
      </c>
      <c r="S96" s="59">
        <f ca="1">AVERAGE(OFFSET($R$3,0,0,'Données projet'!$E$9+1,1))-AVERAGE(OFFSET($H$3,0,0,'Données projet'!$E$9+1,1))</f>
        <v>153.45079678708987</v>
      </c>
      <c r="T96" s="59">
        <f t="shared" si="88"/>
        <v>115.4217868409637</v>
      </c>
      <c r="U96" s="15">
        <f>IF(ISNA(VLOOKUP(A96,'Données projet'!$A$35:$I$55,3,0)),0,VLOOKUP(A96,'Données projet'!$A$35:$I$55,3,0))</f>
        <v>7</v>
      </c>
      <c r="V96" s="15">
        <f>IF(ISNA(VLOOKUP(A96,'Données projet'!$A$35:$I$55,4,0)),0,VLOOKUP(A96,'Données projet'!$A$35:$I$55,4,0))</f>
        <v>30.083333333333332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0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4.6887464387464428</v>
      </c>
      <c r="AI96" s="13">
        <f>IF('Données projet'!$A$62&gt;35,AI95+AH96-AQ95,IF(A96&lt;'Données projet'!$A$62,$AF$205^A96,IF(A96='Données projet'!$A$62,'Données projet'!$B$62,AI95+AH96-AQ95)))</f>
        <v>173.21866096866103</v>
      </c>
      <c r="AJ96" s="13">
        <f>AI96*VLOOKUP('Données projet'!$B$10,Paramètres!$A$1:$I$89,3,0)*VLOOKUP('Données projet'!$B$10,Paramètres!$A$1:$I$89,5,0)</f>
        <v>156.7282444444445</v>
      </c>
      <c r="AK96" s="13">
        <f t="shared" si="89"/>
        <v>40.103676812949203</v>
      </c>
      <c r="AL96" s="20">
        <f t="shared" si="58"/>
        <v>342.81559618996067</v>
      </c>
      <c r="AM96" s="59">
        <f t="shared" si="59"/>
        <v>636.14892952329399</v>
      </c>
      <c r="AN96" s="59">
        <f ca="1">AVERAGE(OFFSET($AM$3,0,0,'Données projet'!$E$10+1,1))-AVERAGE(OFFSET($H$3,0,0,'Données projet'!$E$10+1,1))</f>
        <v>123.92486590666675</v>
      </c>
      <c r="AO96" s="59">
        <f t="shared" si="90"/>
        <v>54.404493017418986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0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1.1368683772161603E-13</v>
      </c>
      <c r="BE96" s="13">
        <f>BD96*VLOOKUP('Données projet'!$B$11,Paramètres!$A$1:$I$89,3,0)*VLOOKUP('Données projet'!$B$11,Paramètres!$A$1:$I$89,5,0)</f>
        <v>6.3550942286383367E-14</v>
      </c>
      <c r="BF96" s="13">
        <f t="shared" si="91"/>
        <v>1.0064464192543978E-12</v>
      </c>
      <c r="BG96" s="20">
        <f t="shared" si="61"/>
        <v>1.8635787380168604E-12</v>
      </c>
      <c r="BH96" s="59">
        <f t="shared" si="62"/>
        <v>293.33333333333519</v>
      </c>
      <c r="BI96" s="59">
        <f ca="1">AVERAGE(OFFSET($BH$3,0,0,'Données projet'!$E$11+1,1))-AVERAGE(OFFSET($H$3,0,0,'Données projet'!$E$11+1,1))</f>
        <v>224.7049802939942</v>
      </c>
      <c r="BJ96" s="59">
        <f t="shared" si="92"/>
        <v>203.48513862195352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0.64073260216116212</v>
      </c>
      <c r="BQ96" s="21">
        <f>EXP(-LN(2)/25)*BQ95+(1-EXP(-LN(2)/25))/(LN(2)/25)*Calculateur!BL96*Calculateur!BN96*VLOOKUP('Données projet'!$B$11,Paramètres!$A$1:$I$89,3,0)*0.475*44/12</f>
        <v>3.4039638901452465</v>
      </c>
      <c r="BR96" s="21">
        <f>EXP(-LN(2)/2)*BR95+(1-EXP(-LN(2)/2))/(LN(2)/2)*BL96*BO96*VLOOKUP('Données projet'!$B$11,Paramètres!$A$1:$I$89,3,0)*0.475*44/12</f>
        <v>2.9504811050109045E-9</v>
      </c>
      <c r="BS96" s="22">
        <f t="shared" si="63"/>
        <v>4.0446964952568898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5.6987179487179462</v>
      </c>
      <c r="BY96" s="12">
        <f>IF('Données projet'!$A$114&gt;35,BY95+BX96-CG95,IF(A96&lt;'Données projet'!$A$114,$BV$205^A96,IF(A96='Données projet'!$A$114,'Données projet'!$B$114,BY95+BX96-CG95)))</f>
        <v>391.85000000000014</v>
      </c>
      <c r="BZ96" s="13">
        <f>BY96*VLOOKUP('Données projet'!$B$12,Paramètres!$A$1:$I$89,3,0)*VLOOKUP('Données projet'!$B$12,Paramètres!$A$1:$I$89,5,0)</f>
        <v>219.04415000000006</v>
      </c>
      <c r="CA96" s="13">
        <f t="shared" si="93"/>
        <v>53.907083827951894</v>
      </c>
      <c r="CB96" s="20">
        <f t="shared" si="64"/>
        <v>475.39006558368305</v>
      </c>
      <c r="CC96" s="59">
        <f t="shared" si="65"/>
        <v>768.72339891701631</v>
      </c>
      <c r="CD96" s="59">
        <f ca="1">AVERAGE(OFFSET($CC$3,0,0,'Données projet'!$E$12+1,1))-AVERAGE(OFFSET($H$3,0,0,'Données projet'!$E$12+1,1))</f>
        <v>190.08613104982993</v>
      </c>
      <c r="CE96" s="59">
        <f t="shared" si="94"/>
        <v>180.55054525447781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0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497</v>
      </c>
      <c r="CU96" s="17">
        <f>CT96*VLOOKUP('Données projet'!$B$13,Paramètres!$A$1:$I$89,3,0)*VLOOKUP('Données projet'!$B$13,Paramètres!$A$1:$I$89,5,0)</f>
        <v>297.20600000000002</v>
      </c>
      <c r="CV96" s="13">
        <f t="shared" si="95"/>
        <v>70.590415164571112</v>
      </c>
      <c r="CW96" s="20">
        <f t="shared" si="67"/>
        <v>640.57875641162809</v>
      </c>
      <c r="CX96" s="59">
        <f t="shared" si="68"/>
        <v>933.91208974496135</v>
      </c>
      <c r="CY96" s="59">
        <f ca="1">AVERAGE(OFFSET($CX$3,0,0,'Données projet'!$E$13+1,1))-AVERAGE(OFFSET($H$3,0,0,'Données projet'!$E$13+1,1))</f>
        <v>270.30888762640245</v>
      </c>
      <c r="CZ96" s="59">
        <f t="shared" si="96"/>
        <v>202.23783851977691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0.61509091489270096</v>
      </c>
      <c r="DG96" s="21">
        <f>EXP(-LN(2)/25)*DG95+(1-EXP(-LN(2)/25))/(LN(2)/25)*Calculateur!DB96*Calculateur!DD96*VLOOKUP('Données projet'!$B$13,Paramètres!$A$1:$I$89,3,0)*0.475*44/12</f>
        <v>2.1435829655865661</v>
      </c>
      <c r="DH96" s="21">
        <f>EXP(-LN(2)/2)*DH95+(1-EXP(-LN(2)/2))/(LN(2)/2)*DB96*DE96*VLOOKUP('Données projet'!$B$13,Paramètres!$A$1:$I$89,3,0)*0.475*44/12</f>
        <v>6.0891029114445058E-9</v>
      </c>
      <c r="DI96" s="22">
        <f t="shared" si="69"/>
        <v>2.7586738865683702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433.00000000000011</v>
      </c>
      <c r="DP96" s="17">
        <f>DO96*VLOOKUP('Données projet'!$B$14,Paramètres!$A$1:$I$89,3,0)*VLOOKUP('Données projet'!$B$14,Paramètres!$A$1:$I$89,5,0)</f>
        <v>258.93400000000008</v>
      </c>
      <c r="DQ96" s="13">
        <f t="shared" si="97"/>
        <v>62.495095530116075</v>
      </c>
      <c r="DR96" s="20">
        <f t="shared" si="70"/>
        <v>559.82234138161891</v>
      </c>
      <c r="DS96" s="59">
        <f t="shared" si="71"/>
        <v>853.15567471495228</v>
      </c>
      <c r="DT96" s="59">
        <f ca="1">AVERAGE(OFFSET($DS$3,0,0,'Données projet'!$E$14+1,1))-AVERAGE(OFFSET($H$3,0,0,'Données projet'!$E$14+1,1))</f>
        <v>221.14988592347311</v>
      </c>
      <c r="DU96" s="59">
        <f t="shared" si="98"/>
        <v>179.09262081171607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0.6560969758855475</v>
      </c>
      <c r="EB96" s="21">
        <f>EXP(-LN(2)/25)*EB95+(1-EXP(-LN(2)/25))/(LN(2)/25)*Calculateur!DW96*Calculateur!DY96*VLOOKUP('Données projet'!$B$14,Paramètres!$A$1:$I$89,3,0)*0.475*44/12</f>
        <v>1.7853591544757019</v>
      </c>
      <c r="EC96" s="21">
        <f>EXP(-LN(2)/2)*EC95+(1-EXP(-LN(2)/2))/(LN(2)/2)*DW96*DZ96*VLOOKUP('Données projet'!$B$14,Paramètres!$A$1:$I$89,3,0)*0.475*44/12</f>
        <v>6.4207291111982344E-9</v>
      </c>
      <c r="ED96" s="22">
        <f t="shared" si="72"/>
        <v>2.4414561367819787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2.2737367544323206E-13</v>
      </c>
      <c r="EK96" s="17">
        <f>EJ96*VLOOKUP('Données projet'!$B$15,Paramètres!$A$1:$I$89,3,0)*VLOOKUP('Données projet'!$B$15,Paramètres!$A$1:$I$89,5,0)</f>
        <v>1.2414602679200471E-13</v>
      </c>
      <c r="EL96" s="13">
        <f t="shared" si="99"/>
        <v>1.8186582995804361E-12</v>
      </c>
      <c r="EM96" s="20">
        <f t="shared" si="73"/>
        <v>3.3837175350986671E-12</v>
      </c>
      <c r="EN96" s="59">
        <f t="shared" si="74"/>
        <v>293.33333333333672</v>
      </c>
      <c r="EO96" s="59">
        <f ca="1">AVERAGE(OFFSET($EN$3,0,0,'Données projet'!$E$15+1,1))-AVERAGE(OFFSET($H$3,0,0,'Données projet'!$E$15+1,1))</f>
        <v>168.72306536277267</v>
      </c>
      <c r="EP96" s="59">
        <f t="shared" si="100"/>
        <v>203.35476578922339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0.87360738636934288</v>
      </c>
      <c r="EW96" s="21">
        <f>EXP(-LN(2)/25)*EW95+(1-EXP(-LN(2)/25))/(LN(2)/25)*Calculateur!ER96*Calculateur!ET96*VLOOKUP('Données projet'!$B$15,Paramètres!$A$1:$I$89,3,0)*0.475*44/12</f>
        <v>4.0072766528440322</v>
      </c>
      <c r="EX96" s="21">
        <f>EXP(-LN(2)/2)*EX95+(1-EXP(-LN(2)/2))/(LN(2)/2)*ER96*EU96*VLOOKUP('Données projet'!$B$15,Paramètres!$A$1:$I$89,3,0)*0.475*44/12</f>
        <v>6.5932971108326054E-9</v>
      </c>
      <c r="EY96" s="22">
        <f t="shared" si="75"/>
        <v>4.8808840458066722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3.4106051316484809E-13</v>
      </c>
      <c r="FF96" s="17">
        <f>FE96*VLOOKUP('Données projet'!$B$16,Paramètres!$A$1:$I$89,3,0)*VLOOKUP('Données projet'!$B$16,Paramètres!$A$1:$I$89,5,0)</f>
        <v>1.8621904018800707E-13</v>
      </c>
      <c r="FG96" s="13">
        <f t="shared" si="101"/>
        <v>2.6022279988572714E-12</v>
      </c>
      <c r="FH96" s="20">
        <f t="shared" si="76"/>
        <v>4.8565452596705266E-12</v>
      </c>
      <c r="FI96" s="59">
        <f t="shared" si="77"/>
        <v>293.33333333333815</v>
      </c>
      <c r="FJ96" s="59">
        <f ca="1">AVERAGE(OFFSET($FI$3,0,0,'Données projet'!$E$16+1,1))-AVERAGE(OFFSET($H$3,0,0,'Données projet'!$E$16+1,1))</f>
        <v>127.76128532861486</v>
      </c>
      <c r="FK96" s="59">
        <f t="shared" si="102"/>
        <v>157.52303491639736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>
        <f>EXP(-LN(2)/35)*FQ95+(1-EXP(-LN(2)/35))/(LN(2)/35)*FM96*FN96*VLOOKUP('Données projet'!$B$16,Paramètres!$A$1:$I$89,3,0)*0.475*44/12</f>
        <v>0.69888590909547454</v>
      </c>
      <c r="FR96" s="21">
        <f>EXP(-LN(2)/25)*FR95+(1-EXP(-LN(2)/25))/(LN(2)/25)*Calculateur!FM96*Calculateur!FO96*VLOOKUP('Données projet'!$B$16,Paramètres!$A$1:$I$89,3,0)*0.475*44/12</f>
        <v>2.8454984311532687</v>
      </c>
      <c r="FS96" s="21">
        <f>EXP(-LN(2)/2)*FS95+(1-EXP(-LN(2)/2))/(LN(2)/2)*FM96*FP96*VLOOKUP('Données projet'!$B$16,Paramètres!$A$1:$I$89,3,0)*0.475*44/12</f>
        <v>5.234562655575657E-9</v>
      </c>
      <c r="FT96" s="22">
        <f t="shared" si="78"/>
        <v>3.5443843454833059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5.2583333333333373</v>
      </c>
      <c r="N97" s="13">
        <f>IF('Données projet'!$A$36&gt;35,N96+M97-V96,IF(A97&lt;'Données projet'!$A$36,$K$205^A97,IF(A97='Données projet'!$A$36,'Données projet'!$B$36,N96+M97-V96)))</f>
        <v>187.44423076923053</v>
      </c>
      <c r="O97" s="13">
        <f>N97*VLOOKUP('Données projet'!$B$9,Paramètres!$A$1:$I$89,3,0)*VLOOKUP('Données projet'!$B$9,Paramètres!$A$1:$I$89,5,0)</f>
        <v>169.59953999999976</v>
      </c>
      <c r="P97" s="13">
        <f t="shared" si="87"/>
        <v>43.000321559740421</v>
      </c>
      <c r="Q97" s="20">
        <f t="shared" si="54"/>
        <v>370.27809221654746</v>
      </c>
      <c r="R97" s="59">
        <f t="shared" si="55"/>
        <v>663.61142554988078</v>
      </c>
      <c r="S97" s="59">
        <f ca="1">AVERAGE(OFFSET($R$3,0,0,'Données projet'!$E$9+1,1))-AVERAGE(OFFSET($H$3,0,0,'Données projet'!$E$9+1,1))</f>
        <v>153.45079678708987</v>
      </c>
      <c r="T97" s="59">
        <f t="shared" si="88"/>
        <v>115.4217868409637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0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4.6887464387464428</v>
      </c>
      <c r="AI97" s="13">
        <f>IF('Données projet'!$A$62&gt;35,AI96+AH97-AQ96,IF(A97&lt;'Données projet'!$A$62,$AF$205^A97,IF(A97='Données projet'!$A$62,'Données projet'!$B$62,AI96+AH97-AQ96)))</f>
        <v>177.90740740740748</v>
      </c>
      <c r="AJ97" s="13">
        <f>AI97*VLOOKUP('Données projet'!$B$10,Paramètres!$A$1:$I$89,3,0)*VLOOKUP('Données projet'!$B$10,Paramètres!$A$1:$I$89,5,0)</f>
        <v>160.97062222222229</v>
      </c>
      <c r="AK97" s="13">
        <f t="shared" si="89"/>
        <v>41.0613648371369</v>
      </c>
      <c r="AL97" s="20">
        <f t="shared" si="58"/>
        <v>351.87237746171718</v>
      </c>
      <c r="AM97" s="59">
        <f t="shared" si="59"/>
        <v>645.20571079505044</v>
      </c>
      <c r="AN97" s="59">
        <f ca="1">AVERAGE(OFFSET($AM$3,0,0,'Données projet'!$E$10+1,1))-AVERAGE(OFFSET($H$3,0,0,'Données projet'!$E$10+1,1))</f>
        <v>123.92486590666675</v>
      </c>
      <c r="AO97" s="59">
        <f t="shared" si="90"/>
        <v>54.404493017418986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0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1.1368683772161603E-13</v>
      </c>
      <c r="BE97" s="13">
        <f>BD97*VLOOKUP('Données projet'!$B$11,Paramètres!$A$1:$I$89,3,0)*VLOOKUP('Données projet'!$B$11,Paramètres!$A$1:$I$89,5,0)</f>
        <v>6.3550942286383367E-14</v>
      </c>
      <c r="BF97" s="13">
        <f t="shared" si="91"/>
        <v>1.0064464192543978E-12</v>
      </c>
      <c r="BG97" s="20">
        <f t="shared" si="61"/>
        <v>1.8635787380168604E-12</v>
      </c>
      <c r="BH97" s="59">
        <f t="shared" si="62"/>
        <v>293.33333333333519</v>
      </c>
      <c r="BI97" s="59">
        <f ca="1">AVERAGE(OFFSET($BH$3,0,0,'Données projet'!$E$11+1,1))-AVERAGE(OFFSET($H$3,0,0,'Données projet'!$E$11+1,1))</f>
        <v>224.7049802939942</v>
      </c>
      <c r="BJ97" s="59">
        <f t="shared" si="92"/>
        <v>203.48513862195352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0.62816822664107996</v>
      </c>
      <c r="BQ97" s="21">
        <f>EXP(-LN(2)/25)*BQ96+(1-EXP(-LN(2)/25))/(LN(2)/25)*Calculateur!BL97*Calculateur!BN97*VLOOKUP('Données projet'!$B$11,Paramètres!$A$1:$I$89,3,0)*0.475*44/12</f>
        <v>3.3108823185625438</v>
      </c>
      <c r="BR97" s="21">
        <f>EXP(-LN(2)/2)*BR96+(1-EXP(-LN(2)/2))/(LN(2)/2)*BL97*BO97*VLOOKUP('Données projet'!$B$11,Paramètres!$A$1:$I$89,3,0)*0.475*44/12</f>
        <v>2.0863051971159886E-9</v>
      </c>
      <c r="BS97" s="22">
        <f t="shared" si="63"/>
        <v>3.9390505472899289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5.6987179487179462</v>
      </c>
      <c r="BY97" s="12">
        <f>IF('Données projet'!$A$114&gt;35,BY96+BX97-CG96,IF(A97&lt;'Données projet'!$A$114,$BV$205^A97,IF(A97='Données projet'!$A$114,'Données projet'!$B$114,BY96+BX97-CG96)))</f>
        <v>397.54871794871809</v>
      </c>
      <c r="BZ97" s="13">
        <f>BY97*VLOOKUP('Données projet'!$B$12,Paramètres!$A$1:$I$89,3,0)*VLOOKUP('Données projet'!$B$12,Paramètres!$A$1:$I$89,5,0)</f>
        <v>222.2297333333334</v>
      </c>
      <c r="CA97" s="13">
        <f t="shared" si="93"/>
        <v>54.599222454663604</v>
      </c>
      <c r="CB97" s="20">
        <f t="shared" si="64"/>
        <v>482.14376466409476</v>
      </c>
      <c r="CC97" s="59">
        <f t="shared" si="65"/>
        <v>775.47709799742802</v>
      </c>
      <c r="CD97" s="59">
        <f ca="1">AVERAGE(OFFSET($CC$3,0,0,'Données projet'!$E$12+1,1))-AVERAGE(OFFSET($H$3,0,0,'Données projet'!$E$12+1,1))</f>
        <v>190.08613104982993</v>
      </c>
      <c r="CE97" s="59">
        <f t="shared" si="94"/>
        <v>180.55054525447781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0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497</v>
      </c>
      <c r="CU97" s="17">
        <f>CT97*VLOOKUP('Données projet'!$B$13,Paramètres!$A$1:$I$89,3,0)*VLOOKUP('Données projet'!$B$13,Paramètres!$A$1:$I$89,5,0)</f>
        <v>297.20600000000002</v>
      </c>
      <c r="CV97" s="13">
        <f t="shared" si="95"/>
        <v>70.590415164571112</v>
      </c>
      <c r="CW97" s="20">
        <f t="shared" si="67"/>
        <v>640.57875641162809</v>
      </c>
      <c r="CX97" s="59">
        <f t="shared" si="68"/>
        <v>933.91208974496135</v>
      </c>
      <c r="CY97" s="59">
        <f ca="1">AVERAGE(OFFSET($CX$3,0,0,'Données projet'!$E$13+1,1))-AVERAGE(OFFSET($H$3,0,0,'Données projet'!$E$13+1,1))</f>
        <v>270.30888762640245</v>
      </c>
      <c r="CZ97" s="59">
        <f t="shared" si="96"/>
        <v>202.23783851977691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0.60302935722006834</v>
      </c>
      <c r="DG97" s="21">
        <f>EXP(-LN(2)/25)*DG96+(1-EXP(-LN(2)/25))/(LN(2)/25)*Calculateur!DB97*Calculateur!DD97*VLOOKUP('Données projet'!$B$13,Paramètres!$A$1:$I$89,3,0)*0.475*44/12</f>
        <v>2.0849665766664724</v>
      </c>
      <c r="DH97" s="21">
        <f>EXP(-LN(2)/2)*DH96+(1-EXP(-LN(2)/2))/(LN(2)/2)*DB97*DE97*VLOOKUP('Données projet'!$B$13,Paramètres!$A$1:$I$89,3,0)*0.475*44/12</f>
        <v>4.3056459600251596E-9</v>
      </c>
      <c r="DI97" s="22">
        <f t="shared" si="69"/>
        <v>2.687995938192187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433.00000000000011</v>
      </c>
      <c r="DP97" s="17">
        <f>DO97*VLOOKUP('Données projet'!$B$14,Paramètres!$A$1:$I$89,3,0)*VLOOKUP('Données projet'!$B$14,Paramètres!$A$1:$I$89,5,0)</f>
        <v>258.93400000000008</v>
      </c>
      <c r="DQ97" s="13">
        <f t="shared" si="97"/>
        <v>62.495095530116075</v>
      </c>
      <c r="DR97" s="20">
        <f t="shared" si="70"/>
        <v>559.82234138161891</v>
      </c>
      <c r="DS97" s="59">
        <f t="shared" si="71"/>
        <v>853.15567471495228</v>
      </c>
      <c r="DT97" s="59">
        <f ca="1">AVERAGE(OFFSET($DS$3,0,0,'Données projet'!$E$14+1,1))-AVERAGE(OFFSET($H$3,0,0,'Données projet'!$E$14+1,1))</f>
        <v>221.14988592347311</v>
      </c>
      <c r="DU97" s="59">
        <f t="shared" si="98"/>
        <v>179.09262081171607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0.64323131436807279</v>
      </c>
      <c r="EB97" s="21">
        <f>EXP(-LN(2)/25)*EB96+(1-EXP(-LN(2)/25))/(LN(2)/25)*Calculateur!DW97*Calculateur!DY97*VLOOKUP('Données projet'!$B$14,Paramètres!$A$1:$I$89,3,0)*0.475*44/12</f>
        <v>1.7365384145086065</v>
      </c>
      <c r="EC97" s="21">
        <f>EXP(-LN(2)/2)*EC96+(1-EXP(-LN(2)/2))/(LN(2)/2)*DW97*DZ97*VLOOKUP('Données projet'!$B$14,Paramètres!$A$1:$I$89,3,0)*0.475*44/12</f>
        <v>4.5401410946901456E-9</v>
      </c>
      <c r="ED97" s="22">
        <f t="shared" si="72"/>
        <v>2.3797697334168206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2.2737367544323206E-13</v>
      </c>
      <c r="EK97" s="17">
        <f>EJ97*VLOOKUP('Données projet'!$B$15,Paramètres!$A$1:$I$89,3,0)*VLOOKUP('Données projet'!$B$15,Paramètres!$A$1:$I$89,5,0)</f>
        <v>1.2414602679200471E-13</v>
      </c>
      <c r="EL97" s="13">
        <f t="shared" si="99"/>
        <v>1.8186582995804361E-12</v>
      </c>
      <c r="EM97" s="20">
        <f t="shared" si="73"/>
        <v>3.3837175350986671E-12</v>
      </c>
      <c r="EN97" s="59">
        <f t="shared" si="74"/>
        <v>293.33333333333672</v>
      </c>
      <c r="EO97" s="59">
        <f ca="1">AVERAGE(OFFSET($EN$3,0,0,'Données projet'!$E$15+1,1))-AVERAGE(OFFSET($H$3,0,0,'Données projet'!$E$15+1,1))</f>
        <v>168.72306536277267</v>
      </c>
      <c r="EP97" s="59">
        <f t="shared" si="100"/>
        <v>203.35476578922339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0.85647647837053142</v>
      </c>
      <c r="EW97" s="21">
        <f>EXP(-LN(2)/25)*EW96+(1-EXP(-LN(2)/25))/(LN(2)/25)*Calculateur!ER97*Calculateur!ET97*VLOOKUP('Données projet'!$B$15,Paramètres!$A$1:$I$89,3,0)*0.475*44/12</f>
        <v>3.8976974620384919</v>
      </c>
      <c r="EX97" s="21">
        <f>EXP(-LN(2)/2)*EX96+(1-EXP(-LN(2)/2))/(LN(2)/2)*ER97*EU97*VLOOKUP('Données projet'!$B$15,Paramètres!$A$1:$I$89,3,0)*0.475*44/12</f>
        <v>4.662165097447407E-9</v>
      </c>
      <c r="EY97" s="22">
        <f t="shared" si="75"/>
        <v>4.7541739450711882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3.4106051316484809E-13</v>
      </c>
      <c r="FF97" s="17">
        <f>FE97*VLOOKUP('Données projet'!$B$16,Paramètres!$A$1:$I$89,3,0)*VLOOKUP('Données projet'!$B$16,Paramètres!$A$1:$I$89,5,0)</f>
        <v>1.8621904018800707E-13</v>
      </c>
      <c r="FG97" s="13">
        <f t="shared" si="101"/>
        <v>2.6022279988572714E-12</v>
      </c>
      <c r="FH97" s="20">
        <f t="shared" si="76"/>
        <v>4.8565452596705266E-12</v>
      </c>
      <c r="FI97" s="59">
        <f t="shared" si="77"/>
        <v>293.33333333333815</v>
      </c>
      <c r="FJ97" s="59">
        <f ca="1">AVERAGE(OFFSET($FI$3,0,0,'Données projet'!$E$16+1,1))-AVERAGE(OFFSET($H$3,0,0,'Données projet'!$E$16+1,1))</f>
        <v>127.76128532861486</v>
      </c>
      <c r="FK97" s="59">
        <f t="shared" si="102"/>
        <v>157.52303491639736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>
        <f>EXP(-LN(2)/35)*FQ96+(1-EXP(-LN(2)/35))/(LN(2)/35)*FM97*FN97*VLOOKUP('Données projet'!$B$16,Paramètres!$A$1:$I$89,3,0)*0.475*44/12</f>
        <v>0.68518118269642536</v>
      </c>
      <c r="FR97" s="21">
        <f>EXP(-LN(2)/25)*FR96+(1-EXP(-LN(2)/25))/(LN(2)/25)*Calculateur!FM97*Calculateur!FO97*VLOOKUP('Données projet'!$B$16,Paramètres!$A$1:$I$89,3,0)*0.475*44/12</f>
        <v>2.7676881269151234</v>
      </c>
      <c r="FS97" s="21">
        <f>EXP(-LN(2)/2)*FS96+(1-EXP(-LN(2)/2))/(LN(2)/2)*FM97*FP97*VLOOKUP('Données projet'!$B$16,Paramètres!$A$1:$I$89,3,0)*0.475*44/12</f>
        <v>3.7013947503034095E-9</v>
      </c>
      <c r="FT97" s="22">
        <f t="shared" si="78"/>
        <v>3.4528693133129433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5.2583333333333373</v>
      </c>
      <c r="N98" s="13">
        <f>IF('Données projet'!$A$36&gt;35,N97+M98-V97,IF(A98&lt;'Données projet'!$A$36,$K$205^A98,IF(A98='Données projet'!$A$36,'Données projet'!$B$36,N97+M98-V97)))</f>
        <v>192.70256410256385</v>
      </c>
      <c r="O98" s="13">
        <f>N98*VLOOKUP('Données projet'!$B$9,Paramètres!$A$1:$I$89,3,0)*VLOOKUP('Données projet'!$B$9,Paramètres!$A$1:$I$89,5,0)</f>
        <v>174.35727999999978</v>
      </c>
      <c r="P98" s="13">
        <f t="shared" si="87"/>
        <v>44.064467301710017</v>
      </c>
      <c r="Q98" s="20">
        <f t="shared" si="54"/>
        <v>380.41787655047784</v>
      </c>
      <c r="R98" s="59">
        <f t="shared" si="55"/>
        <v>673.75120988381116</v>
      </c>
      <c r="S98" s="59">
        <f ca="1">AVERAGE(OFFSET($R$3,0,0,'Données projet'!$E$9+1,1))-AVERAGE(OFFSET($H$3,0,0,'Données projet'!$E$9+1,1))</f>
        <v>153.45079678708987</v>
      </c>
      <c r="T98" s="59">
        <f t="shared" si="88"/>
        <v>115.4217868409637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0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>
        <f>VLOOKUP(A98,'Données projet'!$A$61:$I$81,2,0)</f>
        <v>182.59615384615387</v>
      </c>
      <c r="AG98" s="12">
        <f>VLOOKUP(A98,'Données projet'!$A$61:$I$81,9,0)</f>
        <v>4.6887464387464428</v>
      </c>
      <c r="AH98" s="12">
        <f t="array" ref="AH98">INDEX(AG:AG,MIN(IF(ISNUMBER(AG98:AG294),ROW(AG98:AG294),"")))</f>
        <v>4.6887464387464428</v>
      </c>
      <c r="AI98" s="13">
        <f>IF('Données projet'!$A$62&gt;35,AI97+AH98-AQ97,IF(A98&lt;'Données projet'!$A$62,$AF$205^A98,IF(A98='Données projet'!$A$62,'Données projet'!$B$62,AI97+AH98-AQ97)))</f>
        <v>182.59615384615392</v>
      </c>
      <c r="AJ98" s="13">
        <f>AI98*VLOOKUP('Données projet'!$B$10,Paramètres!$A$1:$I$89,3,0)*VLOOKUP('Données projet'!$B$10,Paramètres!$A$1:$I$89,5,0)</f>
        <v>165.21300000000005</v>
      </c>
      <c r="AK98" s="13">
        <f t="shared" si="89"/>
        <v>42.016119085610171</v>
      </c>
      <c r="AL98" s="20">
        <f t="shared" si="58"/>
        <v>360.92404907410446</v>
      </c>
      <c r="AM98" s="59">
        <f t="shared" si="59"/>
        <v>654.25738240743772</v>
      </c>
      <c r="AN98" s="59">
        <f ca="1">AVERAGE(OFFSET($AM$3,0,0,'Données projet'!$E$10+1,1))-AVERAGE(OFFSET($H$3,0,0,'Données projet'!$E$10+1,1))</f>
        <v>123.92486590666675</v>
      </c>
      <c r="AO98" s="59">
        <f t="shared" si="90"/>
        <v>54.404493017418986</v>
      </c>
      <c r="AP98" s="15">
        <f>IF(ISNA(VLOOKUP(A98,'Données projet'!$A$61:$I$81,3,0)),0,VLOOKUP(A98,'Données projet'!$A$61:$I$81,3,0))</f>
        <v>5</v>
      </c>
      <c r="AQ98" s="15">
        <f>IF(ISNA(VLOOKUP(A98,'Données projet'!$A$61:$I$81,4,0)),0,VLOOKUP(A98,'Données projet'!$A$61:$I$81,4,0))</f>
        <v>30.634615384615383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0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1.1368683772161603E-13</v>
      </c>
      <c r="BE98" s="13">
        <f>BD98*VLOOKUP('Données projet'!$B$11,Paramètres!$A$1:$I$89,3,0)*VLOOKUP('Données projet'!$B$11,Paramètres!$A$1:$I$89,5,0)</f>
        <v>6.3550942286383367E-14</v>
      </c>
      <c r="BF98" s="13">
        <f t="shared" si="91"/>
        <v>1.0064464192543978E-12</v>
      </c>
      <c r="BG98" s="20">
        <f t="shared" si="61"/>
        <v>1.8635787380168604E-12</v>
      </c>
      <c r="BH98" s="59">
        <f t="shared" si="62"/>
        <v>293.33333333333519</v>
      </c>
      <c r="BI98" s="59">
        <f ca="1">AVERAGE(OFFSET($BH$3,0,0,'Données projet'!$E$11+1,1))-AVERAGE(OFFSET($H$3,0,0,'Données projet'!$E$11+1,1))</f>
        <v>224.7049802939942</v>
      </c>
      <c r="BJ98" s="59">
        <f t="shared" si="92"/>
        <v>203.48513862195352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0.6158502308614342</v>
      </c>
      <c r="BQ98" s="21">
        <f>EXP(-LN(2)/25)*BQ97+(1-EXP(-LN(2)/25))/(LN(2)/25)*Calculateur!BL98*Calculateur!BN98*VLOOKUP('Données projet'!$B$11,Paramètres!$A$1:$I$89,3,0)*0.475*44/12</f>
        <v>3.2203460674497171</v>
      </c>
      <c r="BR98" s="21">
        <f>EXP(-LN(2)/2)*BR97+(1-EXP(-LN(2)/2))/(LN(2)/2)*BL98*BO98*VLOOKUP('Données projet'!$B$11,Paramètres!$A$1:$I$89,3,0)*0.475*44/12</f>
        <v>1.4752405525054523E-9</v>
      </c>
      <c r="BS98" s="22">
        <f t="shared" si="63"/>
        <v>3.8361962997863914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5.6987179487179462</v>
      </c>
      <c r="BY98" s="12">
        <f>IF('Données projet'!$A$114&gt;35,BY97+BX98-CG97,IF(A98&lt;'Données projet'!$A$114,$BV$205^A98,IF(A98='Données projet'!$A$114,'Données projet'!$B$114,BY97+BX98-CG97)))</f>
        <v>403.24743589743605</v>
      </c>
      <c r="BZ98" s="13">
        <f>BY98*VLOOKUP('Données projet'!$B$12,Paramètres!$A$1:$I$89,3,0)*VLOOKUP('Données projet'!$B$12,Paramètres!$A$1:$I$89,5,0)</f>
        <v>225.41531666666677</v>
      </c>
      <c r="CA98" s="13">
        <f t="shared" si="93"/>
        <v>55.2902071331374</v>
      </c>
      <c r="CB98" s="20">
        <f t="shared" si="64"/>
        <v>488.89545395132558</v>
      </c>
      <c r="CC98" s="59">
        <f t="shared" si="65"/>
        <v>782.22878728465889</v>
      </c>
      <c r="CD98" s="59">
        <f ca="1">AVERAGE(OFFSET($CC$3,0,0,'Données projet'!$E$12+1,1))-AVERAGE(OFFSET($H$3,0,0,'Données projet'!$E$12+1,1))</f>
        <v>190.08613104982993</v>
      </c>
      <c r="CE98" s="59">
        <f t="shared" si="94"/>
        <v>180.55054525447781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0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497</v>
      </c>
      <c r="CU98" s="17">
        <f>CT98*VLOOKUP('Données projet'!$B$13,Paramètres!$A$1:$I$89,3,0)*VLOOKUP('Données projet'!$B$13,Paramètres!$A$1:$I$89,5,0)</f>
        <v>297.20600000000002</v>
      </c>
      <c r="CV98" s="13">
        <f t="shared" si="95"/>
        <v>70.590415164571112</v>
      </c>
      <c r="CW98" s="20">
        <f t="shared" si="67"/>
        <v>640.57875641162809</v>
      </c>
      <c r="CX98" s="59">
        <f t="shared" si="68"/>
        <v>933.91208974496135</v>
      </c>
      <c r="CY98" s="59">
        <f ca="1">AVERAGE(OFFSET($CX$3,0,0,'Données projet'!$E$13+1,1))-AVERAGE(OFFSET($H$3,0,0,'Données projet'!$E$13+1,1))</f>
        <v>270.30888762640245</v>
      </c>
      <c r="CZ98" s="59">
        <f t="shared" si="96"/>
        <v>202.23783851977691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0.59120431933657236</v>
      </c>
      <c r="DG98" s="21">
        <f>EXP(-LN(2)/25)*DG97+(1-EXP(-LN(2)/25))/(LN(2)/25)*Calculateur!DB98*Calculateur!DD98*VLOOKUP('Données projet'!$B$13,Paramètres!$A$1:$I$89,3,0)*0.475*44/12</f>
        <v>2.0279530559839007</v>
      </c>
      <c r="DH98" s="21">
        <f>EXP(-LN(2)/2)*DH97+(1-EXP(-LN(2)/2))/(LN(2)/2)*DB98*DE98*VLOOKUP('Données projet'!$B$13,Paramètres!$A$1:$I$89,3,0)*0.475*44/12</f>
        <v>3.0445514557222529E-9</v>
      </c>
      <c r="DI98" s="22">
        <f t="shared" si="69"/>
        <v>2.6191573783650242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433.00000000000011</v>
      </c>
      <c r="DP98" s="17">
        <f>DO98*VLOOKUP('Données projet'!$B$14,Paramètres!$A$1:$I$89,3,0)*VLOOKUP('Données projet'!$B$14,Paramètres!$A$1:$I$89,5,0)</f>
        <v>258.93400000000008</v>
      </c>
      <c r="DQ98" s="13">
        <f t="shared" si="97"/>
        <v>62.495095530116075</v>
      </c>
      <c r="DR98" s="20">
        <f t="shared" si="70"/>
        <v>559.82234138161891</v>
      </c>
      <c r="DS98" s="59">
        <f t="shared" si="71"/>
        <v>853.15567471495228</v>
      </c>
      <c r="DT98" s="59">
        <f ca="1">AVERAGE(OFFSET($DS$3,0,0,'Données projet'!$E$14+1,1))-AVERAGE(OFFSET($H$3,0,0,'Données projet'!$E$14+1,1))</f>
        <v>221.14988592347311</v>
      </c>
      <c r="DU98" s="59">
        <f t="shared" si="98"/>
        <v>179.09262081171607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0.630617940625677</v>
      </c>
      <c r="EB98" s="21">
        <f>EXP(-LN(2)/25)*EB97+(1-EXP(-LN(2)/25))/(LN(2)/25)*Calculateur!DW98*Calculateur!DY98*VLOOKUP('Données projet'!$B$14,Paramètres!$A$1:$I$89,3,0)*0.475*44/12</f>
        <v>1.6890526802432824</v>
      </c>
      <c r="EC98" s="21">
        <f>EXP(-LN(2)/2)*EC97+(1-EXP(-LN(2)/2))/(LN(2)/2)*DW98*DZ98*VLOOKUP('Données projet'!$B$14,Paramètres!$A$1:$I$89,3,0)*0.475*44/12</f>
        <v>3.2103645555991172E-9</v>
      </c>
      <c r="ED98" s="22">
        <f t="shared" si="72"/>
        <v>2.3196706240793237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2.2737367544323206E-13</v>
      </c>
      <c r="EK98" s="17">
        <f>EJ98*VLOOKUP('Données projet'!$B$15,Paramètres!$A$1:$I$89,3,0)*VLOOKUP('Données projet'!$B$15,Paramètres!$A$1:$I$89,5,0)</f>
        <v>1.2414602679200471E-13</v>
      </c>
      <c r="EL98" s="13">
        <f t="shared" si="99"/>
        <v>1.8186582995804361E-12</v>
      </c>
      <c r="EM98" s="20">
        <f t="shared" si="73"/>
        <v>3.3837175350986671E-12</v>
      </c>
      <c r="EN98" s="59">
        <f t="shared" si="74"/>
        <v>293.33333333333672</v>
      </c>
      <c r="EO98" s="59">
        <f ca="1">AVERAGE(OFFSET($EN$3,0,0,'Données projet'!$E$15+1,1))-AVERAGE(OFFSET($H$3,0,0,'Données projet'!$E$15+1,1))</f>
        <v>168.72306536277267</v>
      </c>
      <c r="EP98" s="59">
        <f t="shared" si="100"/>
        <v>203.35476578922339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0.8396814970287545</v>
      </c>
      <c r="EW98" s="21">
        <f>EXP(-LN(2)/25)*EW97+(1-EXP(-LN(2)/25))/(LN(2)/25)*Calculateur!ER98*Calculateur!ET98*VLOOKUP('Données projet'!$B$15,Paramètres!$A$1:$I$89,3,0)*0.475*44/12</f>
        <v>3.7911147199680482</v>
      </c>
      <c r="EX98" s="21">
        <f>EXP(-LN(2)/2)*EX97+(1-EXP(-LN(2)/2))/(LN(2)/2)*ER98*EU98*VLOOKUP('Données projet'!$B$15,Paramètres!$A$1:$I$89,3,0)*0.475*44/12</f>
        <v>3.2966485554163027E-9</v>
      </c>
      <c r="EY98" s="22">
        <f t="shared" si="75"/>
        <v>4.6307962202934512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3.4106051316484809E-13</v>
      </c>
      <c r="FF98" s="17">
        <f>FE98*VLOOKUP('Données projet'!$B$16,Paramètres!$A$1:$I$89,3,0)*VLOOKUP('Données projet'!$B$16,Paramètres!$A$1:$I$89,5,0)</f>
        <v>1.8621904018800707E-13</v>
      </c>
      <c r="FG98" s="13">
        <f t="shared" si="101"/>
        <v>2.6022279988572714E-12</v>
      </c>
      <c r="FH98" s="20">
        <f t="shared" si="76"/>
        <v>4.8565452596705266E-12</v>
      </c>
      <c r="FI98" s="59">
        <f t="shared" si="77"/>
        <v>293.33333333333815</v>
      </c>
      <c r="FJ98" s="59">
        <f ca="1">AVERAGE(OFFSET($FI$3,0,0,'Données projet'!$E$16+1,1))-AVERAGE(OFFSET($H$3,0,0,'Données projet'!$E$16+1,1))</f>
        <v>127.76128532861486</v>
      </c>
      <c r="FK98" s="59">
        <f t="shared" si="102"/>
        <v>157.52303491639736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>
        <f>EXP(-LN(2)/35)*FQ97+(1-EXP(-LN(2)/35))/(LN(2)/35)*FM98*FN98*VLOOKUP('Données projet'!$B$16,Paramètres!$A$1:$I$89,3,0)*0.475*44/12</f>
        <v>0.67174519762300378</v>
      </c>
      <c r="FR98" s="21">
        <f>EXP(-LN(2)/25)*FR97+(1-EXP(-LN(2)/25))/(LN(2)/25)*Calculateur!FM98*Calculateur!FO98*VLOOKUP('Données projet'!$B$16,Paramètres!$A$1:$I$89,3,0)*0.475*44/12</f>
        <v>2.6920055495382362</v>
      </c>
      <c r="FS98" s="21">
        <f>EXP(-LN(2)/2)*FS97+(1-EXP(-LN(2)/2))/(LN(2)/2)*FM98*FP98*VLOOKUP('Données projet'!$B$16,Paramètres!$A$1:$I$89,3,0)*0.475*44/12</f>
        <v>2.6172813277878289E-9</v>
      </c>
      <c r="FT98" s="22">
        <f t="shared" si="78"/>
        <v>3.3637507497785215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5.2583333333333373</v>
      </c>
      <c r="N99" s="13">
        <f>IF('Données projet'!$A$36&gt;35,N98+M99-V98,IF(A99&lt;'Données projet'!$A$36,$K$205^A99,IF(A99='Données projet'!$A$36,'Données projet'!$B$36,N98+M99-V98)))</f>
        <v>197.96089743589718</v>
      </c>
      <c r="O99" s="13">
        <f>N99*VLOOKUP('Données projet'!$B$9,Paramètres!$A$1:$I$89,3,0)*VLOOKUP('Données projet'!$B$9,Paramètres!$A$1:$I$89,5,0)</f>
        <v>179.11501999999976</v>
      </c>
      <c r="P99" s="13">
        <f t="shared" si="87"/>
        <v>45.125237978705186</v>
      </c>
      <c r="Q99" s="20">
        <f t="shared" ref="Q99:Q130" si="107">(O99+P99)*0.475*44/12</f>
        <v>390.55178264624448</v>
      </c>
      <c r="R99" s="59">
        <f t="shared" si="55"/>
        <v>683.88511597957779</v>
      </c>
      <c r="S99" s="59">
        <f ca="1">AVERAGE(OFFSET($R$3,0,0,'Données projet'!$E$9+1,1))-AVERAGE(OFFSET($H$3,0,0,'Données projet'!$E$9+1,1))</f>
        <v>153.45079678708987</v>
      </c>
      <c r="T99" s="59">
        <f t="shared" si="88"/>
        <v>115.4217868409637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0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4.6794871794871762</v>
      </c>
      <c r="AI99" s="13">
        <f>IF('Données projet'!$A$62&gt;35,AI98+AH99-AQ98,IF(A99&lt;'Données projet'!$A$62,$AF$205^A99,IF(A99='Données projet'!$A$62,'Données projet'!$B$62,AI98+AH99-AQ98)))</f>
        <v>156.64102564102572</v>
      </c>
      <c r="AJ99" s="13">
        <f>AI99*VLOOKUP('Données projet'!$B$10,Paramètres!$A$1:$I$89,3,0)*VLOOKUP('Données projet'!$B$10,Paramètres!$A$1:$I$89,5,0)</f>
        <v>141.72880000000006</v>
      </c>
      <c r="AK99" s="13">
        <f t="shared" si="89"/>
        <v>36.692765966414925</v>
      </c>
      <c r="AL99" s="20">
        <f t="shared" si="58"/>
        <v>310.75089405817272</v>
      </c>
      <c r="AM99" s="59">
        <f t="shared" si="59"/>
        <v>604.08422739150603</v>
      </c>
      <c r="AN99" s="59">
        <f ca="1">AVERAGE(OFFSET($AM$3,0,0,'Données projet'!$E$10+1,1))-AVERAGE(OFFSET($H$3,0,0,'Données projet'!$E$10+1,1))</f>
        <v>123.92486590666675</v>
      </c>
      <c r="AO99" s="59">
        <f t="shared" si="90"/>
        <v>54.404493017418986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0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1.1368683772161603E-13</v>
      </c>
      <c r="BE99" s="13">
        <f>BD99*VLOOKUP('Données projet'!$B$11,Paramètres!$A$1:$I$89,3,0)*VLOOKUP('Données projet'!$B$11,Paramètres!$A$1:$I$89,5,0)</f>
        <v>6.3550942286383367E-14</v>
      </c>
      <c r="BF99" s="13">
        <f t="shared" si="91"/>
        <v>1.0064464192543978E-12</v>
      </c>
      <c r="BG99" s="20">
        <f t="shared" si="61"/>
        <v>1.8635787380168604E-12</v>
      </c>
      <c r="BH99" s="59">
        <f t="shared" si="62"/>
        <v>293.33333333333519</v>
      </c>
      <c r="BI99" s="59">
        <f ca="1">AVERAGE(OFFSET($BH$3,0,0,'Données projet'!$E$11+1,1))-AVERAGE(OFFSET($H$3,0,0,'Données projet'!$E$11+1,1))</f>
        <v>224.7049802939942</v>
      </c>
      <c r="BJ99" s="59">
        <f t="shared" si="92"/>
        <v>203.48513862195352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0.6037737834657918</v>
      </c>
      <c r="BQ99" s="21">
        <f>EXP(-LN(2)/25)*BQ98+(1-EXP(-LN(2)/25))/(LN(2)/25)*Calculateur!BL99*Calculateur!BN99*VLOOKUP('Données projet'!$B$11,Paramètres!$A$1:$I$89,3,0)*0.475*44/12</f>
        <v>3.132285534884665</v>
      </c>
      <c r="BR99" s="21">
        <f>EXP(-LN(2)/2)*BR98+(1-EXP(-LN(2)/2))/(LN(2)/2)*BL99*BO99*VLOOKUP('Données projet'!$B$11,Paramètres!$A$1:$I$89,3,0)*0.475*44/12</f>
        <v>1.0431525985579943E-9</v>
      </c>
      <c r="BS99" s="22">
        <f t="shared" si="63"/>
        <v>3.7360593193936094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>
        <f>VLOOKUP(A99,'Données projet'!$A$113:$I$133,2,0)</f>
        <v>408.94615384615383</v>
      </c>
      <c r="BW99" s="12">
        <f>VLOOKUP(A99,'Données projet'!$A$113:$I$133,9,0)</f>
        <v>5.6987179487179462</v>
      </c>
      <c r="BX99" s="12">
        <f t="array" ref="BX99">INDEX(BW:BW,MIN(IF(ISNUMBER(BW99:BW295),ROW(BW99:BW295),"")))</f>
        <v>5.6987179487179462</v>
      </c>
      <c r="BY99" s="12">
        <f>IF('Données projet'!$A$114&gt;35,BY98+BX99-CG98,IF(A99&lt;'Données projet'!$A$114,$BV$205^A99,IF(A99='Données projet'!$A$114,'Données projet'!$B$114,BY98+BX99-CG98)))</f>
        <v>408.946153846154</v>
      </c>
      <c r="BZ99" s="13">
        <f>BY99*VLOOKUP('Données projet'!$B$12,Paramètres!$A$1:$I$89,3,0)*VLOOKUP('Données projet'!$B$12,Paramètres!$A$1:$I$89,5,0)</f>
        <v>228.60090000000011</v>
      </c>
      <c r="CA99" s="13">
        <f t="shared" si="93"/>
        <v>55.980056055507362</v>
      </c>
      <c r="CB99" s="20">
        <f t="shared" si="64"/>
        <v>495.64516513000893</v>
      </c>
      <c r="CC99" s="59">
        <f t="shared" si="65"/>
        <v>788.97849846334225</v>
      </c>
      <c r="CD99" s="59">
        <f ca="1">AVERAGE(OFFSET($CC$3,0,0,'Données projet'!$E$12+1,1))-AVERAGE(OFFSET($H$3,0,0,'Données projet'!$E$12+1,1))</f>
        <v>190.08613104982993</v>
      </c>
      <c r="CE99" s="59">
        <f t="shared" si="94"/>
        <v>180.55054525447781</v>
      </c>
      <c r="CF99" s="15">
        <f>IF(ISNA(VLOOKUP(A99,'Données projet'!$A$113:$I$133,3,0)),0,VLOOKUP(A99,'Données projet'!$A$113:$I$133,3,0))</f>
        <v>7</v>
      </c>
      <c r="CG99" s="15">
        <f>IF(ISNA(VLOOKUP(A99,'Données projet'!$A$113:$I$133,4,0)),0,VLOOKUP(A99,'Données projet'!$A$113:$I$133,4,0))</f>
        <v>59.776923076923069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0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497</v>
      </c>
      <c r="CU99" s="17">
        <f>CT99*VLOOKUP('Données projet'!$B$13,Paramètres!$A$1:$I$89,3,0)*VLOOKUP('Données projet'!$B$13,Paramètres!$A$1:$I$89,5,0)</f>
        <v>297.20600000000002</v>
      </c>
      <c r="CV99" s="13">
        <f t="shared" si="95"/>
        <v>70.590415164571112</v>
      </c>
      <c r="CW99" s="20">
        <f t="shared" si="67"/>
        <v>640.57875641162809</v>
      </c>
      <c r="CX99" s="59">
        <f t="shared" si="68"/>
        <v>933.91208974496135</v>
      </c>
      <c r="CY99" s="59">
        <f ca="1">AVERAGE(OFFSET($CX$3,0,0,'Données projet'!$E$13+1,1))-AVERAGE(OFFSET($H$3,0,0,'Données projet'!$E$13+1,1))</f>
        <v>270.30888762640245</v>
      </c>
      <c r="CZ99" s="59">
        <f t="shared" si="96"/>
        <v>202.23783851977691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0.57961116323341078</v>
      </c>
      <c r="DG99" s="21">
        <f>EXP(-LN(2)/25)*DG98+(1-EXP(-LN(2)/25))/(LN(2)/25)*Calculateur!DB99*Calculateur!DD99*VLOOKUP('Données projet'!$B$13,Paramètres!$A$1:$I$89,3,0)*0.475*44/12</f>
        <v>1.9724985730226048</v>
      </c>
      <c r="DH99" s="21">
        <f>EXP(-LN(2)/2)*DH98+(1-EXP(-LN(2)/2))/(LN(2)/2)*DB99*DE99*VLOOKUP('Données projet'!$B$13,Paramètres!$A$1:$I$89,3,0)*0.475*44/12</f>
        <v>2.1528229800125798E-9</v>
      </c>
      <c r="DI99" s="22">
        <f t="shared" si="69"/>
        <v>2.5521097384088383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433.00000000000011</v>
      </c>
      <c r="DP99" s="17">
        <f>DO99*VLOOKUP('Données projet'!$B$14,Paramètres!$A$1:$I$89,3,0)*VLOOKUP('Données projet'!$B$14,Paramètres!$A$1:$I$89,5,0)</f>
        <v>258.93400000000008</v>
      </c>
      <c r="DQ99" s="13">
        <f t="shared" si="97"/>
        <v>62.495095530116075</v>
      </c>
      <c r="DR99" s="20">
        <f t="shared" si="70"/>
        <v>559.82234138161891</v>
      </c>
      <c r="DS99" s="59">
        <f t="shared" si="71"/>
        <v>853.15567471495228</v>
      </c>
      <c r="DT99" s="59">
        <f ca="1">AVERAGE(OFFSET($DS$3,0,0,'Données projet'!$E$14+1,1))-AVERAGE(OFFSET($H$3,0,0,'Données projet'!$E$14+1,1))</f>
        <v>221.14988592347311</v>
      </c>
      <c r="DU99" s="59">
        <f t="shared" si="98"/>
        <v>179.09262081171607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0.61825190744897129</v>
      </c>
      <c r="EB99" s="21">
        <f>EXP(-LN(2)/25)*EB98+(1-EXP(-LN(2)/25))/(LN(2)/25)*Calculateur!DW99*Calculateur!DY99*VLOOKUP('Données projet'!$B$14,Paramètres!$A$1:$I$89,3,0)*0.475*44/12</f>
        <v>1.6428654458786098</v>
      </c>
      <c r="EC99" s="21">
        <f>EXP(-LN(2)/2)*EC98+(1-EXP(-LN(2)/2))/(LN(2)/2)*DW99*DZ99*VLOOKUP('Données projet'!$B$14,Paramètres!$A$1:$I$89,3,0)*0.475*44/12</f>
        <v>2.2700705473450728E-9</v>
      </c>
      <c r="ED99" s="22">
        <f t="shared" si="72"/>
        <v>2.2611173555976514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2.2737367544323206E-13</v>
      </c>
      <c r="EK99" s="17">
        <f>EJ99*VLOOKUP('Données projet'!$B$15,Paramètres!$A$1:$I$89,3,0)*VLOOKUP('Données projet'!$B$15,Paramètres!$A$1:$I$89,5,0)</f>
        <v>1.2414602679200471E-13</v>
      </c>
      <c r="EL99" s="13">
        <f t="shared" si="99"/>
        <v>1.8186582995804361E-12</v>
      </c>
      <c r="EM99" s="20">
        <f t="shared" si="73"/>
        <v>3.3837175350986671E-12</v>
      </c>
      <c r="EN99" s="59">
        <f t="shared" si="74"/>
        <v>293.33333333333672</v>
      </c>
      <c r="EO99" s="59">
        <f ca="1">AVERAGE(OFFSET($EN$3,0,0,'Données projet'!$E$15+1,1))-AVERAGE(OFFSET($H$3,0,0,'Données projet'!$E$15+1,1))</f>
        <v>168.72306536277267</v>
      </c>
      <c r="EP99" s="59">
        <f t="shared" si="100"/>
        <v>203.35476578922339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0.82321585502716266</v>
      </c>
      <c r="EW99" s="21">
        <f>EXP(-LN(2)/25)*EW98+(1-EXP(-LN(2)/25))/(LN(2)/25)*Calculateur!ER99*Calculateur!ET99*VLOOKUP('Données projet'!$B$15,Paramètres!$A$1:$I$89,3,0)*0.475*44/12</f>
        <v>3.6874464885844636</v>
      </c>
      <c r="EX99" s="21">
        <f>EXP(-LN(2)/2)*EX98+(1-EXP(-LN(2)/2))/(LN(2)/2)*ER99*EU99*VLOOKUP('Données projet'!$B$15,Paramètres!$A$1:$I$89,3,0)*0.475*44/12</f>
        <v>2.3310825487237035E-9</v>
      </c>
      <c r="EY99" s="22">
        <f t="shared" si="75"/>
        <v>4.5106623459427091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3.4106051316484809E-13</v>
      </c>
      <c r="FF99" s="17">
        <f>FE99*VLOOKUP('Données projet'!$B$16,Paramètres!$A$1:$I$89,3,0)*VLOOKUP('Données projet'!$B$16,Paramètres!$A$1:$I$89,5,0)</f>
        <v>1.8621904018800707E-13</v>
      </c>
      <c r="FG99" s="13">
        <f t="shared" si="101"/>
        <v>2.6022279988572714E-12</v>
      </c>
      <c r="FH99" s="20">
        <f t="shared" si="76"/>
        <v>4.8565452596705266E-12</v>
      </c>
      <c r="FI99" s="59">
        <f t="shared" si="77"/>
        <v>293.33333333333815</v>
      </c>
      <c r="FJ99" s="59">
        <f ca="1">AVERAGE(OFFSET($FI$3,0,0,'Données projet'!$E$16+1,1))-AVERAGE(OFFSET($H$3,0,0,'Données projet'!$E$16+1,1))</f>
        <v>127.76128532861486</v>
      </c>
      <c r="FK99" s="59">
        <f t="shared" si="102"/>
        <v>157.52303491639736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>
        <f>EXP(-LN(2)/35)*FQ98+(1-EXP(-LN(2)/35))/(LN(2)/35)*FM99*FN99*VLOOKUP('Données projet'!$B$16,Paramètres!$A$1:$I$89,3,0)*0.475*44/12</f>
        <v>0.6585726840217303</v>
      </c>
      <c r="FR99" s="21">
        <f>EXP(-LN(2)/25)*FR98+(1-EXP(-LN(2)/25))/(LN(2)/25)*Calculateur!FM99*Calculateur!FO99*VLOOKUP('Données projet'!$B$16,Paramètres!$A$1:$I$89,3,0)*0.475*44/12</f>
        <v>2.6183925162196942</v>
      </c>
      <c r="FS99" s="21">
        <f>EXP(-LN(2)/2)*FS98+(1-EXP(-LN(2)/2))/(LN(2)/2)*FM99*FP99*VLOOKUP('Données projet'!$B$16,Paramètres!$A$1:$I$89,3,0)*0.475*44/12</f>
        <v>1.8506973751517049E-9</v>
      </c>
      <c r="FT99" s="22">
        <f t="shared" si="78"/>
        <v>3.2769652020921218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5.2583333333333373</v>
      </c>
      <c r="N100" s="13">
        <f>IF('Données projet'!$A$36&gt;35,N99+M100-V99,IF(A100&lt;'Données projet'!$A$36,$K$205^A100,IF(A100='Données projet'!$A$36,'Données projet'!$B$36,N99+M100-V99)))</f>
        <v>203.21923076923051</v>
      </c>
      <c r="O100" s="13">
        <f>N100*VLOOKUP('Données projet'!$B$9,Paramètres!$A$1:$I$89,3,0)*VLOOKUP('Données projet'!$B$9,Paramètres!$A$1:$I$89,5,0)</f>
        <v>183.87275999999974</v>
      </c>
      <c r="P100" s="13">
        <f t="shared" si="87"/>
        <v>46.182733545341328</v>
      </c>
      <c r="Q100" s="20">
        <f t="shared" si="107"/>
        <v>400.67998459146901</v>
      </c>
      <c r="R100" s="59">
        <f t="shared" si="55"/>
        <v>694.01331792480232</v>
      </c>
      <c r="S100" s="59">
        <f ca="1">AVERAGE(OFFSET($R$3,0,0,'Données projet'!$E$9+1,1))-AVERAGE(OFFSET($H$3,0,0,'Données projet'!$E$9+1,1))</f>
        <v>153.45079678708987</v>
      </c>
      <c r="T100" s="59">
        <f t="shared" si="88"/>
        <v>115.4217868409637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0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4.6794871794871762</v>
      </c>
      <c r="AI100" s="13">
        <f>IF('Données projet'!$A$62&gt;35,AI99+AH100-AQ99,IF(A100&lt;'Données projet'!$A$62,$AF$205^A100,IF(A100='Données projet'!$A$62,'Données projet'!$B$62,AI99+AH100-AQ99)))</f>
        <v>161.3205128205129</v>
      </c>
      <c r="AJ100" s="13">
        <f>AI100*VLOOKUP('Données projet'!$B$10,Paramètres!$A$1:$I$89,3,0)*VLOOKUP('Données projet'!$B$10,Paramètres!$A$1:$I$89,5,0)</f>
        <v>145.96280000000007</v>
      </c>
      <c r="AK100" s="13">
        <f t="shared" si="89"/>
        <v>37.659665678128654</v>
      </c>
      <c r="AL100" s="20">
        <f t="shared" si="58"/>
        <v>319.80912772274087</v>
      </c>
      <c r="AM100" s="59">
        <f t="shared" si="59"/>
        <v>613.14246105607413</v>
      </c>
      <c r="AN100" s="59">
        <f ca="1">AVERAGE(OFFSET($AM$3,0,0,'Données projet'!$E$10+1,1))-AVERAGE(OFFSET($H$3,0,0,'Données projet'!$E$10+1,1))</f>
        <v>123.92486590666675</v>
      </c>
      <c r="AO100" s="59">
        <f t="shared" si="90"/>
        <v>54.404493017418986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0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1.1368683772161603E-13</v>
      </c>
      <c r="BE100" s="13">
        <f>BD100*VLOOKUP('Données projet'!$B$11,Paramètres!$A$1:$I$89,3,0)*VLOOKUP('Données projet'!$B$11,Paramètres!$A$1:$I$89,5,0)</f>
        <v>6.3550942286383367E-14</v>
      </c>
      <c r="BF100" s="13">
        <f t="shared" si="91"/>
        <v>1.0064464192543978E-12</v>
      </c>
      <c r="BG100" s="20">
        <f t="shared" si="61"/>
        <v>1.8635787380168604E-12</v>
      </c>
      <c r="BH100" s="59">
        <f t="shared" si="62"/>
        <v>293.33333333333519</v>
      </c>
      <c r="BI100" s="59">
        <f ca="1">AVERAGE(OFFSET($BH$3,0,0,'Données projet'!$E$11+1,1))-AVERAGE(OFFSET($H$3,0,0,'Données projet'!$E$11+1,1))</f>
        <v>224.7049802939942</v>
      </c>
      <c r="BJ100" s="59">
        <f t="shared" si="92"/>
        <v>203.48513862195352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0.59193414783767229</v>
      </c>
      <c r="BQ100" s="21">
        <f>EXP(-LN(2)/25)*BQ99+(1-EXP(-LN(2)/25))/(LN(2)/25)*Calculateur!BL100*Calculateur!BN100*VLOOKUP('Données projet'!$B$11,Paramètres!$A$1:$I$89,3,0)*0.475*44/12</f>
        <v>3.0466330222135065</v>
      </c>
      <c r="BR100" s="21">
        <f>EXP(-LN(2)/2)*BR99+(1-EXP(-LN(2)/2))/(LN(2)/2)*BL100*BO100*VLOOKUP('Données projet'!$B$11,Paramètres!$A$1:$I$89,3,0)*0.475*44/12</f>
        <v>7.3762027625272613E-10</v>
      </c>
      <c r="BS100" s="22">
        <f t="shared" si="63"/>
        <v>3.6385671707887988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4.4717948717948701</v>
      </c>
      <c r="BY100" s="12">
        <f>IF('Données projet'!$A$114&gt;35,BY99+BX100-CG99,IF(A100&lt;'Données projet'!$A$114,$BV$205^A100,IF(A100='Données projet'!$A$114,'Données projet'!$B$114,BY99+BX100-CG99)))</f>
        <v>353.64102564102581</v>
      </c>
      <c r="BZ100" s="13">
        <f>BY100*VLOOKUP('Données projet'!$B$12,Paramètres!$A$1:$I$89,3,0)*VLOOKUP('Données projet'!$B$12,Paramètres!$A$1:$I$89,5,0)</f>
        <v>197.68533333333343</v>
      </c>
      <c r="CA100" s="13">
        <f t="shared" si="93"/>
        <v>49.235129925468549</v>
      </c>
      <c r="CB100" s="20">
        <f t="shared" si="64"/>
        <v>430.05314017574682</v>
      </c>
      <c r="CC100" s="59">
        <f t="shared" si="65"/>
        <v>723.38647350908013</v>
      </c>
      <c r="CD100" s="59">
        <f ca="1">AVERAGE(OFFSET($CC$3,0,0,'Données projet'!$E$12+1,1))-AVERAGE(OFFSET($H$3,0,0,'Données projet'!$E$12+1,1))</f>
        <v>190.08613104982993</v>
      </c>
      <c r="CE100" s="59">
        <f t="shared" si="94"/>
        <v>180.55054525447781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0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497</v>
      </c>
      <c r="CU100" s="17">
        <f>CT100*VLOOKUP('Données projet'!$B$13,Paramètres!$A$1:$I$89,3,0)*VLOOKUP('Données projet'!$B$13,Paramètres!$A$1:$I$89,5,0)</f>
        <v>297.20600000000002</v>
      </c>
      <c r="CV100" s="13">
        <f t="shared" si="95"/>
        <v>70.590415164571112</v>
      </c>
      <c r="CW100" s="20">
        <f t="shared" si="67"/>
        <v>640.57875641162809</v>
      </c>
      <c r="CX100" s="59">
        <f t="shared" si="68"/>
        <v>933.91208974496135</v>
      </c>
      <c r="CY100" s="59">
        <f ca="1">AVERAGE(OFFSET($CX$3,0,0,'Données projet'!$E$13+1,1))-AVERAGE(OFFSET($H$3,0,0,'Données projet'!$E$13+1,1))</f>
        <v>270.30888762640245</v>
      </c>
      <c r="CZ100" s="59">
        <f t="shared" si="96"/>
        <v>202.23783851977691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0.56824534185030517</v>
      </c>
      <c r="DG100" s="21">
        <f>EXP(-LN(2)/25)*DG99+(1-EXP(-LN(2)/25))/(LN(2)/25)*Calculateur!DB100*Calculateur!DD100*VLOOKUP('Données projet'!$B$13,Paramètres!$A$1:$I$89,3,0)*0.475*44/12</f>
        <v>1.9185604958141098</v>
      </c>
      <c r="DH100" s="21">
        <f>EXP(-LN(2)/2)*DH99+(1-EXP(-LN(2)/2))/(LN(2)/2)*DB100*DE100*VLOOKUP('Données projet'!$B$13,Paramètres!$A$1:$I$89,3,0)*0.475*44/12</f>
        <v>1.5222757278611265E-9</v>
      </c>
      <c r="DI100" s="22">
        <f t="shared" si="69"/>
        <v>2.4868058391866907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433.00000000000011</v>
      </c>
      <c r="DP100" s="17">
        <f>DO100*VLOOKUP('Données projet'!$B$14,Paramètres!$A$1:$I$89,3,0)*VLOOKUP('Données projet'!$B$14,Paramètres!$A$1:$I$89,5,0)</f>
        <v>258.93400000000008</v>
      </c>
      <c r="DQ100" s="13">
        <f t="shared" si="97"/>
        <v>62.495095530116075</v>
      </c>
      <c r="DR100" s="20">
        <f t="shared" si="70"/>
        <v>559.82234138161891</v>
      </c>
      <c r="DS100" s="59">
        <f t="shared" si="71"/>
        <v>853.15567471495228</v>
      </c>
      <c r="DT100" s="59">
        <f ca="1">AVERAGE(OFFSET($DS$3,0,0,'Données projet'!$E$14+1,1))-AVERAGE(OFFSET($H$3,0,0,'Données projet'!$E$14+1,1))</f>
        <v>221.14988592347311</v>
      </c>
      <c r="DU100" s="59">
        <f t="shared" si="98"/>
        <v>179.09262081171607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0.60612836464032538</v>
      </c>
      <c r="EB100" s="21">
        <f>EXP(-LN(2)/25)*EB99+(1-EXP(-LN(2)/25))/(LN(2)/25)*Calculateur!DW100*Calculateur!DY100*VLOOKUP('Données projet'!$B$14,Paramètres!$A$1:$I$89,3,0)*0.475*44/12</f>
        <v>1.5979412038665202</v>
      </c>
      <c r="EC100" s="21">
        <f>EXP(-LN(2)/2)*EC99+(1-EXP(-LN(2)/2))/(LN(2)/2)*DW100*DZ100*VLOOKUP('Données projet'!$B$14,Paramètres!$A$1:$I$89,3,0)*0.475*44/12</f>
        <v>1.6051822777995586E-9</v>
      </c>
      <c r="ED100" s="22">
        <f t="shared" si="72"/>
        <v>2.2040695701120279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2.2737367544323206E-13</v>
      </c>
      <c r="EK100" s="17">
        <f>EJ100*VLOOKUP('Données projet'!$B$15,Paramètres!$A$1:$I$89,3,0)*VLOOKUP('Données projet'!$B$15,Paramètres!$A$1:$I$89,5,0)</f>
        <v>1.2414602679200471E-13</v>
      </c>
      <c r="EL100" s="13">
        <f t="shared" si="99"/>
        <v>1.8186582995804361E-12</v>
      </c>
      <c r="EM100" s="20">
        <f t="shared" si="73"/>
        <v>3.3837175350986671E-12</v>
      </c>
      <c r="EN100" s="59">
        <f t="shared" si="74"/>
        <v>293.33333333333672</v>
      </c>
      <c r="EO100" s="59">
        <f ca="1">AVERAGE(OFFSET($EN$3,0,0,'Données projet'!$E$15+1,1))-AVERAGE(OFFSET($H$3,0,0,'Données projet'!$E$15+1,1))</f>
        <v>168.72306536277267</v>
      </c>
      <c r="EP100" s="59">
        <f t="shared" si="100"/>
        <v>203.35476578922339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0.8070730942221721</v>
      </c>
      <c r="EW100" s="21">
        <f>EXP(-LN(2)/25)*EW99+(1-EXP(-LN(2)/25))/(LN(2)/25)*Calculateur!ER100*Calculateur!ET100*VLOOKUP('Données projet'!$B$15,Paramètres!$A$1:$I$89,3,0)*0.475*44/12</f>
        <v>3.5866130704397383</v>
      </c>
      <c r="EX100" s="21">
        <f>EXP(-LN(2)/2)*EX99+(1-EXP(-LN(2)/2))/(LN(2)/2)*ER100*EU100*VLOOKUP('Données projet'!$B$15,Paramètres!$A$1:$I$89,3,0)*0.475*44/12</f>
        <v>1.6483242777081513E-9</v>
      </c>
      <c r="EY100" s="22">
        <f t="shared" si="75"/>
        <v>4.3936861663102347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3.4106051316484809E-13</v>
      </c>
      <c r="FF100" s="17">
        <f>FE100*VLOOKUP('Données projet'!$B$16,Paramètres!$A$1:$I$89,3,0)*VLOOKUP('Données projet'!$B$16,Paramètres!$A$1:$I$89,5,0)</f>
        <v>1.8621904018800707E-13</v>
      </c>
      <c r="FG100" s="13">
        <f t="shared" si="101"/>
        <v>2.6022279988572714E-12</v>
      </c>
      <c r="FH100" s="20">
        <f t="shared" si="76"/>
        <v>4.8565452596705266E-12</v>
      </c>
      <c r="FI100" s="59">
        <f t="shared" si="77"/>
        <v>293.33333333333815</v>
      </c>
      <c r="FJ100" s="59">
        <f ca="1">AVERAGE(OFFSET($FI$3,0,0,'Données projet'!$E$16+1,1))-AVERAGE(OFFSET($H$3,0,0,'Données projet'!$E$16+1,1))</f>
        <v>127.76128532861486</v>
      </c>
      <c r="FK100" s="59">
        <f t="shared" si="102"/>
        <v>157.52303491639736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>
        <f>EXP(-LN(2)/35)*FQ99+(1-EXP(-LN(2)/35))/(LN(2)/35)*FM100*FN100*VLOOKUP('Données projet'!$B$16,Paramètres!$A$1:$I$89,3,0)*0.475*44/12</f>
        <v>0.64565847537773791</v>
      </c>
      <c r="FR100" s="21">
        <f>EXP(-LN(2)/25)*FR99+(1-EXP(-LN(2)/25))/(LN(2)/25)*Calculateur!FM100*Calculateur!FO100*VLOOKUP('Données projet'!$B$16,Paramètres!$A$1:$I$89,3,0)*0.475*44/12</f>
        <v>2.5467924351683888</v>
      </c>
      <c r="FS100" s="21">
        <f>EXP(-LN(2)/2)*FS99+(1-EXP(-LN(2)/2))/(LN(2)/2)*FM100*FP100*VLOOKUP('Données projet'!$B$16,Paramètres!$A$1:$I$89,3,0)*0.475*44/12</f>
        <v>1.3086406638939147E-9</v>
      </c>
      <c r="FT100" s="22">
        <f t="shared" si="78"/>
        <v>3.1924509118547673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5.2583333333333373</v>
      </c>
      <c r="N101" s="13">
        <f>IF('Données projet'!$A$36&gt;35,N100+M101-V100,IF(A101&lt;'Données projet'!$A$36,$K$205^A101,IF(A101='Données projet'!$A$36,'Données projet'!$B$36,N100+M101-V100)))</f>
        <v>208.47756410256383</v>
      </c>
      <c r="O101" s="13">
        <f>N101*VLOOKUP('Données projet'!$B$9,Paramètres!$A$1:$I$89,3,0)*VLOOKUP('Données projet'!$B$9,Paramètres!$A$1:$I$89,5,0)</f>
        <v>188.63049999999973</v>
      </c>
      <c r="P101" s="13">
        <f t="shared" si="87"/>
        <v>47.237048488890842</v>
      </c>
      <c r="Q101" s="20">
        <f t="shared" si="107"/>
        <v>410.80264695148441</v>
      </c>
      <c r="R101" s="59">
        <f t="shared" si="55"/>
        <v>704.13598028481772</v>
      </c>
      <c r="S101" s="59">
        <f ca="1">AVERAGE(OFFSET($R$3,0,0,'Données projet'!$E$9+1,1))-AVERAGE(OFFSET($H$3,0,0,'Données projet'!$E$9+1,1))</f>
        <v>153.45079678708987</v>
      </c>
      <c r="T101" s="59">
        <f t="shared" si="88"/>
        <v>115.4217868409637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0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4.6794871794871762</v>
      </c>
      <c r="AI101" s="13">
        <f>IF('Données projet'!$A$62&gt;35,AI100+AH101-AQ100,IF(A101&lt;'Données projet'!$A$62,$AF$205^A101,IF(A101='Données projet'!$A$62,'Données projet'!$B$62,AI100+AH101-AQ100)))</f>
        <v>166.00000000000009</v>
      </c>
      <c r="AJ101" s="13">
        <f>AI101*VLOOKUP('Données projet'!$B$10,Paramètres!$A$1:$I$89,3,0)*VLOOKUP('Données projet'!$B$10,Paramètres!$A$1:$I$89,5,0)</f>
        <v>150.19680000000008</v>
      </c>
      <c r="AK101" s="13">
        <f t="shared" si="89"/>
        <v>38.623305713694506</v>
      </c>
      <c r="AL101" s="20">
        <f t="shared" si="58"/>
        <v>328.8616841180181</v>
      </c>
      <c r="AM101" s="59">
        <f t="shared" si="59"/>
        <v>622.19501745135142</v>
      </c>
      <c r="AN101" s="59">
        <f ca="1">AVERAGE(OFFSET($AM$3,0,0,'Données projet'!$E$10+1,1))-AVERAGE(OFFSET($H$3,0,0,'Données projet'!$E$10+1,1))</f>
        <v>123.92486590666675</v>
      </c>
      <c r="AO101" s="59">
        <f t="shared" si="90"/>
        <v>54.404493017418986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0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1.1368683772161603E-13</v>
      </c>
      <c r="BE101" s="13">
        <f>BD101*VLOOKUP('Données projet'!$B$11,Paramètres!$A$1:$I$89,3,0)*VLOOKUP('Données projet'!$B$11,Paramètres!$A$1:$I$89,5,0)</f>
        <v>6.3550942286383367E-14</v>
      </c>
      <c r="BF101" s="13">
        <f t="shared" si="91"/>
        <v>1.0064464192543978E-12</v>
      </c>
      <c r="BG101" s="20">
        <f t="shared" si="61"/>
        <v>1.8635787380168604E-12</v>
      </c>
      <c r="BH101" s="59">
        <f t="shared" si="62"/>
        <v>293.33333333333519</v>
      </c>
      <c r="BI101" s="59">
        <f ca="1">AVERAGE(OFFSET($BH$3,0,0,'Données projet'!$E$11+1,1))-AVERAGE(OFFSET($H$3,0,0,'Données projet'!$E$11+1,1))</f>
        <v>224.7049802939942</v>
      </c>
      <c r="BJ101" s="59">
        <f t="shared" si="92"/>
        <v>203.48513862195352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0.58032668024275558</v>
      </c>
      <c r="BQ101" s="21">
        <f>EXP(-LN(2)/25)*BQ100+(1-EXP(-LN(2)/25))/(LN(2)/25)*Calculateur!BL101*Calculateur!BN101*VLOOKUP('Données projet'!$B$11,Paramètres!$A$1:$I$89,3,0)*0.475*44/12</f>
        <v>2.9633226820056109</v>
      </c>
      <c r="BR101" s="21">
        <f>EXP(-LN(2)/2)*BR100+(1-EXP(-LN(2)/2))/(LN(2)/2)*BL101*BO101*VLOOKUP('Données projet'!$B$11,Paramètres!$A$1:$I$89,3,0)*0.475*44/12</f>
        <v>5.2157629927899715E-10</v>
      </c>
      <c r="BS101" s="22">
        <f t="shared" si="63"/>
        <v>3.5436493627699428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4.4717948717948701</v>
      </c>
      <c r="BY101" s="12">
        <f>IF('Données projet'!$A$114&gt;35,BY100+BX101-CG100,IF(A101&lt;'Données projet'!$A$114,$BV$205^A101,IF(A101='Données projet'!$A$114,'Données projet'!$B$114,BY100+BX101-CG100)))</f>
        <v>358.11282051282069</v>
      </c>
      <c r="BZ101" s="13">
        <f>BY101*VLOOKUP('Données projet'!$B$12,Paramètres!$A$1:$I$89,3,0)*VLOOKUP('Données projet'!$B$12,Paramètres!$A$1:$I$89,5,0)</f>
        <v>200.18506666666676</v>
      </c>
      <c r="CA101" s="13">
        <f t="shared" si="93"/>
        <v>49.784837587690674</v>
      </c>
      <c r="CB101" s="20">
        <f t="shared" si="64"/>
        <v>435.36424990967254</v>
      </c>
      <c r="CC101" s="59">
        <f t="shared" si="65"/>
        <v>728.69758324300585</v>
      </c>
      <c r="CD101" s="59">
        <f ca="1">AVERAGE(OFFSET($CC$3,0,0,'Données projet'!$E$12+1,1))-AVERAGE(OFFSET($H$3,0,0,'Données projet'!$E$12+1,1))</f>
        <v>190.08613104982993</v>
      </c>
      <c r="CE101" s="59">
        <f t="shared" si="94"/>
        <v>180.55054525447781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0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497</v>
      </c>
      <c r="CU101" s="17">
        <f>CT101*VLOOKUP('Données projet'!$B$13,Paramètres!$A$1:$I$89,3,0)*VLOOKUP('Données projet'!$B$13,Paramètres!$A$1:$I$89,5,0)</f>
        <v>297.20600000000002</v>
      </c>
      <c r="CV101" s="13">
        <f t="shared" si="95"/>
        <v>70.590415164571112</v>
      </c>
      <c r="CW101" s="20">
        <f t="shared" si="67"/>
        <v>640.57875641162809</v>
      </c>
      <c r="CX101" s="59">
        <f t="shared" si="68"/>
        <v>933.91208974496135</v>
      </c>
      <c r="CY101" s="59">
        <f ca="1">AVERAGE(OFFSET($CX$3,0,0,'Données projet'!$E$13+1,1))-AVERAGE(OFFSET($H$3,0,0,'Données projet'!$E$13+1,1))</f>
        <v>270.30888762640245</v>
      </c>
      <c r="CZ101" s="59">
        <f t="shared" si="96"/>
        <v>202.23783851977691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0.5571023972920558</v>
      </c>
      <c r="DG101" s="21">
        <f>EXP(-LN(2)/25)*DG100+(1-EXP(-LN(2)/25))/(LN(2)/25)*Calculateur!DB101*Calculateur!DD101*VLOOKUP('Données projet'!$B$13,Paramètres!$A$1:$I$89,3,0)*0.475*44/12</f>
        <v>1.8660973581633615</v>
      </c>
      <c r="DH101" s="21">
        <f>EXP(-LN(2)/2)*DH100+(1-EXP(-LN(2)/2))/(LN(2)/2)*DB101*DE101*VLOOKUP('Données projet'!$B$13,Paramètres!$A$1:$I$89,3,0)*0.475*44/12</f>
        <v>1.0764114900062899E-9</v>
      </c>
      <c r="DI101" s="22">
        <f t="shared" si="69"/>
        <v>2.4231997565318286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433.00000000000011</v>
      </c>
      <c r="DP101" s="17">
        <f>DO101*VLOOKUP('Données projet'!$B$14,Paramètres!$A$1:$I$89,3,0)*VLOOKUP('Données projet'!$B$14,Paramètres!$A$1:$I$89,5,0)</f>
        <v>258.93400000000008</v>
      </c>
      <c r="DQ101" s="13">
        <f t="shared" si="97"/>
        <v>62.495095530116075</v>
      </c>
      <c r="DR101" s="20">
        <f t="shared" si="70"/>
        <v>559.82234138161891</v>
      </c>
      <c r="DS101" s="59">
        <f t="shared" si="71"/>
        <v>853.15567471495228</v>
      </c>
      <c r="DT101" s="59">
        <f ca="1">AVERAGE(OFFSET($DS$3,0,0,'Données projet'!$E$14+1,1))-AVERAGE(OFFSET($H$3,0,0,'Données projet'!$E$14+1,1))</f>
        <v>221.14988592347311</v>
      </c>
      <c r="DU101" s="59">
        <f t="shared" si="98"/>
        <v>179.09262081171607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0.59424255711152596</v>
      </c>
      <c r="EB101" s="21">
        <f>EXP(-LN(2)/25)*EB100+(1-EXP(-LN(2)/25))/(LN(2)/25)*Calculateur!DW101*Calculateur!DY101*VLOOKUP('Données projet'!$B$14,Paramètres!$A$1:$I$89,3,0)*0.475*44/12</f>
        <v>1.5542454176147145</v>
      </c>
      <c r="EC101" s="21">
        <f>EXP(-LN(2)/2)*EC100+(1-EXP(-LN(2)/2))/(LN(2)/2)*DW101*DZ101*VLOOKUP('Données projet'!$B$14,Paramètres!$A$1:$I$89,3,0)*0.475*44/12</f>
        <v>1.1350352736725364E-9</v>
      </c>
      <c r="ED101" s="22">
        <f t="shared" si="72"/>
        <v>2.1484879758612756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2.2737367544323206E-13</v>
      </c>
      <c r="EK101" s="17">
        <f>EJ101*VLOOKUP('Données projet'!$B$15,Paramètres!$A$1:$I$89,3,0)*VLOOKUP('Données projet'!$B$15,Paramètres!$A$1:$I$89,5,0)</f>
        <v>1.2414602679200471E-13</v>
      </c>
      <c r="EL101" s="13">
        <f t="shared" si="99"/>
        <v>1.8186582995804361E-12</v>
      </c>
      <c r="EM101" s="20">
        <f t="shared" si="73"/>
        <v>3.3837175350986671E-12</v>
      </c>
      <c r="EN101" s="59">
        <f t="shared" si="74"/>
        <v>293.33333333333672</v>
      </c>
      <c r="EO101" s="59">
        <f ca="1">AVERAGE(OFFSET($EN$3,0,0,'Données projet'!$E$15+1,1))-AVERAGE(OFFSET($H$3,0,0,'Données projet'!$E$15+1,1))</f>
        <v>168.72306536277267</v>
      </c>
      <c r="EP101" s="59">
        <f t="shared" si="100"/>
        <v>203.35476578922339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0.79124688311045555</v>
      </c>
      <c r="EW101" s="21">
        <f>EXP(-LN(2)/25)*EW100+(1-EXP(-LN(2)/25))/(LN(2)/25)*Calculateur!ER101*Calculateur!ET101*VLOOKUP('Données projet'!$B$15,Paramètres!$A$1:$I$89,3,0)*0.475*44/12</f>
        <v>3.4885369474167796</v>
      </c>
      <c r="EX101" s="21">
        <f>EXP(-LN(2)/2)*EX100+(1-EXP(-LN(2)/2))/(LN(2)/2)*ER101*EU101*VLOOKUP('Données projet'!$B$15,Paramètres!$A$1:$I$89,3,0)*0.475*44/12</f>
        <v>1.1655412743618517E-9</v>
      </c>
      <c r="EY101" s="22">
        <f t="shared" si="75"/>
        <v>4.2797838316927761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3.4106051316484809E-13</v>
      </c>
      <c r="FF101" s="17">
        <f>FE101*VLOOKUP('Données projet'!$B$16,Paramètres!$A$1:$I$89,3,0)*VLOOKUP('Données projet'!$B$16,Paramètres!$A$1:$I$89,5,0)</f>
        <v>1.8621904018800707E-13</v>
      </c>
      <c r="FG101" s="13">
        <f t="shared" si="101"/>
        <v>2.6022279988572714E-12</v>
      </c>
      <c r="FH101" s="20">
        <f t="shared" si="76"/>
        <v>4.8565452596705266E-12</v>
      </c>
      <c r="FI101" s="59">
        <f t="shared" si="77"/>
        <v>293.33333333333815</v>
      </c>
      <c r="FJ101" s="59">
        <f ca="1">AVERAGE(OFFSET($FI$3,0,0,'Données projet'!$E$16+1,1))-AVERAGE(OFFSET($H$3,0,0,'Données projet'!$E$16+1,1))</f>
        <v>127.76128532861486</v>
      </c>
      <c r="FK101" s="59">
        <f t="shared" si="102"/>
        <v>157.52303491639736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>
        <f>EXP(-LN(2)/35)*FQ100+(1-EXP(-LN(2)/35))/(LN(2)/35)*FM101*FN101*VLOOKUP('Données projet'!$B$16,Paramètres!$A$1:$I$89,3,0)*0.475*44/12</f>
        <v>0.63299750648836461</v>
      </c>
      <c r="FR101" s="21">
        <f>EXP(-LN(2)/25)*FR100+(1-EXP(-LN(2)/25))/(LN(2)/25)*Calculateur!FM101*Calculateur!FO101*VLOOKUP('Données projet'!$B$16,Paramètres!$A$1:$I$89,3,0)*0.475*44/12</f>
        <v>2.477150262098716</v>
      </c>
      <c r="FS101" s="21">
        <f>EXP(-LN(2)/2)*FS100+(1-EXP(-LN(2)/2))/(LN(2)/2)*FM101*FP101*VLOOKUP('Données projet'!$B$16,Paramètres!$A$1:$I$89,3,0)*0.475*44/12</f>
        <v>9.2534868757585268E-10</v>
      </c>
      <c r="FT101" s="22">
        <f t="shared" si="78"/>
        <v>3.1101477695124293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5.2583333333333373</v>
      </c>
      <c r="N102" s="13">
        <f>IF('Données projet'!$A$36&gt;35,N101+M102-V101,IF(A102&lt;'Données projet'!$A$36,$K$205^A102,IF(A102='Données projet'!$A$36,'Données projet'!$B$36,N101+M102-V101)))</f>
        <v>213.73589743589716</v>
      </c>
      <c r="O102" s="13">
        <f>N102*VLOOKUP('Données projet'!$B$9,Paramètres!$A$1:$I$89,3,0)*VLOOKUP('Données projet'!$B$9,Paramètres!$A$1:$I$89,5,0)</f>
        <v>193.38823999999974</v>
      </c>
      <c r="P102" s="13">
        <f t="shared" si="87"/>
        <v>48.288272258589146</v>
      </c>
      <c r="Q102" s="20">
        <f t="shared" si="107"/>
        <v>420.91992551704237</v>
      </c>
      <c r="R102" s="59">
        <f t="shared" si="55"/>
        <v>714.25325885037569</v>
      </c>
      <c r="S102" s="59">
        <f ca="1">AVERAGE(OFFSET($R$3,0,0,'Données projet'!$E$9+1,1))-AVERAGE(OFFSET($H$3,0,0,'Données projet'!$E$9+1,1))</f>
        <v>153.45079678708987</v>
      </c>
      <c r="T102" s="59">
        <f t="shared" si="88"/>
        <v>115.4217868409637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0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4.6794871794871762</v>
      </c>
      <c r="AI102" s="13">
        <f>IF('Données projet'!$A$62&gt;35,AI101+AH102-AQ101,IF(A102&lt;'Données projet'!$A$62,$AF$205^A102,IF(A102='Données projet'!$A$62,'Données projet'!$B$62,AI101+AH102-AQ101)))</f>
        <v>170.67948717948727</v>
      </c>
      <c r="AJ102" s="13">
        <f>AI102*VLOOKUP('Données projet'!$B$10,Paramètres!$A$1:$I$89,3,0)*VLOOKUP('Données projet'!$B$10,Paramètres!$A$1:$I$89,5,0)</f>
        <v>154.43080000000006</v>
      </c>
      <c r="AK102" s="13">
        <f t="shared" si="89"/>
        <v>39.583788517621677</v>
      </c>
      <c r="AL102" s="20">
        <f t="shared" si="58"/>
        <v>337.90874166819123</v>
      </c>
      <c r="AM102" s="59">
        <f t="shared" si="59"/>
        <v>631.24207500152454</v>
      </c>
      <c r="AN102" s="59">
        <f ca="1">AVERAGE(OFFSET($AM$3,0,0,'Données projet'!$E$10+1,1))-AVERAGE(OFFSET($H$3,0,0,'Données projet'!$E$10+1,1))</f>
        <v>123.92486590666675</v>
      </c>
      <c r="AO102" s="59">
        <f t="shared" si="90"/>
        <v>54.404493017418986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0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1.1368683772161603E-13</v>
      </c>
      <c r="BE102" s="13">
        <f>BD102*VLOOKUP('Données projet'!$B$11,Paramètres!$A$1:$I$89,3,0)*VLOOKUP('Données projet'!$B$11,Paramètres!$A$1:$I$89,5,0)</f>
        <v>6.3550942286383367E-14</v>
      </c>
      <c r="BF102" s="13">
        <f t="shared" si="91"/>
        <v>1.0064464192543978E-12</v>
      </c>
      <c r="BG102" s="20">
        <f t="shared" si="61"/>
        <v>1.8635787380168604E-12</v>
      </c>
      <c r="BH102" s="59">
        <f t="shared" si="62"/>
        <v>293.33333333333519</v>
      </c>
      <c r="BI102" s="59">
        <f ca="1">AVERAGE(OFFSET($BH$3,0,0,'Données projet'!$E$11+1,1))-AVERAGE(OFFSET($H$3,0,0,'Données projet'!$E$11+1,1))</f>
        <v>224.7049802939942</v>
      </c>
      <c r="BJ102" s="59">
        <f t="shared" si="92"/>
        <v>203.48513862195352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0.56894682800751906</v>
      </c>
      <c r="BQ102" s="21">
        <f>EXP(-LN(2)/25)*BQ101+(1-EXP(-LN(2)/25))/(LN(2)/25)*Calculateur!BL102*Calculateur!BN102*VLOOKUP('Données projet'!$B$11,Paramètres!$A$1:$I$89,3,0)*0.475*44/12</f>
        <v>2.8822904674318002</v>
      </c>
      <c r="BR102" s="21">
        <f>EXP(-LN(2)/2)*BR101+(1-EXP(-LN(2)/2))/(LN(2)/2)*BL102*BO102*VLOOKUP('Données projet'!$B$11,Paramètres!$A$1:$I$89,3,0)*0.475*44/12</f>
        <v>3.6881013812636306E-10</v>
      </c>
      <c r="BS102" s="22">
        <f t="shared" si="63"/>
        <v>3.4512372958081294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4.4717948717948701</v>
      </c>
      <c r="BY102" s="12">
        <f>IF('Données projet'!$A$114&gt;35,BY101+BX102-CG101,IF(A102&lt;'Données projet'!$A$114,$BV$205^A102,IF(A102='Données projet'!$A$114,'Données projet'!$B$114,BY101+BX102-CG101)))</f>
        <v>362.58461538461557</v>
      </c>
      <c r="BZ102" s="13">
        <f>BY102*VLOOKUP('Données projet'!$B$12,Paramètres!$A$1:$I$89,3,0)*VLOOKUP('Données projet'!$B$12,Paramètres!$A$1:$I$89,5,0)</f>
        <v>202.68480000000011</v>
      </c>
      <c r="CA102" s="13">
        <f t="shared" si="93"/>
        <v>50.333746808369732</v>
      </c>
      <c r="CB102" s="20">
        <f t="shared" si="64"/>
        <v>440.6739690245775</v>
      </c>
      <c r="CC102" s="59">
        <f t="shared" si="65"/>
        <v>734.00730235791082</v>
      </c>
      <c r="CD102" s="59">
        <f ca="1">AVERAGE(OFFSET($CC$3,0,0,'Données projet'!$E$12+1,1))-AVERAGE(OFFSET($H$3,0,0,'Données projet'!$E$12+1,1))</f>
        <v>190.08613104982993</v>
      </c>
      <c r="CE102" s="59">
        <f t="shared" si="94"/>
        <v>180.55054525447781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0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497</v>
      </c>
      <c r="CU102" s="17">
        <f>CT102*VLOOKUP('Données projet'!$B$13,Paramètres!$A$1:$I$89,3,0)*VLOOKUP('Données projet'!$B$13,Paramètres!$A$1:$I$89,5,0)</f>
        <v>297.20600000000002</v>
      </c>
      <c r="CV102" s="13">
        <f t="shared" si="95"/>
        <v>70.590415164571112</v>
      </c>
      <c r="CW102" s="20">
        <f t="shared" si="67"/>
        <v>640.57875641162809</v>
      </c>
      <c r="CX102" s="59">
        <f t="shared" si="68"/>
        <v>933.91208974496135</v>
      </c>
      <c r="CY102" s="59">
        <f ca="1">AVERAGE(OFFSET($CX$3,0,0,'Données projet'!$E$13+1,1))-AVERAGE(OFFSET($H$3,0,0,'Données projet'!$E$13+1,1))</f>
        <v>270.30888762640245</v>
      </c>
      <c r="CZ102" s="59">
        <f t="shared" si="96"/>
        <v>202.23783851977691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0.54617795908006861</v>
      </c>
      <c r="DG102" s="21">
        <f>EXP(-LN(2)/25)*DG101+(1-EXP(-LN(2)/25))/(LN(2)/25)*Calculateur!DB102*Calculateur!DD102*VLOOKUP('Données projet'!$B$13,Paramètres!$A$1:$I$89,3,0)*0.475*44/12</f>
        <v>1.8150688277705893</v>
      </c>
      <c r="DH102" s="21">
        <f>EXP(-LN(2)/2)*DH101+(1-EXP(-LN(2)/2))/(LN(2)/2)*DB102*DE102*VLOOKUP('Données projet'!$B$13,Paramètres!$A$1:$I$89,3,0)*0.475*44/12</f>
        <v>7.6113786393056323E-10</v>
      </c>
      <c r="DI102" s="22">
        <f t="shared" si="69"/>
        <v>2.3612467876117957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433.00000000000011</v>
      </c>
      <c r="DP102" s="17">
        <f>DO102*VLOOKUP('Données projet'!$B$14,Paramètres!$A$1:$I$89,3,0)*VLOOKUP('Données projet'!$B$14,Paramètres!$A$1:$I$89,5,0)</f>
        <v>258.93400000000008</v>
      </c>
      <c r="DQ102" s="13">
        <f t="shared" si="97"/>
        <v>62.495095530116075</v>
      </c>
      <c r="DR102" s="20">
        <f t="shared" si="70"/>
        <v>559.82234138161891</v>
      </c>
      <c r="DS102" s="59">
        <f t="shared" si="71"/>
        <v>853.15567471495228</v>
      </c>
      <c r="DT102" s="59">
        <f ca="1">AVERAGE(OFFSET($DS$3,0,0,'Données projet'!$E$14+1,1))-AVERAGE(OFFSET($H$3,0,0,'Données projet'!$E$14+1,1))</f>
        <v>221.14988592347311</v>
      </c>
      <c r="DU102" s="59">
        <f t="shared" si="98"/>
        <v>179.09262081171607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0.58258982301873963</v>
      </c>
      <c r="EB102" s="21">
        <f>EXP(-LN(2)/25)*EB101+(1-EXP(-LN(2)/25))/(LN(2)/25)*Calculateur!DW102*Calculateur!DY102*VLOOKUP('Données projet'!$B$14,Paramètres!$A$1:$I$89,3,0)*0.475*44/12</f>
        <v>1.5117444949358259</v>
      </c>
      <c r="EC102" s="21">
        <f>EXP(-LN(2)/2)*EC101+(1-EXP(-LN(2)/2))/(LN(2)/2)*DW102*DZ102*VLOOKUP('Données projet'!$B$14,Paramètres!$A$1:$I$89,3,0)*0.475*44/12</f>
        <v>8.025911388997793E-10</v>
      </c>
      <c r="ED102" s="22">
        <f t="shared" si="72"/>
        <v>2.094334318757157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2.2737367544323206E-13</v>
      </c>
      <c r="EK102" s="17">
        <f>EJ102*VLOOKUP('Données projet'!$B$15,Paramètres!$A$1:$I$89,3,0)*VLOOKUP('Données projet'!$B$15,Paramètres!$A$1:$I$89,5,0)</f>
        <v>1.2414602679200471E-13</v>
      </c>
      <c r="EL102" s="13">
        <f t="shared" si="99"/>
        <v>1.8186582995804361E-12</v>
      </c>
      <c r="EM102" s="20">
        <f t="shared" si="73"/>
        <v>3.3837175350986671E-12</v>
      </c>
      <c r="EN102" s="59">
        <f t="shared" si="74"/>
        <v>293.33333333333672</v>
      </c>
      <c r="EO102" s="59">
        <f ca="1">AVERAGE(OFFSET($EN$3,0,0,'Données projet'!$E$15+1,1))-AVERAGE(OFFSET($H$3,0,0,'Données projet'!$E$15+1,1))</f>
        <v>168.72306536277267</v>
      </c>
      <c r="EP102" s="59">
        <f t="shared" si="100"/>
        <v>203.35476578922339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0.7757310143456041</v>
      </c>
      <c r="EW102" s="21">
        <f>EXP(-LN(2)/25)*EW101+(1-EXP(-LN(2)/25))/(LN(2)/25)*Calculateur!ER102*Calculateur!ET102*VLOOKUP('Données projet'!$B$15,Paramètres!$A$1:$I$89,3,0)*0.475*44/12</f>
        <v>3.393142721135483</v>
      </c>
      <c r="EX102" s="21">
        <f>EXP(-LN(2)/2)*EX101+(1-EXP(-LN(2)/2))/(LN(2)/2)*ER102*EU102*VLOOKUP('Données projet'!$B$15,Paramètres!$A$1:$I$89,3,0)*0.475*44/12</f>
        <v>8.2416213885407567E-10</v>
      </c>
      <c r="EY102" s="22">
        <f t="shared" si="75"/>
        <v>4.1688737363052493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3.4106051316484809E-13</v>
      </c>
      <c r="FF102" s="17">
        <f>FE102*VLOOKUP('Données projet'!$B$16,Paramètres!$A$1:$I$89,3,0)*VLOOKUP('Données projet'!$B$16,Paramètres!$A$1:$I$89,5,0)</f>
        <v>1.8621904018800707E-13</v>
      </c>
      <c r="FG102" s="13">
        <f t="shared" si="101"/>
        <v>2.6022279988572714E-12</v>
      </c>
      <c r="FH102" s="20">
        <f t="shared" si="76"/>
        <v>4.8565452596705266E-12</v>
      </c>
      <c r="FI102" s="59">
        <f t="shared" si="77"/>
        <v>293.33333333333815</v>
      </c>
      <c r="FJ102" s="59">
        <f ca="1">AVERAGE(OFFSET($FI$3,0,0,'Données projet'!$E$16+1,1))-AVERAGE(OFFSET($H$3,0,0,'Données projet'!$E$16+1,1))</f>
        <v>127.76128532861486</v>
      </c>
      <c r="FK102" s="59">
        <f t="shared" si="102"/>
        <v>157.52303491639736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>
        <f>EXP(-LN(2)/35)*FQ101+(1-EXP(-LN(2)/35))/(LN(2)/35)*FM102*FN102*VLOOKUP('Données projet'!$B$16,Paramètres!$A$1:$I$89,3,0)*0.475*44/12</f>
        <v>0.62058481147648348</v>
      </c>
      <c r="FR102" s="21">
        <f>EXP(-LN(2)/25)*FR101+(1-EXP(-LN(2)/25))/(LN(2)/25)*Calculateur!FM102*Calculateur!FO102*VLOOKUP('Données projet'!$B$16,Paramètres!$A$1:$I$89,3,0)*0.475*44/12</f>
        <v>2.4094124579139558</v>
      </c>
      <c r="FS102" s="21">
        <f>EXP(-LN(2)/2)*FS101+(1-EXP(-LN(2)/2))/(LN(2)/2)*FM102*FP102*VLOOKUP('Données projet'!$B$16,Paramètres!$A$1:$I$89,3,0)*0.475*44/12</f>
        <v>6.5432033194695744E-10</v>
      </c>
      <c r="FT102" s="22">
        <f t="shared" si="78"/>
        <v>3.0299972700447593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5.2583333333333373</v>
      </c>
      <c r="N103" s="13">
        <f>IF('Données projet'!$A$36&gt;35,N102+M103-V102,IF(A103&lt;'Données projet'!$A$36,$K$205^A103,IF(A103='Données projet'!$A$36,'Données projet'!$B$36,N102+M103-V102)))</f>
        <v>218.99423076923048</v>
      </c>
      <c r="O103" s="13">
        <f>N103*VLOOKUP('Données projet'!$B$9,Paramètres!$A$1:$I$89,3,0)*VLOOKUP('Données projet'!$B$9,Paramètres!$A$1:$I$89,5,0)</f>
        <v>198.14597999999972</v>
      </c>
      <c r="P103" s="13">
        <f t="shared" si="87"/>
        <v>49.336489651503598</v>
      </c>
      <c r="Q103" s="20">
        <f t="shared" si="107"/>
        <v>431.03196797636821</v>
      </c>
      <c r="R103" s="59">
        <f t="shared" si="55"/>
        <v>724.36530130970152</v>
      </c>
      <c r="S103" s="59">
        <f ca="1">AVERAGE(OFFSET($R$3,0,0,'Données projet'!$E$9+1,1))-AVERAGE(OFFSET($H$3,0,0,'Données projet'!$E$9+1,1))</f>
        <v>153.45079678708987</v>
      </c>
      <c r="T103" s="59">
        <f t="shared" si="88"/>
        <v>115.4217868409637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0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4.6794871794871762</v>
      </c>
      <c r="AI103" s="13">
        <f>IF('Données projet'!$A$62&gt;35,AI102+AH103-AQ102,IF(A103&lt;'Données projet'!$A$62,$AF$205^A103,IF(A103='Données projet'!$A$62,'Données projet'!$B$62,AI102+AH103-AQ102)))</f>
        <v>175.35897435897445</v>
      </c>
      <c r="AJ103" s="13">
        <f>AI103*VLOOKUP('Données projet'!$B$10,Paramètres!$A$1:$I$89,3,0)*VLOOKUP('Données projet'!$B$10,Paramètres!$A$1:$I$89,5,0)</f>
        <v>158.6648000000001</v>
      </c>
      <c r="AK103" s="13">
        <f t="shared" si="89"/>
        <v>40.541210597310176</v>
      </c>
      <c r="AL103" s="20">
        <f t="shared" si="58"/>
        <v>346.95046845698204</v>
      </c>
      <c r="AM103" s="59">
        <f t="shared" si="59"/>
        <v>640.28380179031535</v>
      </c>
      <c r="AN103" s="59">
        <f ca="1">AVERAGE(OFFSET($AM$3,0,0,'Données projet'!$E$10+1,1))-AVERAGE(OFFSET($H$3,0,0,'Données projet'!$E$10+1,1))</f>
        <v>123.92486590666675</v>
      </c>
      <c r="AO103" s="59">
        <f t="shared" si="90"/>
        <v>54.404493017418986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0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1.1368683772161603E-13</v>
      </c>
      <c r="BE103" s="13">
        <f>BD103*VLOOKUP('Données projet'!$B$11,Paramètres!$A$1:$I$89,3,0)*VLOOKUP('Données projet'!$B$11,Paramètres!$A$1:$I$89,5,0)</f>
        <v>6.3550942286383367E-14</v>
      </c>
      <c r="BF103" s="13">
        <f t="shared" si="91"/>
        <v>1.0064464192543978E-12</v>
      </c>
      <c r="BG103" s="20">
        <f t="shared" si="61"/>
        <v>1.8635787380168604E-12</v>
      </c>
      <c r="BH103" s="59">
        <f t="shared" si="62"/>
        <v>293.33333333333519</v>
      </c>
      <c r="BI103" s="59">
        <f ca="1">AVERAGE(OFFSET($BH$3,0,0,'Données projet'!$E$11+1,1))-AVERAGE(OFFSET($H$3,0,0,'Données projet'!$E$11+1,1))</f>
        <v>224.7049802939942</v>
      </c>
      <c r="BJ103" s="59">
        <f t="shared" si="92"/>
        <v>203.48513862195352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0.55779012773359093</v>
      </c>
      <c r="BQ103" s="21">
        <f>EXP(-LN(2)/25)*BQ102+(1-EXP(-LN(2)/25))/(LN(2)/25)*Calculateur!BL103*Calculateur!BN103*VLOOKUP('Données projet'!$B$11,Paramètres!$A$1:$I$89,3,0)*0.475*44/12</f>
        <v>2.8034740830268094</v>
      </c>
      <c r="BR103" s="21">
        <f>EXP(-LN(2)/2)*BR102+(1-EXP(-LN(2)/2))/(LN(2)/2)*BL103*BO103*VLOOKUP('Données projet'!$B$11,Paramètres!$A$1:$I$89,3,0)*0.475*44/12</f>
        <v>2.6078814963949858E-10</v>
      </c>
      <c r="BS103" s="22">
        <f t="shared" si="63"/>
        <v>3.3612642110211888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4.4717948717948701</v>
      </c>
      <c r="BY103" s="12">
        <f>IF('Données projet'!$A$114&gt;35,BY102+BX103-CG102,IF(A103&lt;'Données projet'!$A$114,$BV$205^A103,IF(A103='Données projet'!$A$114,'Données projet'!$B$114,BY102+BX103-CG102)))</f>
        <v>367.05641025641046</v>
      </c>
      <c r="BZ103" s="13">
        <f>BY103*VLOOKUP('Données projet'!$B$12,Paramètres!$A$1:$I$89,3,0)*VLOOKUP('Données projet'!$B$12,Paramètres!$A$1:$I$89,5,0)</f>
        <v>205.18453333333346</v>
      </c>
      <c r="CA103" s="13">
        <f t="shared" si="93"/>
        <v>50.881868573665272</v>
      </c>
      <c r="CB103" s="20">
        <f t="shared" si="64"/>
        <v>445.98231665468944</v>
      </c>
      <c r="CC103" s="59">
        <f t="shared" si="65"/>
        <v>739.31564998802276</v>
      </c>
      <c r="CD103" s="59">
        <f ca="1">AVERAGE(OFFSET($CC$3,0,0,'Données projet'!$E$12+1,1))-AVERAGE(OFFSET($H$3,0,0,'Données projet'!$E$12+1,1))</f>
        <v>190.08613104982993</v>
      </c>
      <c r="CE103" s="59">
        <f t="shared" si="94"/>
        <v>180.55054525447781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0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497</v>
      </c>
      <c r="CU103" s="17">
        <f>CT103*VLOOKUP('Données projet'!$B$13,Paramètres!$A$1:$I$89,3,0)*VLOOKUP('Données projet'!$B$13,Paramètres!$A$1:$I$89,5,0)</f>
        <v>297.20600000000002</v>
      </c>
      <c r="CV103" s="13">
        <f t="shared" si="95"/>
        <v>70.590415164571112</v>
      </c>
      <c r="CW103" s="20">
        <f t="shared" si="67"/>
        <v>640.57875641162809</v>
      </c>
      <c r="CX103" s="59">
        <f t="shared" si="68"/>
        <v>933.91208974496135</v>
      </c>
      <c r="CY103" s="59">
        <f ca="1">AVERAGE(OFFSET($CX$3,0,0,'Données projet'!$E$13+1,1))-AVERAGE(OFFSET($H$3,0,0,'Données projet'!$E$13+1,1))</f>
        <v>270.30888762640245</v>
      </c>
      <c r="CZ103" s="59">
        <f t="shared" si="96"/>
        <v>202.23783851977691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0.53546774243816908</v>
      </c>
      <c r="DG103" s="21">
        <f>EXP(-LN(2)/25)*DG102+(1-EXP(-LN(2)/25))/(LN(2)/25)*Calculateur!DB103*Calculateur!DD103*VLOOKUP('Données projet'!$B$13,Paramètres!$A$1:$I$89,3,0)*0.475*44/12</f>
        <v>1.7654356752248812</v>
      </c>
      <c r="DH103" s="21">
        <f>EXP(-LN(2)/2)*DH102+(1-EXP(-LN(2)/2))/(LN(2)/2)*DB103*DE103*VLOOKUP('Données projet'!$B$13,Paramètres!$A$1:$I$89,3,0)*0.475*44/12</f>
        <v>5.3820574500314495E-10</v>
      </c>
      <c r="DI103" s="22">
        <f t="shared" si="69"/>
        <v>2.3009034182012562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433.00000000000011</v>
      </c>
      <c r="DP103" s="17">
        <f>DO103*VLOOKUP('Données projet'!$B$14,Paramètres!$A$1:$I$89,3,0)*VLOOKUP('Données projet'!$B$14,Paramètres!$A$1:$I$89,5,0)</f>
        <v>258.93400000000008</v>
      </c>
      <c r="DQ103" s="13">
        <f t="shared" si="97"/>
        <v>62.495095530116075</v>
      </c>
      <c r="DR103" s="20">
        <f t="shared" si="70"/>
        <v>559.82234138161891</v>
      </c>
      <c r="DS103" s="59">
        <f t="shared" si="71"/>
        <v>853.15567471495228</v>
      </c>
      <c r="DT103" s="59">
        <f ca="1">AVERAGE(OFFSET($DS$3,0,0,'Données projet'!$E$14+1,1))-AVERAGE(OFFSET($H$3,0,0,'Données projet'!$E$14+1,1))</f>
        <v>221.14988592347311</v>
      </c>
      <c r="DU103" s="59">
        <f t="shared" si="98"/>
        <v>179.09262081171607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0.57116559193404681</v>
      </c>
      <c r="EB103" s="21">
        <f>EXP(-LN(2)/25)*EB102+(1-EXP(-LN(2)/25))/(LN(2)/25)*Calculateur!DW103*Calculateur!DY103*VLOOKUP('Données projet'!$B$14,Paramètres!$A$1:$I$89,3,0)*0.475*44/12</f>
        <v>1.4704057622226179</v>
      </c>
      <c r="EC103" s="21">
        <f>EXP(-LN(2)/2)*EC102+(1-EXP(-LN(2)/2))/(LN(2)/2)*DW103*DZ103*VLOOKUP('Données projet'!$B$14,Paramètres!$A$1:$I$89,3,0)*0.475*44/12</f>
        <v>5.675176368362682E-10</v>
      </c>
      <c r="ED103" s="22">
        <f t="shared" si="72"/>
        <v>2.0415713547241823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2.2737367544323206E-13</v>
      </c>
      <c r="EK103" s="17">
        <f>EJ103*VLOOKUP('Données projet'!$B$15,Paramètres!$A$1:$I$89,3,0)*VLOOKUP('Données projet'!$B$15,Paramètres!$A$1:$I$89,5,0)</f>
        <v>1.2414602679200471E-13</v>
      </c>
      <c r="EL103" s="13">
        <f t="shared" si="99"/>
        <v>1.8186582995804361E-12</v>
      </c>
      <c r="EM103" s="20">
        <f t="shared" si="73"/>
        <v>3.3837175350986671E-12</v>
      </c>
      <c r="EN103" s="59">
        <f t="shared" si="74"/>
        <v>293.33333333333672</v>
      </c>
      <c r="EO103" s="59">
        <f ca="1">AVERAGE(OFFSET($EN$3,0,0,'Données projet'!$E$15+1,1))-AVERAGE(OFFSET($H$3,0,0,'Données projet'!$E$15+1,1))</f>
        <v>168.72306536277267</v>
      </c>
      <c r="EP103" s="59">
        <f t="shared" si="100"/>
        <v>203.35476578922339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0.76051940230348591</v>
      </c>
      <c r="EW103" s="21">
        <f>EXP(-LN(2)/25)*EW102+(1-EXP(-LN(2)/25))/(LN(2)/25)*Calculateur!ER103*Calculateur!ET103*VLOOKUP('Données projet'!$B$15,Paramètres!$A$1:$I$89,3,0)*0.475*44/12</f>
        <v>3.3003570549884125</v>
      </c>
      <c r="EX103" s="21">
        <f>EXP(-LN(2)/2)*EX102+(1-EXP(-LN(2)/2))/(LN(2)/2)*ER103*EU103*VLOOKUP('Données projet'!$B$15,Paramètres!$A$1:$I$89,3,0)*0.475*44/12</f>
        <v>5.8277063718092587E-10</v>
      </c>
      <c r="EY103" s="22">
        <f t="shared" si="75"/>
        <v>4.0608764578746683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3.4106051316484809E-13</v>
      </c>
      <c r="FF103" s="17">
        <f>FE103*VLOOKUP('Données projet'!$B$16,Paramètres!$A$1:$I$89,3,0)*VLOOKUP('Données projet'!$B$16,Paramètres!$A$1:$I$89,5,0)</f>
        <v>1.8621904018800707E-13</v>
      </c>
      <c r="FG103" s="13">
        <f t="shared" si="101"/>
        <v>2.6022279988572714E-12</v>
      </c>
      <c r="FH103" s="20">
        <f t="shared" si="76"/>
        <v>4.8565452596705266E-12</v>
      </c>
      <c r="FI103" s="59">
        <f t="shared" si="77"/>
        <v>293.33333333333815</v>
      </c>
      <c r="FJ103" s="59">
        <f ca="1">AVERAGE(OFFSET($FI$3,0,0,'Données projet'!$E$16+1,1))-AVERAGE(OFFSET($H$3,0,0,'Données projet'!$E$16+1,1))</f>
        <v>127.76128532861486</v>
      </c>
      <c r="FK103" s="59">
        <f t="shared" si="102"/>
        <v>157.52303491639736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>
        <f>EXP(-LN(2)/35)*FQ102+(1-EXP(-LN(2)/35))/(LN(2)/35)*FM103*FN103*VLOOKUP('Données projet'!$B$16,Paramètres!$A$1:$I$89,3,0)*0.475*44/12</f>
        <v>0.60841552184278891</v>
      </c>
      <c r="FR103" s="21">
        <f>EXP(-LN(2)/25)*FR102+(1-EXP(-LN(2)/25))/(LN(2)/25)*Calculateur!FM103*Calculateur!FO103*VLOOKUP('Données projet'!$B$16,Paramètres!$A$1:$I$89,3,0)*0.475*44/12</f>
        <v>2.3435269475468044</v>
      </c>
      <c r="FS103" s="21">
        <f>EXP(-LN(2)/2)*FS102+(1-EXP(-LN(2)/2))/(LN(2)/2)*FM103*FP103*VLOOKUP('Données projet'!$B$16,Paramètres!$A$1:$I$89,3,0)*0.475*44/12</f>
        <v>4.6267434378792639E-10</v>
      </c>
      <c r="FT103" s="22">
        <f t="shared" si="78"/>
        <v>2.9519424698522676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5.2583333333333373</v>
      </c>
      <c r="N104" s="13">
        <f>IF('Données projet'!$A$36&gt;35,N103+M104-V103,IF(A104&lt;'Données projet'!$A$36,$K$205^A104,IF(A104='Données projet'!$A$36,'Données projet'!$B$36,N103+M104-V103)))</f>
        <v>224.25256410256381</v>
      </c>
      <c r="O104" s="13">
        <f>N104*VLOOKUP('Données projet'!$B$9,Paramètres!$A$1:$I$89,3,0)*VLOOKUP('Données projet'!$B$9,Paramètres!$A$1:$I$89,5,0)</f>
        <v>202.90371999999974</v>
      </c>
      <c r="P104" s="13">
        <f t="shared" si="87"/>
        <v>50.381781160298395</v>
      </c>
      <c r="Q104" s="20">
        <f t="shared" si="107"/>
        <v>441.13891452085255</v>
      </c>
      <c r="R104" s="59">
        <f t="shared" si="55"/>
        <v>734.47224785418587</v>
      </c>
      <c r="S104" s="59">
        <f ca="1">AVERAGE(OFFSET($R$3,0,0,'Données projet'!$E$9+1,1))-AVERAGE(OFFSET($H$3,0,0,'Données projet'!$E$9+1,1))</f>
        <v>153.45079678708987</v>
      </c>
      <c r="T104" s="59">
        <f t="shared" si="88"/>
        <v>115.4217868409637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0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4.6794871794871762</v>
      </c>
      <c r="AI104" s="13">
        <f>IF('Données projet'!$A$62&gt;35,AI103+AH104-AQ103,IF(A104&lt;'Données projet'!$A$62,$AF$205^A104,IF(A104='Données projet'!$A$62,'Données projet'!$B$62,AI103+AH104-AQ103)))</f>
        <v>180.03846153846163</v>
      </c>
      <c r="AJ104" s="13">
        <f>AI104*VLOOKUP('Données projet'!$B$10,Paramètres!$A$1:$I$89,3,0)*VLOOKUP('Données projet'!$B$10,Paramètres!$A$1:$I$89,5,0)</f>
        <v>162.89880000000008</v>
      </c>
      <c r="AK104" s="13">
        <f t="shared" si="89"/>
        <v>41.495663016261823</v>
      </c>
      <c r="AL104" s="20">
        <f t="shared" si="58"/>
        <v>355.98702308665611</v>
      </c>
      <c r="AM104" s="59">
        <f t="shared" si="59"/>
        <v>649.32035641998937</v>
      </c>
      <c r="AN104" s="59">
        <f ca="1">AVERAGE(OFFSET($AM$3,0,0,'Données projet'!$E$10+1,1))-AVERAGE(OFFSET($H$3,0,0,'Données projet'!$E$10+1,1))</f>
        <v>123.92486590666675</v>
      </c>
      <c r="AO104" s="59">
        <f t="shared" si="90"/>
        <v>54.404493017418986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0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1.1368683772161603E-13</v>
      </c>
      <c r="BE104" s="13">
        <f>BD104*VLOOKUP('Données projet'!$B$11,Paramètres!$A$1:$I$89,3,0)*VLOOKUP('Données projet'!$B$11,Paramètres!$A$1:$I$89,5,0)</f>
        <v>6.3550942286383367E-14</v>
      </c>
      <c r="BF104" s="13">
        <f t="shared" si="91"/>
        <v>1.0064464192543978E-12</v>
      </c>
      <c r="BG104" s="20">
        <f t="shared" si="61"/>
        <v>1.8635787380168604E-12</v>
      </c>
      <c r="BH104" s="59">
        <f t="shared" si="62"/>
        <v>293.33333333333519</v>
      </c>
      <c r="BI104" s="59">
        <f ca="1">AVERAGE(OFFSET($BH$3,0,0,'Données projet'!$E$11+1,1))-AVERAGE(OFFSET($H$3,0,0,'Données projet'!$E$11+1,1))</f>
        <v>224.7049802939942</v>
      </c>
      <c r="BJ104" s="59">
        <f t="shared" si="92"/>
        <v>203.48513862195352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0.54685220354711939</v>
      </c>
      <c r="BQ104" s="21">
        <f>EXP(-LN(2)/25)*BQ103+(1-EXP(-LN(2)/25))/(LN(2)/25)*Calculateur!BL104*Calculateur!BN104*VLOOKUP('Données projet'!$B$11,Paramètres!$A$1:$I$89,3,0)*0.475*44/12</f>
        <v>2.7268129367981468</v>
      </c>
      <c r="BR104" s="21">
        <f>EXP(-LN(2)/2)*BR103+(1-EXP(-LN(2)/2))/(LN(2)/2)*BL104*BO104*VLOOKUP('Données projet'!$B$11,Paramètres!$A$1:$I$89,3,0)*0.475*44/12</f>
        <v>1.8440506906318153E-10</v>
      </c>
      <c r="BS104" s="22">
        <f t="shared" si="63"/>
        <v>3.2736651405296713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4.4717948717948701</v>
      </c>
      <c r="BY104" s="12">
        <f>IF('Données projet'!$A$114&gt;35,BY103+BX104-CG103,IF(A104&lt;'Données projet'!$A$114,$BV$205^A104,IF(A104='Données projet'!$A$114,'Données projet'!$B$114,BY103+BX104-CG103)))</f>
        <v>371.52820512820534</v>
      </c>
      <c r="BZ104" s="13">
        <f>BY104*VLOOKUP('Données projet'!$B$12,Paramètres!$A$1:$I$89,3,0)*VLOOKUP('Données projet'!$B$12,Paramètres!$A$1:$I$89,5,0)</f>
        <v>207.68426666666679</v>
      </c>
      <c r="CA104" s="13">
        <f t="shared" si="93"/>
        <v>51.429213586651969</v>
      </c>
      <c r="CB104" s="20">
        <f t="shared" si="64"/>
        <v>451.28931144119679</v>
      </c>
      <c r="CC104" s="59">
        <f t="shared" si="65"/>
        <v>744.62264477453004</v>
      </c>
      <c r="CD104" s="59">
        <f ca="1">AVERAGE(OFFSET($CC$3,0,0,'Données projet'!$E$12+1,1))-AVERAGE(OFFSET($H$3,0,0,'Données projet'!$E$12+1,1))</f>
        <v>190.08613104982993</v>
      </c>
      <c r="CE104" s="59">
        <f t="shared" si="94"/>
        <v>180.55054525447781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0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497</v>
      </c>
      <c r="CU104" s="17">
        <f>CT104*VLOOKUP('Données projet'!$B$13,Paramètres!$A$1:$I$89,3,0)*VLOOKUP('Données projet'!$B$13,Paramètres!$A$1:$I$89,5,0)</f>
        <v>297.20600000000002</v>
      </c>
      <c r="CV104" s="13">
        <f t="shared" si="95"/>
        <v>70.590415164571112</v>
      </c>
      <c r="CW104" s="20">
        <f t="shared" si="67"/>
        <v>640.57875641162809</v>
      </c>
      <c r="CX104" s="59">
        <f t="shared" si="68"/>
        <v>933.91208974496135</v>
      </c>
      <c r="CY104" s="59">
        <f ca="1">AVERAGE(OFFSET($CX$3,0,0,'Données projet'!$E$13+1,1))-AVERAGE(OFFSET($H$3,0,0,'Données projet'!$E$13+1,1))</f>
        <v>270.30888762640245</v>
      </c>
      <c r="CZ104" s="59">
        <f t="shared" si="96"/>
        <v>202.23783851977691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0.52496754661203004</v>
      </c>
      <c r="DG104" s="21">
        <f>EXP(-LN(2)/25)*DG103+(1-EXP(-LN(2)/25))/(LN(2)/25)*Calculateur!DB104*Calculateur!DD104*VLOOKUP('Données projet'!$B$13,Paramètres!$A$1:$I$89,3,0)*0.475*44/12</f>
        <v>1.7171597438456296</v>
      </c>
      <c r="DH104" s="21">
        <f>EXP(-LN(2)/2)*DH103+(1-EXP(-LN(2)/2))/(LN(2)/2)*DB104*DE104*VLOOKUP('Données projet'!$B$13,Paramètres!$A$1:$I$89,3,0)*0.475*44/12</f>
        <v>3.8056893196528162E-10</v>
      </c>
      <c r="DI104" s="22">
        <f t="shared" si="69"/>
        <v>2.2421272908382286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433.00000000000011</v>
      </c>
      <c r="DP104" s="17">
        <f>DO104*VLOOKUP('Données projet'!$B$14,Paramètres!$A$1:$I$89,3,0)*VLOOKUP('Données projet'!$B$14,Paramètres!$A$1:$I$89,5,0)</f>
        <v>258.93400000000008</v>
      </c>
      <c r="DQ104" s="13">
        <f t="shared" si="97"/>
        <v>62.495095530116075</v>
      </c>
      <c r="DR104" s="20">
        <f t="shared" si="70"/>
        <v>559.82234138161891</v>
      </c>
      <c r="DS104" s="59">
        <f t="shared" si="71"/>
        <v>853.15567471495228</v>
      </c>
      <c r="DT104" s="59">
        <f ca="1">AVERAGE(OFFSET($DS$3,0,0,'Données projet'!$E$14+1,1))-AVERAGE(OFFSET($H$3,0,0,'Données projet'!$E$14+1,1))</f>
        <v>221.14988592347311</v>
      </c>
      <c r="DU104" s="59">
        <f t="shared" si="98"/>
        <v>179.09262081171607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0.55996538305283194</v>
      </c>
      <c r="EB104" s="21">
        <f>EXP(-LN(2)/25)*EB103+(1-EXP(-LN(2)/25))/(LN(2)/25)*Calculateur!DW104*Calculateur!DY104*VLOOKUP('Données projet'!$B$14,Paramètres!$A$1:$I$89,3,0)*0.475*44/12</f>
        <v>1.4301974393293619</v>
      </c>
      <c r="EC104" s="21">
        <f>EXP(-LN(2)/2)*EC103+(1-EXP(-LN(2)/2))/(LN(2)/2)*DW104*DZ104*VLOOKUP('Données projet'!$B$14,Paramètres!$A$1:$I$89,3,0)*0.475*44/12</f>
        <v>4.0129556944988965E-10</v>
      </c>
      <c r="ED104" s="22">
        <f t="shared" si="72"/>
        <v>1.9901628227834895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2.2737367544323206E-13</v>
      </c>
      <c r="EK104" s="17">
        <f>EJ104*VLOOKUP('Données projet'!$B$15,Paramètres!$A$1:$I$89,3,0)*VLOOKUP('Données projet'!$B$15,Paramètres!$A$1:$I$89,5,0)</f>
        <v>1.2414602679200471E-13</v>
      </c>
      <c r="EL104" s="13">
        <f t="shared" si="99"/>
        <v>1.8186582995804361E-12</v>
      </c>
      <c r="EM104" s="20">
        <f t="shared" si="73"/>
        <v>3.3837175350986671E-12</v>
      </c>
      <c r="EN104" s="59">
        <f t="shared" si="74"/>
        <v>293.33333333333672</v>
      </c>
      <c r="EO104" s="59">
        <f ca="1">AVERAGE(OFFSET($EN$3,0,0,'Données projet'!$E$15+1,1))-AVERAGE(OFFSET($H$3,0,0,'Données projet'!$E$15+1,1))</f>
        <v>168.72306536277267</v>
      </c>
      <c r="EP104" s="59">
        <f t="shared" si="100"/>
        <v>203.35476578922339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0.74560608069534651</v>
      </c>
      <c r="EW104" s="21">
        <f>EXP(-LN(2)/25)*EW103+(1-EXP(-LN(2)/25))/(LN(2)/25)*Calculateur!ER104*Calculateur!ET104*VLOOKUP('Données projet'!$B$15,Paramètres!$A$1:$I$89,3,0)*0.475*44/12</f>
        <v>3.2101086177615197</v>
      </c>
      <c r="EX104" s="21">
        <f>EXP(-LN(2)/2)*EX103+(1-EXP(-LN(2)/2))/(LN(2)/2)*ER104*EU104*VLOOKUP('Données projet'!$B$15,Paramètres!$A$1:$I$89,3,0)*0.475*44/12</f>
        <v>4.1208106942703784E-10</v>
      </c>
      <c r="EY104" s="22">
        <f t="shared" si="75"/>
        <v>3.9557146988689471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3.4106051316484809E-13</v>
      </c>
      <c r="FF104" s="17">
        <f>FE104*VLOOKUP('Données projet'!$B$16,Paramètres!$A$1:$I$89,3,0)*VLOOKUP('Données projet'!$B$16,Paramètres!$A$1:$I$89,5,0)</f>
        <v>1.8621904018800707E-13</v>
      </c>
      <c r="FG104" s="13">
        <f t="shared" si="101"/>
        <v>2.6022279988572714E-12</v>
      </c>
      <c r="FH104" s="20">
        <f t="shared" si="76"/>
        <v>4.8565452596705266E-12</v>
      </c>
      <c r="FI104" s="59">
        <f t="shared" si="77"/>
        <v>293.33333333333815</v>
      </c>
      <c r="FJ104" s="59">
        <f ca="1">AVERAGE(OFFSET($FI$3,0,0,'Données projet'!$E$16+1,1))-AVERAGE(OFFSET($H$3,0,0,'Données projet'!$E$16+1,1))</f>
        <v>127.76128532861486</v>
      </c>
      <c r="FK104" s="59">
        <f t="shared" si="102"/>
        <v>157.52303491639736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>
        <f>EXP(-LN(2)/35)*FQ103+(1-EXP(-LN(2)/35))/(LN(2)/35)*FM104*FN104*VLOOKUP('Données projet'!$B$16,Paramètres!$A$1:$I$89,3,0)*0.475*44/12</f>
        <v>0.59648486455627736</v>
      </c>
      <c r="FR104" s="21">
        <f>EXP(-LN(2)/25)*FR103+(1-EXP(-LN(2)/25))/(LN(2)/25)*Calculateur!FM104*Calculateur!FO104*VLOOKUP('Données projet'!$B$16,Paramètres!$A$1:$I$89,3,0)*0.475*44/12</f>
        <v>2.2794430799254108</v>
      </c>
      <c r="FS104" s="21">
        <f>EXP(-LN(2)/2)*FS103+(1-EXP(-LN(2)/2))/(LN(2)/2)*FM104*FP104*VLOOKUP('Données projet'!$B$16,Paramètres!$A$1:$I$89,3,0)*0.475*44/12</f>
        <v>3.2716016597347877E-10</v>
      </c>
      <c r="FT104" s="22">
        <f t="shared" si="78"/>
        <v>2.8759279448088484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5.2583333333333373</v>
      </c>
      <c r="N105" s="13">
        <f>IF('Données projet'!$A$36&gt;35,N104+M105-V104,IF(A105&lt;'Données projet'!$A$36,$K$205^A105,IF(A105='Données projet'!$A$36,'Données projet'!$B$36,N104+M105-V104)))</f>
        <v>229.51089743589714</v>
      </c>
      <c r="O105" s="13">
        <f>N105*VLOOKUP('Données projet'!$B$9,Paramètres!$A$1:$I$89,3,0)*VLOOKUP('Données projet'!$B$9,Paramètres!$A$1:$I$89,5,0)</f>
        <v>207.66145999999972</v>
      </c>
      <c r="P105" s="13">
        <f t="shared" si="87"/>
        <v>51.424223287461992</v>
      </c>
      <c r="Q105" s="20">
        <f t="shared" si="107"/>
        <v>451.2408983923292</v>
      </c>
      <c r="R105" s="59">
        <f t="shared" si="55"/>
        <v>744.57423172566246</v>
      </c>
      <c r="S105" s="59">
        <f ca="1">AVERAGE(OFFSET($R$3,0,0,'Données projet'!$E$9+1,1))-AVERAGE(OFFSET($H$3,0,0,'Données projet'!$E$9+1,1))</f>
        <v>153.45079678708987</v>
      </c>
      <c r="T105" s="59">
        <f t="shared" si="88"/>
        <v>115.4217868409637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0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4.6794871794871762</v>
      </c>
      <c r="AI105" s="13">
        <f>IF('Données projet'!$A$62&gt;35,AI104+AH105-AQ104,IF(A105&lt;'Données projet'!$A$62,$AF$205^A105,IF(A105='Données projet'!$A$62,'Données projet'!$B$62,AI104+AH105-AQ104)))</f>
        <v>184.71794871794881</v>
      </c>
      <c r="AJ105" s="13">
        <f>AI105*VLOOKUP('Données projet'!$B$10,Paramètres!$A$1:$I$89,3,0)*VLOOKUP('Données projet'!$B$10,Paramètres!$A$1:$I$89,5,0)</f>
        <v>167.13280000000009</v>
      </c>
      <c r="AK105" s="13">
        <f t="shared" si="89"/>
        <v>42.447231834571028</v>
      </c>
      <c r="AL105" s="20">
        <f t="shared" si="58"/>
        <v>365.01855544521135</v>
      </c>
      <c r="AM105" s="59">
        <f t="shared" si="59"/>
        <v>658.35188877854466</v>
      </c>
      <c r="AN105" s="59">
        <f ca="1">AVERAGE(OFFSET($AM$3,0,0,'Données projet'!$E$10+1,1))-AVERAGE(OFFSET($H$3,0,0,'Données projet'!$E$10+1,1))</f>
        <v>123.92486590666675</v>
      </c>
      <c r="AO105" s="59">
        <f t="shared" si="90"/>
        <v>54.404493017418986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0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1.1368683772161603E-13</v>
      </c>
      <c r="BE105" s="13">
        <f>BD105*VLOOKUP('Données projet'!$B$11,Paramètres!$A$1:$I$89,3,0)*VLOOKUP('Données projet'!$B$11,Paramètres!$A$1:$I$89,5,0)</f>
        <v>6.3550942286383367E-14</v>
      </c>
      <c r="BF105" s="13">
        <f t="shared" si="91"/>
        <v>1.0064464192543978E-12</v>
      </c>
      <c r="BG105" s="20">
        <f t="shared" si="61"/>
        <v>1.8635787380168604E-12</v>
      </c>
      <c r="BH105" s="59">
        <f t="shared" si="62"/>
        <v>293.33333333333519</v>
      </c>
      <c r="BI105" s="59">
        <f ca="1">AVERAGE(OFFSET($BH$3,0,0,'Données projet'!$E$11+1,1))-AVERAGE(OFFSET($H$3,0,0,'Données projet'!$E$11+1,1))</f>
        <v>224.7049802939942</v>
      </c>
      <c r="BJ105" s="59">
        <f t="shared" si="92"/>
        <v>203.48513862195352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0.53612876538246956</v>
      </c>
      <c r="BQ105" s="21">
        <f>EXP(-LN(2)/25)*BQ104+(1-EXP(-LN(2)/25))/(LN(2)/25)*Calculateur!BL105*Calculateur!BN105*VLOOKUP('Données projet'!$B$11,Paramètres!$A$1:$I$89,3,0)*0.475*44/12</f>
        <v>2.6522480936445412</v>
      </c>
      <c r="BR105" s="21">
        <f>EXP(-LN(2)/2)*BR104+(1-EXP(-LN(2)/2))/(LN(2)/2)*BL105*BO105*VLOOKUP('Données projet'!$B$11,Paramètres!$A$1:$I$89,3,0)*0.475*44/12</f>
        <v>1.3039407481974929E-10</v>
      </c>
      <c r="BS105" s="22">
        <f t="shared" si="63"/>
        <v>3.1883768591574047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4.4717948717948701</v>
      </c>
      <c r="BY105" s="12">
        <f>IF('Données projet'!$A$114&gt;35,BY104+BX105-CG104,IF(A105&lt;'Données projet'!$A$114,$BV$205^A105,IF(A105='Données projet'!$A$114,'Données projet'!$B$114,BY104+BX105-CG104)))</f>
        <v>376.00000000000023</v>
      </c>
      <c r="BZ105" s="13">
        <f>BY105*VLOOKUP('Données projet'!$B$12,Paramètres!$A$1:$I$89,3,0)*VLOOKUP('Données projet'!$B$12,Paramètres!$A$1:$I$89,5,0)</f>
        <v>210.18400000000014</v>
      </c>
      <c r="CA105" s="13">
        <f t="shared" si="93"/>
        <v>51.975792277931433</v>
      </c>
      <c r="CB105" s="20">
        <f t="shared" si="64"/>
        <v>456.5949715507308</v>
      </c>
      <c r="CC105" s="59">
        <f t="shared" si="65"/>
        <v>749.92830488406412</v>
      </c>
      <c r="CD105" s="59">
        <f ca="1">AVERAGE(OFFSET($CC$3,0,0,'Données projet'!$E$12+1,1))-AVERAGE(OFFSET($H$3,0,0,'Données projet'!$E$12+1,1))</f>
        <v>190.08613104982993</v>
      </c>
      <c r="CE105" s="59">
        <f t="shared" si="94"/>
        <v>180.55054525447781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0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497</v>
      </c>
      <c r="CU105" s="17">
        <f>CT105*VLOOKUP('Données projet'!$B$13,Paramètres!$A$1:$I$89,3,0)*VLOOKUP('Données projet'!$B$13,Paramètres!$A$1:$I$89,5,0)</f>
        <v>297.20600000000002</v>
      </c>
      <c r="CV105" s="13">
        <f t="shared" si="95"/>
        <v>70.590415164571112</v>
      </c>
      <c r="CW105" s="20">
        <f t="shared" si="67"/>
        <v>640.57875641162809</v>
      </c>
      <c r="CX105" s="59">
        <f t="shared" si="68"/>
        <v>933.91208974496135</v>
      </c>
      <c r="CY105" s="59">
        <f ca="1">AVERAGE(OFFSET($CX$3,0,0,'Données projet'!$E$13+1,1))-AVERAGE(OFFSET($H$3,0,0,'Données projet'!$E$13+1,1))</f>
        <v>270.30888762640245</v>
      </c>
      <c r="CZ105" s="59">
        <f t="shared" si="96"/>
        <v>202.23783851977691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0.51467325322155455</v>
      </c>
      <c r="DG105" s="21">
        <f>EXP(-LN(2)/25)*DG104+(1-EXP(-LN(2)/25))/(LN(2)/25)*Calculateur!DB105*Calculateur!DD105*VLOOKUP('Données projet'!$B$13,Paramètres!$A$1:$I$89,3,0)*0.475*44/12</f>
        <v>1.6702039203486645</v>
      </c>
      <c r="DH105" s="21">
        <f>EXP(-LN(2)/2)*DH104+(1-EXP(-LN(2)/2))/(LN(2)/2)*DB105*DE105*VLOOKUP('Données projet'!$B$13,Paramètres!$A$1:$I$89,3,0)*0.475*44/12</f>
        <v>2.6910287250157248E-10</v>
      </c>
      <c r="DI105" s="22">
        <f t="shared" si="69"/>
        <v>2.1848771738393218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433.00000000000011</v>
      </c>
      <c r="DP105" s="17">
        <f>DO105*VLOOKUP('Données projet'!$B$14,Paramètres!$A$1:$I$89,3,0)*VLOOKUP('Données projet'!$B$14,Paramètres!$A$1:$I$89,5,0)</f>
        <v>258.93400000000008</v>
      </c>
      <c r="DQ105" s="13">
        <f t="shared" si="97"/>
        <v>62.495095530116075</v>
      </c>
      <c r="DR105" s="20">
        <f t="shared" si="70"/>
        <v>559.82234138161891</v>
      </c>
      <c r="DS105" s="59">
        <f t="shared" si="71"/>
        <v>853.15567471495228</v>
      </c>
      <c r="DT105" s="59">
        <f ca="1">AVERAGE(OFFSET($DS$3,0,0,'Données projet'!$E$14+1,1))-AVERAGE(OFFSET($H$3,0,0,'Données projet'!$E$14+1,1))</f>
        <v>221.14988592347311</v>
      </c>
      <c r="DU105" s="59">
        <f t="shared" si="98"/>
        <v>179.09262081171607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0.54898480343632483</v>
      </c>
      <c r="EB105" s="21">
        <f>EXP(-LN(2)/25)*EB104+(1-EXP(-LN(2)/25))/(LN(2)/25)*Calculateur!DW105*Calculateur!DY105*VLOOKUP('Données projet'!$B$14,Paramètres!$A$1:$I$89,3,0)*0.475*44/12</f>
        <v>1.3910886151400859</v>
      </c>
      <c r="EC105" s="21">
        <f>EXP(-LN(2)/2)*EC104+(1-EXP(-LN(2)/2))/(LN(2)/2)*DW105*DZ105*VLOOKUP('Données projet'!$B$14,Paramètres!$A$1:$I$89,3,0)*0.475*44/12</f>
        <v>2.837588184181341E-10</v>
      </c>
      <c r="ED105" s="22">
        <f t="shared" si="72"/>
        <v>1.9400734188601696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2.2737367544323206E-13</v>
      </c>
      <c r="EK105" s="17">
        <f>EJ105*VLOOKUP('Données projet'!$B$15,Paramètres!$A$1:$I$89,3,0)*VLOOKUP('Données projet'!$B$15,Paramètres!$A$1:$I$89,5,0)</f>
        <v>1.2414602679200471E-13</v>
      </c>
      <c r="EL105" s="13">
        <f t="shared" si="99"/>
        <v>1.8186582995804361E-12</v>
      </c>
      <c r="EM105" s="20">
        <f t="shared" si="73"/>
        <v>3.3837175350986671E-12</v>
      </c>
      <c r="EN105" s="59">
        <f t="shared" si="74"/>
        <v>293.33333333333672</v>
      </c>
      <c r="EO105" s="59">
        <f ca="1">AVERAGE(OFFSET($EN$3,0,0,'Données projet'!$E$15+1,1))-AVERAGE(OFFSET($H$3,0,0,'Données projet'!$E$15+1,1))</f>
        <v>168.72306536277267</v>
      </c>
      <c r="EP105" s="59">
        <f t="shared" si="100"/>
        <v>203.35476578922339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0.73098520022771474</v>
      </c>
      <c r="EW105" s="21">
        <f>EXP(-LN(2)/25)*EW104+(1-EXP(-LN(2)/25))/(LN(2)/25)*Calculateur!ER105*Calculateur!ET105*VLOOKUP('Données projet'!$B$15,Paramètres!$A$1:$I$89,3,0)*0.475*44/12</f>
        <v>3.1223280287965554</v>
      </c>
      <c r="EX105" s="21">
        <f>EXP(-LN(2)/2)*EX104+(1-EXP(-LN(2)/2))/(LN(2)/2)*ER105*EU105*VLOOKUP('Données projet'!$B$15,Paramètres!$A$1:$I$89,3,0)*0.475*44/12</f>
        <v>2.9138531859046294E-10</v>
      </c>
      <c r="EY105" s="22">
        <f t="shared" si="75"/>
        <v>3.8533132293156553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3.4106051316484809E-13</v>
      </c>
      <c r="FF105" s="17">
        <f>FE105*VLOOKUP('Données projet'!$B$16,Paramètres!$A$1:$I$89,3,0)*VLOOKUP('Données projet'!$B$16,Paramètres!$A$1:$I$89,5,0)</f>
        <v>1.8621904018800707E-13</v>
      </c>
      <c r="FG105" s="13">
        <f t="shared" si="101"/>
        <v>2.6022279988572714E-12</v>
      </c>
      <c r="FH105" s="20">
        <f t="shared" si="76"/>
        <v>4.8565452596705266E-12</v>
      </c>
      <c r="FI105" s="59">
        <f t="shared" si="77"/>
        <v>293.33333333333815</v>
      </c>
      <c r="FJ105" s="59">
        <f ca="1">AVERAGE(OFFSET($FI$3,0,0,'Données projet'!$E$16+1,1))-AVERAGE(OFFSET($H$3,0,0,'Données projet'!$E$16+1,1))</f>
        <v>127.76128532861486</v>
      </c>
      <c r="FK105" s="59">
        <f t="shared" si="102"/>
        <v>157.52303491639736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>
        <f>EXP(-LN(2)/35)*FQ104+(1-EXP(-LN(2)/35))/(LN(2)/35)*FM105*FN105*VLOOKUP('Données projet'!$B$16,Paramètres!$A$1:$I$89,3,0)*0.475*44/12</f>
        <v>0.58478816018217195</v>
      </c>
      <c r="FR105" s="21">
        <f>EXP(-LN(2)/25)*FR104+(1-EXP(-LN(2)/25))/(LN(2)/25)*Calculateur!FM105*Calculateur!FO105*VLOOKUP('Données projet'!$B$16,Paramètres!$A$1:$I$89,3,0)*0.475*44/12</f>
        <v>2.2171115890341486</v>
      </c>
      <c r="FS105" s="21">
        <f>EXP(-LN(2)/2)*FS104+(1-EXP(-LN(2)/2))/(LN(2)/2)*FM105*FP105*VLOOKUP('Données projet'!$B$16,Paramètres!$A$1:$I$89,3,0)*0.475*44/12</f>
        <v>2.3133717189396325E-10</v>
      </c>
      <c r="FT105" s="22">
        <f t="shared" si="78"/>
        <v>2.8018997494476579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>
        <f>VLOOKUP(A106,'Données projet'!$A$35:$I$55,2,0)</f>
        <v>234.76923076923077</v>
      </c>
      <c r="L106" s="12">
        <f>VLOOKUP(A106,'Données projet'!$A$35:$I$55,9,0)</f>
        <v>5.2583333333333373</v>
      </c>
      <c r="M106" s="12">
        <f t="array" ref="M106">INDEX(L:L,MIN(IF(ISNUMBER(L106:L302),ROW(L106:L302),"")))</f>
        <v>5.2583333333333373</v>
      </c>
      <c r="N106" s="13">
        <f>IF('Données projet'!$A$36&gt;35,N105+M106-V105,IF(A106&lt;'Données projet'!$A$36,$K$205^A106,IF(A106='Données projet'!$A$36,'Données projet'!$B$36,N105+M106-V105)))</f>
        <v>234.76923076923046</v>
      </c>
      <c r="O106" s="13">
        <f>N106*VLOOKUP('Données projet'!$B$9,Paramètres!$A$1:$I$89,3,0)*VLOOKUP('Données projet'!$B$9,Paramètres!$A$1:$I$89,5,0)</f>
        <v>212.41919999999973</v>
      </c>
      <c r="P106" s="13">
        <f t="shared" si="87"/>
        <v>52.463888829926184</v>
      </c>
      <c r="Q106" s="20">
        <f t="shared" si="107"/>
        <v>461.33804637878757</v>
      </c>
      <c r="R106" s="59">
        <f t="shared" si="55"/>
        <v>754.67137971212082</v>
      </c>
      <c r="S106" s="59">
        <f ca="1">AVERAGE(OFFSET($R$3,0,0,'Données projet'!$E$9+1,1))-AVERAGE(OFFSET($H$3,0,0,'Données projet'!$E$9+1,1))</f>
        <v>153.45079678708987</v>
      </c>
      <c r="T106" s="59">
        <f t="shared" si="88"/>
        <v>115.4217868409637</v>
      </c>
      <c r="U106" s="15">
        <f>IF(ISNA(VLOOKUP(A106,'Données projet'!$A$35:$I$55,3,0)),0,VLOOKUP(A106,'Données projet'!$A$35:$I$55,3,0))</f>
        <v>8</v>
      </c>
      <c r="V106" s="15">
        <f>IF(ISNA(VLOOKUP(A106,'Données projet'!$A$35:$I$55,4,0)),0,VLOOKUP(A106,'Données projet'!$A$35:$I$55,4,0))</f>
        <v>39.512820512820511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0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4.6794871794871762</v>
      </c>
      <c r="AI106" s="13">
        <f>IF('Données projet'!$A$62&gt;35,AI105+AH106-AQ105,IF(A106&lt;'Données projet'!$A$62,$AF$205^A106,IF(A106='Données projet'!$A$62,'Données projet'!$B$62,AI105+AH106-AQ105)))</f>
        <v>189.397435897436</v>
      </c>
      <c r="AJ106" s="13">
        <f>AI106*VLOOKUP('Données projet'!$B$10,Paramètres!$A$1:$I$89,3,0)*VLOOKUP('Données projet'!$B$10,Paramètres!$A$1:$I$89,5,0)</f>
        <v>171.3668000000001</v>
      </c>
      <c r="AK106" s="13">
        <f t="shared" si="89"/>
        <v>43.395998503523607</v>
      </c>
      <c r="AL106" s="20">
        <f t="shared" si="58"/>
        <v>374.0452073936371</v>
      </c>
      <c r="AM106" s="59">
        <f t="shared" si="59"/>
        <v>667.37854072697041</v>
      </c>
      <c r="AN106" s="59">
        <f ca="1">AVERAGE(OFFSET($AM$3,0,0,'Données projet'!$E$10+1,1))-AVERAGE(OFFSET($H$3,0,0,'Données projet'!$E$10+1,1))</f>
        <v>123.92486590666675</v>
      </c>
      <c r="AO106" s="59">
        <f t="shared" si="90"/>
        <v>54.404493017418986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0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1.1368683772161603E-13</v>
      </c>
      <c r="BE106" s="13">
        <f>BD106*VLOOKUP('Données projet'!$B$11,Paramètres!$A$1:$I$89,3,0)*VLOOKUP('Données projet'!$B$11,Paramètres!$A$1:$I$89,5,0)</f>
        <v>6.3550942286383367E-14</v>
      </c>
      <c r="BF106" s="13">
        <f t="shared" si="91"/>
        <v>1.0064464192543978E-12</v>
      </c>
      <c r="BG106" s="20">
        <f t="shared" si="61"/>
        <v>1.8635787380168604E-12</v>
      </c>
      <c r="BH106" s="59">
        <f t="shared" si="62"/>
        <v>293.33333333333519</v>
      </c>
      <c r="BI106" s="59">
        <f ca="1">AVERAGE(OFFSET($BH$3,0,0,'Données projet'!$E$11+1,1))-AVERAGE(OFFSET($H$3,0,0,'Données projet'!$E$11+1,1))</f>
        <v>224.7049802939942</v>
      </c>
      <c r="BJ106" s="59">
        <f t="shared" si="92"/>
        <v>203.48513862195352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0.52561560729957701</v>
      </c>
      <c r="BQ106" s="21">
        <f>EXP(-LN(2)/25)*BQ105+(1-EXP(-LN(2)/25))/(LN(2)/25)*Calculateur!BL106*Calculateur!BN106*VLOOKUP('Données projet'!$B$11,Paramètres!$A$1:$I$89,3,0)*0.475*44/12</f>
        <v>2.5797222300481657</v>
      </c>
      <c r="BR106" s="21">
        <f>EXP(-LN(2)/2)*BR105+(1-EXP(-LN(2)/2))/(LN(2)/2)*BL106*BO106*VLOOKUP('Données projet'!$B$11,Paramètres!$A$1:$I$89,3,0)*0.475*44/12</f>
        <v>9.2202534531590766E-11</v>
      </c>
      <c r="BS106" s="22">
        <f t="shared" si="63"/>
        <v>3.1053378374399454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4.4717948717948701</v>
      </c>
      <c r="BY106" s="12">
        <f>IF('Données projet'!$A$114&gt;35,BY105+BX106-CG105,IF(A106&lt;'Données projet'!$A$114,$BV$205^A106,IF(A106='Données projet'!$A$114,'Données projet'!$B$114,BY105+BX106-CG105)))</f>
        <v>380.47179487179511</v>
      </c>
      <c r="BZ106" s="13">
        <f>BY106*VLOOKUP('Données projet'!$B$12,Paramètres!$A$1:$I$89,3,0)*VLOOKUP('Données projet'!$B$12,Paramètres!$A$1:$I$89,5,0)</f>
        <v>212.68373333333349</v>
      </c>
      <c r="CA106" s="13">
        <f t="shared" si="93"/>
        <v>52.521614815725137</v>
      </c>
      <c r="CB106" s="20">
        <f t="shared" si="64"/>
        <v>461.89931469294379</v>
      </c>
      <c r="CC106" s="59">
        <f t="shared" si="65"/>
        <v>755.23264802627705</v>
      </c>
      <c r="CD106" s="59">
        <f ca="1">AVERAGE(OFFSET($CC$3,0,0,'Données projet'!$E$12+1,1))-AVERAGE(OFFSET($H$3,0,0,'Données projet'!$E$12+1,1))</f>
        <v>190.08613104982993</v>
      </c>
      <c r="CE106" s="59">
        <f t="shared" si="94"/>
        <v>180.55054525447781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0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497</v>
      </c>
      <c r="CU106" s="17">
        <f>CT106*VLOOKUP('Données projet'!$B$13,Paramètres!$A$1:$I$89,3,0)*VLOOKUP('Données projet'!$B$13,Paramètres!$A$1:$I$89,5,0)</f>
        <v>297.20600000000002</v>
      </c>
      <c r="CV106" s="13">
        <f t="shared" si="95"/>
        <v>70.590415164571112</v>
      </c>
      <c r="CW106" s="20">
        <f t="shared" si="67"/>
        <v>640.57875641162809</v>
      </c>
      <c r="CX106" s="59">
        <f t="shared" si="68"/>
        <v>933.91208974496135</v>
      </c>
      <c r="CY106" s="59">
        <f ca="1">AVERAGE(OFFSET($CX$3,0,0,'Données projet'!$E$13+1,1))-AVERAGE(OFFSET($H$3,0,0,'Données projet'!$E$13+1,1))</f>
        <v>270.30888762640245</v>
      </c>
      <c r="CZ106" s="59">
        <f t="shared" si="96"/>
        <v>202.23783851977691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0.50458082464556731</v>
      </c>
      <c r="DG106" s="21">
        <f>EXP(-LN(2)/25)*DG105+(1-EXP(-LN(2)/25))/(LN(2)/25)*Calculateur!DB106*Calculateur!DD106*VLOOKUP('Données projet'!$B$13,Paramètres!$A$1:$I$89,3,0)*0.475*44/12</f>
        <v>1.6245321063145235</v>
      </c>
      <c r="DH106" s="21">
        <f>EXP(-LN(2)/2)*DH105+(1-EXP(-LN(2)/2))/(LN(2)/2)*DB106*DE106*VLOOKUP('Données projet'!$B$13,Paramètres!$A$1:$I$89,3,0)*0.475*44/12</f>
        <v>1.9028446598264081E-10</v>
      </c>
      <c r="DI106" s="22">
        <f t="shared" si="69"/>
        <v>2.1291129311503756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433.00000000000011</v>
      </c>
      <c r="DP106" s="17">
        <f>DO106*VLOOKUP('Données projet'!$B$14,Paramètres!$A$1:$I$89,3,0)*VLOOKUP('Données projet'!$B$14,Paramètres!$A$1:$I$89,5,0)</f>
        <v>258.93400000000008</v>
      </c>
      <c r="DQ106" s="13">
        <f t="shared" si="97"/>
        <v>62.495095530116075</v>
      </c>
      <c r="DR106" s="20">
        <f t="shared" si="70"/>
        <v>559.82234138161891</v>
      </c>
      <c r="DS106" s="59">
        <f t="shared" si="71"/>
        <v>853.15567471495228</v>
      </c>
      <c r="DT106" s="59">
        <f ca="1">AVERAGE(OFFSET($DS$3,0,0,'Données projet'!$E$14+1,1))-AVERAGE(OFFSET($H$3,0,0,'Données projet'!$E$14+1,1))</f>
        <v>221.14988592347311</v>
      </c>
      <c r="DU106" s="59">
        <f t="shared" si="98"/>
        <v>179.09262081171607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0.53821954628860513</v>
      </c>
      <c r="EB106" s="21">
        <f>EXP(-LN(2)/25)*EB105+(1-EXP(-LN(2)/25))/(LN(2)/25)*Calculateur!DW106*Calculateur!DY106*VLOOKUP('Données projet'!$B$14,Paramètres!$A$1:$I$89,3,0)*0.475*44/12</f>
        <v>1.3530492238049092</v>
      </c>
      <c r="EC106" s="21">
        <f>EXP(-LN(2)/2)*EC105+(1-EXP(-LN(2)/2))/(LN(2)/2)*DW106*DZ106*VLOOKUP('Données projet'!$B$14,Paramètres!$A$1:$I$89,3,0)*0.475*44/12</f>
        <v>2.0064778472494482E-10</v>
      </c>
      <c r="ED106" s="22">
        <f t="shared" si="72"/>
        <v>1.8912687702941622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2.2737367544323206E-13</v>
      </c>
      <c r="EK106" s="17">
        <f>EJ106*VLOOKUP('Données projet'!$B$15,Paramètres!$A$1:$I$89,3,0)*VLOOKUP('Données projet'!$B$15,Paramètres!$A$1:$I$89,5,0)</f>
        <v>1.2414602679200471E-13</v>
      </c>
      <c r="EL106" s="13">
        <f t="shared" si="99"/>
        <v>1.8186582995804361E-12</v>
      </c>
      <c r="EM106" s="20">
        <f t="shared" si="73"/>
        <v>3.3837175350986671E-12</v>
      </c>
      <c r="EN106" s="59">
        <f t="shared" si="74"/>
        <v>293.33333333333672</v>
      </c>
      <c r="EO106" s="59">
        <f ca="1">AVERAGE(OFFSET($EN$3,0,0,'Données projet'!$E$15+1,1))-AVERAGE(OFFSET($H$3,0,0,'Données projet'!$E$15+1,1))</f>
        <v>168.72306536277267</v>
      </c>
      <c r="EP106" s="59">
        <f t="shared" si="100"/>
        <v>203.35476578922339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0.71665102630819666</v>
      </c>
      <c r="EW106" s="21">
        <f>EXP(-LN(2)/25)*EW105+(1-EXP(-LN(2)/25))/(LN(2)/25)*Calculateur!ER106*Calculateur!ET106*VLOOKUP('Données projet'!$B$15,Paramètres!$A$1:$I$89,3,0)*0.475*44/12</f>
        <v>3.0369478046530185</v>
      </c>
      <c r="EX106" s="21">
        <f>EXP(-LN(2)/2)*EX105+(1-EXP(-LN(2)/2))/(LN(2)/2)*ER106*EU106*VLOOKUP('Données projet'!$B$15,Paramètres!$A$1:$I$89,3,0)*0.475*44/12</f>
        <v>2.0604053471351892E-10</v>
      </c>
      <c r="EY106" s="22">
        <f t="shared" si="75"/>
        <v>3.7535988311672557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3.4106051316484809E-13</v>
      </c>
      <c r="FF106" s="17">
        <f>FE106*VLOOKUP('Données projet'!$B$16,Paramètres!$A$1:$I$89,3,0)*VLOOKUP('Données projet'!$B$16,Paramètres!$A$1:$I$89,5,0)</f>
        <v>1.8621904018800707E-13</v>
      </c>
      <c r="FG106" s="13">
        <f t="shared" si="101"/>
        <v>2.6022279988572714E-12</v>
      </c>
      <c r="FH106" s="20">
        <f t="shared" si="76"/>
        <v>4.8565452596705266E-12</v>
      </c>
      <c r="FI106" s="59">
        <f t="shared" si="77"/>
        <v>293.33333333333815</v>
      </c>
      <c r="FJ106" s="59">
        <f ca="1">AVERAGE(OFFSET($FI$3,0,0,'Données projet'!$E$16+1,1))-AVERAGE(OFFSET($H$3,0,0,'Données projet'!$E$16+1,1))</f>
        <v>127.76128532861486</v>
      </c>
      <c r="FK106" s="59">
        <f t="shared" si="102"/>
        <v>157.52303491639736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>
        <f>EXP(-LN(2)/35)*FQ105+(1-EXP(-LN(2)/35))/(LN(2)/35)*FM106*FN106*VLOOKUP('Données projet'!$B$16,Paramètres!$A$1:$I$89,3,0)*0.475*44/12</f>
        <v>0.57332082104655746</v>
      </c>
      <c r="FR106" s="21">
        <f>EXP(-LN(2)/25)*FR105+(1-EXP(-LN(2)/25))/(LN(2)/25)*Calculateur!FM106*Calculateur!FO106*VLOOKUP('Données projet'!$B$16,Paramètres!$A$1:$I$89,3,0)*0.475*44/12</f>
        <v>2.1564845560391785</v>
      </c>
      <c r="FS106" s="21">
        <f>EXP(-LN(2)/2)*FS105+(1-EXP(-LN(2)/2))/(LN(2)/2)*FM106*FP106*VLOOKUP('Données projet'!$B$16,Paramètres!$A$1:$I$89,3,0)*0.475*44/12</f>
        <v>1.6358008298673941E-10</v>
      </c>
      <c r="FT106" s="22">
        <f t="shared" si="78"/>
        <v>2.729805377249316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5.0961538461538449</v>
      </c>
      <c r="N107" s="13">
        <f>IF('Données projet'!$A$36&gt;35,N106+M107-V106,IF(A107&lt;'Données projet'!$A$36,$K$205^A107,IF(A107='Données projet'!$A$36,'Données projet'!$B$36,N106+M107-V106)))</f>
        <v>200.3525641025638</v>
      </c>
      <c r="O107" s="13">
        <f>N107*VLOOKUP('Données projet'!$B$9,Paramètres!$A$1:$I$89,3,0)*VLOOKUP('Données projet'!$B$9,Paramètres!$A$1:$I$89,5,0)</f>
        <v>181.27899999999974</v>
      </c>
      <c r="P107" s="13">
        <f t="shared" si="87"/>
        <v>45.606622736998297</v>
      </c>
      <c r="Q107" s="20">
        <f t="shared" si="107"/>
        <v>395.15912626693824</v>
      </c>
      <c r="R107" s="59">
        <f t="shared" si="55"/>
        <v>688.49245960027156</v>
      </c>
      <c r="S107" s="59">
        <f ca="1">AVERAGE(OFFSET($R$3,0,0,'Données projet'!$E$9+1,1))-AVERAGE(OFFSET($H$3,0,0,'Données projet'!$E$9+1,1))</f>
        <v>153.45079678708987</v>
      </c>
      <c r="T107" s="59">
        <f t="shared" si="88"/>
        <v>115.4217868409637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0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194.07692307692307</v>
      </c>
      <c r="AG107" s="12">
        <f>VLOOKUP(A107,'Données projet'!$A$61:$I$81,9,0)</f>
        <v>4.6794871794871762</v>
      </c>
      <c r="AH107" s="12">
        <f t="array" ref="AH107">INDEX(AG:AG,MIN(IF(ISNUMBER(AG107:AG303),ROW(AG107:AG303),"")))</f>
        <v>4.6794871794871762</v>
      </c>
      <c r="AI107" s="13">
        <f>IF('Données projet'!$A$62&gt;35,AI106+AH107-AQ106,IF(A107&lt;'Données projet'!$A$62,$AF$205^A107,IF(A107='Données projet'!$A$62,'Données projet'!$B$62,AI106+AH107-AQ106)))</f>
        <v>194.07692307692318</v>
      </c>
      <c r="AJ107" s="13">
        <f>AI107*VLOOKUP('Données projet'!$B$10,Paramètres!$A$1:$I$89,3,0)*VLOOKUP('Données projet'!$B$10,Paramètres!$A$1:$I$89,5,0)</f>
        <v>175.60080000000008</v>
      </c>
      <c r="AK107" s="13">
        <f t="shared" si="89"/>
        <v>44.342040220099413</v>
      </c>
      <c r="AL107" s="20">
        <f t="shared" si="58"/>
        <v>383.06711338333997</v>
      </c>
      <c r="AM107" s="59">
        <f t="shared" si="59"/>
        <v>676.40044671667329</v>
      </c>
      <c r="AN107" s="59">
        <f ca="1">AVERAGE(OFFSET($AM$3,0,0,'Données projet'!$E$10+1,1))-AVERAGE(OFFSET($H$3,0,0,'Données projet'!$E$10+1,1))</f>
        <v>123.92486590666675</v>
      </c>
      <c r="AO107" s="59">
        <f t="shared" si="90"/>
        <v>54.404493017418986</v>
      </c>
      <c r="AP107" s="15">
        <f>IF(ISNA(VLOOKUP(A107,'Données projet'!$A$61:$I$81,3,0)),0,VLOOKUP(A107,'Données projet'!$A$61:$I$81,3,0))</f>
        <v>6</v>
      </c>
      <c r="AQ107" s="15">
        <f>IF(ISNA(VLOOKUP(A107,'Données projet'!$A$61:$I$81,4,0)),0,VLOOKUP(A107,'Données projet'!$A$61:$I$81,4,0))</f>
        <v>28.275641025641026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0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1.1368683772161603E-13</v>
      </c>
      <c r="BE107" s="13">
        <f>BD107*VLOOKUP('Données projet'!$B$11,Paramètres!$A$1:$I$89,3,0)*VLOOKUP('Données projet'!$B$11,Paramètres!$A$1:$I$89,5,0)</f>
        <v>6.3550942286383367E-14</v>
      </c>
      <c r="BF107" s="13">
        <f t="shared" si="91"/>
        <v>1.0064464192543978E-12</v>
      </c>
      <c r="BG107" s="20">
        <f t="shared" si="61"/>
        <v>1.8635787380168604E-12</v>
      </c>
      <c r="BH107" s="59">
        <f t="shared" si="62"/>
        <v>293.33333333333519</v>
      </c>
      <c r="BI107" s="59">
        <f ca="1">AVERAGE(OFFSET($BH$3,0,0,'Données projet'!$E$11+1,1))-AVERAGE(OFFSET($H$3,0,0,'Données projet'!$E$11+1,1))</f>
        <v>224.7049802939942</v>
      </c>
      <c r="BJ107" s="59">
        <f t="shared" si="92"/>
        <v>203.48513862195352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0.51530860583429672</v>
      </c>
      <c r="BQ107" s="21">
        <f>EXP(-LN(2)/25)*BQ106+(1-EXP(-LN(2)/25))/(LN(2)/25)*Calculateur!BL107*Calculateur!BN107*VLOOKUP('Données projet'!$B$11,Paramètres!$A$1:$I$89,3,0)*0.475*44/12</f>
        <v>2.5091795900058025</v>
      </c>
      <c r="BR107" s="21">
        <f>EXP(-LN(2)/2)*BR106+(1-EXP(-LN(2)/2))/(LN(2)/2)*BL107*BO107*VLOOKUP('Données projet'!$B$11,Paramètres!$A$1:$I$89,3,0)*0.475*44/12</f>
        <v>6.5197037409874644E-11</v>
      </c>
      <c r="BS107" s="22">
        <f t="shared" si="63"/>
        <v>3.0244881959052963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4.4717948717948701</v>
      </c>
      <c r="BY107" s="12">
        <f>IF('Données projet'!$A$114&gt;35,BY106+BX107-CG106,IF(A107&lt;'Données projet'!$A$114,$BV$205^A107,IF(A107='Données projet'!$A$114,'Données projet'!$B$114,BY106+BX107-CG106)))</f>
        <v>384.94358974359</v>
      </c>
      <c r="BZ107" s="13">
        <f>BY107*VLOOKUP('Données projet'!$B$12,Paramètres!$A$1:$I$89,3,0)*VLOOKUP('Données projet'!$B$12,Paramètres!$A$1:$I$89,5,0)</f>
        <v>215.18346666666679</v>
      </c>
      <c r="CA107" s="13">
        <f t="shared" si="93"/>
        <v>53.066691115479117</v>
      </c>
      <c r="CB107" s="20">
        <f t="shared" si="64"/>
        <v>467.20235813723747</v>
      </c>
      <c r="CC107" s="59">
        <f t="shared" si="65"/>
        <v>760.53569147057078</v>
      </c>
      <c r="CD107" s="59">
        <f ca="1">AVERAGE(OFFSET($CC$3,0,0,'Données projet'!$E$12+1,1))-AVERAGE(OFFSET($H$3,0,0,'Données projet'!$E$12+1,1))</f>
        <v>190.08613104982993</v>
      </c>
      <c r="CE107" s="59">
        <f t="shared" si="94"/>
        <v>180.55054525447781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0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497</v>
      </c>
      <c r="CU107" s="17">
        <f>CT107*VLOOKUP('Données projet'!$B$13,Paramètres!$A$1:$I$89,3,0)*VLOOKUP('Données projet'!$B$13,Paramètres!$A$1:$I$89,5,0)</f>
        <v>297.20600000000002</v>
      </c>
      <c r="CV107" s="13">
        <f t="shared" si="95"/>
        <v>70.590415164571112</v>
      </c>
      <c r="CW107" s="20">
        <f t="shared" si="67"/>
        <v>640.57875641162809</v>
      </c>
      <c r="CX107" s="59">
        <f t="shared" si="68"/>
        <v>933.91208974496135</v>
      </c>
      <c r="CY107" s="59">
        <f ca="1">AVERAGE(OFFSET($CX$3,0,0,'Données projet'!$E$13+1,1))-AVERAGE(OFFSET($H$3,0,0,'Données projet'!$E$13+1,1))</f>
        <v>270.30888762640245</v>
      </c>
      <c r="CZ107" s="59">
        <f t="shared" si="96"/>
        <v>202.23783851977691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0.49468630243818162</v>
      </c>
      <c r="DG107" s="21">
        <f>EXP(-LN(2)/25)*DG106+(1-EXP(-LN(2)/25))/(LN(2)/25)*Calculateur!DB107*Calculateur!DD107*VLOOKUP('Données projet'!$B$13,Paramètres!$A$1:$I$89,3,0)*0.475*44/12</f>
        <v>1.5801091904369222</v>
      </c>
      <c r="DH107" s="21">
        <f>EXP(-LN(2)/2)*DH106+(1-EXP(-LN(2)/2))/(LN(2)/2)*DB107*DE107*VLOOKUP('Données projet'!$B$13,Paramètres!$A$1:$I$89,3,0)*0.475*44/12</f>
        <v>1.3455143625078624E-10</v>
      </c>
      <c r="DI107" s="22">
        <f t="shared" si="69"/>
        <v>2.0747954930096553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433.00000000000011</v>
      </c>
      <c r="DP107" s="17">
        <f>DO107*VLOOKUP('Données projet'!$B$14,Paramètres!$A$1:$I$89,3,0)*VLOOKUP('Données projet'!$B$14,Paramètres!$A$1:$I$89,5,0)</f>
        <v>258.93400000000008</v>
      </c>
      <c r="DQ107" s="13">
        <f t="shared" si="97"/>
        <v>62.495095530116075</v>
      </c>
      <c r="DR107" s="20">
        <f t="shared" si="70"/>
        <v>559.82234138161891</v>
      </c>
      <c r="DS107" s="59">
        <f t="shared" si="71"/>
        <v>853.15567471495228</v>
      </c>
      <c r="DT107" s="59">
        <f ca="1">AVERAGE(OFFSET($DS$3,0,0,'Données projet'!$E$14+1,1))-AVERAGE(OFFSET($H$3,0,0,'Données projet'!$E$14+1,1))</f>
        <v>221.14988592347311</v>
      </c>
      <c r="DU107" s="59">
        <f t="shared" si="98"/>
        <v>179.09262081171607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0.5276653892673937</v>
      </c>
      <c r="EB107" s="21">
        <f>EXP(-LN(2)/25)*EB106+(1-EXP(-LN(2)/25))/(LN(2)/25)*Calculateur!DW107*Calculateur!DY107*VLOOKUP('Données projet'!$B$14,Paramètres!$A$1:$I$89,3,0)*0.475*44/12</f>
        <v>1.3160500216261977</v>
      </c>
      <c r="EC107" s="21">
        <f>EXP(-LN(2)/2)*EC106+(1-EXP(-LN(2)/2))/(LN(2)/2)*DW107*DZ107*VLOOKUP('Données projet'!$B$14,Paramètres!$A$1:$I$89,3,0)*0.475*44/12</f>
        <v>1.4187940920906705E-10</v>
      </c>
      <c r="ED107" s="22">
        <f t="shared" si="72"/>
        <v>1.8437154110354708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2.2737367544323206E-13</v>
      </c>
      <c r="EK107" s="17">
        <f>EJ107*VLOOKUP('Données projet'!$B$15,Paramètres!$A$1:$I$89,3,0)*VLOOKUP('Données projet'!$B$15,Paramètres!$A$1:$I$89,5,0)</f>
        <v>1.2414602679200471E-13</v>
      </c>
      <c r="EL107" s="13">
        <f t="shared" si="99"/>
        <v>1.8186582995804361E-12</v>
      </c>
      <c r="EM107" s="20">
        <f t="shared" si="73"/>
        <v>3.3837175350986671E-12</v>
      </c>
      <c r="EN107" s="59">
        <f t="shared" si="74"/>
        <v>293.33333333333672</v>
      </c>
      <c r="EO107" s="59">
        <f ca="1">AVERAGE(OFFSET($EN$3,0,0,'Données projet'!$E$15+1,1))-AVERAGE(OFFSET($H$3,0,0,'Données projet'!$E$15+1,1))</f>
        <v>168.72306536277267</v>
      </c>
      <c r="EP107" s="59">
        <f t="shared" si="100"/>
        <v>203.35476578922339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0.70259793679625759</v>
      </c>
      <c r="EW107" s="21">
        <f>EXP(-LN(2)/25)*EW106+(1-EXP(-LN(2)/25))/(LN(2)/25)*Calculateur!ER107*Calculateur!ET107*VLOOKUP('Données projet'!$B$15,Paramètres!$A$1:$I$89,3,0)*0.475*44/12</f>
        <v>2.9539023072286379</v>
      </c>
      <c r="EX107" s="21">
        <f>EXP(-LN(2)/2)*EX106+(1-EXP(-LN(2)/2))/(LN(2)/2)*ER107*EU107*VLOOKUP('Données projet'!$B$15,Paramètres!$A$1:$I$89,3,0)*0.475*44/12</f>
        <v>1.4569265929523147E-10</v>
      </c>
      <c r="EY107" s="22">
        <f t="shared" si="75"/>
        <v>3.6565002441705885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3.4106051316484809E-13</v>
      </c>
      <c r="FF107" s="17">
        <f>FE107*VLOOKUP('Données projet'!$B$16,Paramètres!$A$1:$I$89,3,0)*VLOOKUP('Données projet'!$B$16,Paramètres!$A$1:$I$89,5,0)</f>
        <v>1.8621904018800707E-13</v>
      </c>
      <c r="FG107" s="13">
        <f t="shared" si="101"/>
        <v>2.6022279988572714E-12</v>
      </c>
      <c r="FH107" s="20">
        <f t="shared" si="76"/>
        <v>4.8565452596705266E-12</v>
      </c>
      <c r="FI107" s="59">
        <f t="shared" si="77"/>
        <v>293.33333333333815</v>
      </c>
      <c r="FJ107" s="59">
        <f ca="1">AVERAGE(OFFSET($FI$3,0,0,'Données projet'!$E$16+1,1))-AVERAGE(OFFSET($H$3,0,0,'Données projet'!$E$16+1,1))</f>
        <v>127.76128532861486</v>
      </c>
      <c r="FK107" s="59">
        <f t="shared" si="102"/>
        <v>157.52303491639736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>
        <f>EXP(-LN(2)/35)*FQ106+(1-EXP(-LN(2)/35))/(LN(2)/35)*FM107*FN107*VLOOKUP('Données projet'!$B$16,Paramètres!$A$1:$I$89,3,0)*0.475*44/12</f>
        <v>0.56207834943700619</v>
      </c>
      <c r="FR107" s="21">
        <f>EXP(-LN(2)/25)*FR106+(1-EXP(-LN(2)/25))/(LN(2)/25)*Calculateur!FM107*Calculateur!FO107*VLOOKUP('Données projet'!$B$16,Paramètres!$A$1:$I$89,3,0)*0.475*44/12</f>
        <v>2.0975153724496933</v>
      </c>
      <c r="FS107" s="21">
        <f>EXP(-LN(2)/2)*FS106+(1-EXP(-LN(2)/2))/(LN(2)/2)*FM107*FP107*VLOOKUP('Données projet'!$B$16,Paramètres!$A$1:$I$89,3,0)*0.475*44/12</f>
        <v>1.1566858594698164E-10</v>
      </c>
      <c r="FT107" s="22">
        <f t="shared" si="78"/>
        <v>2.6595937220023682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5.0961538461538449</v>
      </c>
      <c r="N108" s="13">
        <f>IF('Données projet'!$A$36&gt;35,N107+M108-V107,IF(A108&lt;'Données projet'!$A$36,$K$205^A108,IF(A108='Données projet'!$A$36,'Données projet'!$B$36,N107+M108-V107)))</f>
        <v>205.44871794871764</v>
      </c>
      <c r="O108" s="13">
        <f>N108*VLOOKUP('Données projet'!$B$9,Paramètres!$A$1:$I$89,3,0)*VLOOKUP('Données projet'!$B$9,Paramètres!$A$1:$I$89,5,0)</f>
        <v>185.8899999999997</v>
      </c>
      <c r="P108" s="13">
        <f t="shared" si="87"/>
        <v>46.630136922287527</v>
      </c>
      <c r="Q108" s="20">
        <f t="shared" si="107"/>
        <v>404.97257180631692</v>
      </c>
      <c r="R108" s="59">
        <f t="shared" si="55"/>
        <v>698.30590513965024</v>
      </c>
      <c r="S108" s="59">
        <f ca="1">AVERAGE(OFFSET($R$3,0,0,'Données projet'!$E$9+1,1))-AVERAGE(OFFSET($H$3,0,0,'Données projet'!$E$9+1,1))</f>
        <v>153.45079678708987</v>
      </c>
      <c r="T108" s="59">
        <f t="shared" si="88"/>
        <v>115.4217868409637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0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4.7307692307692299</v>
      </c>
      <c r="AI108" s="13">
        <f>IF('Données projet'!$A$62&gt;35,AI107+AH108-AQ107,IF(A108&lt;'Données projet'!$A$62,$AF$205^A108,IF(A108='Données projet'!$A$62,'Données projet'!$B$62,AI107+AH108-AQ107)))</f>
        <v>170.53205128205138</v>
      </c>
      <c r="AJ108" s="13">
        <f>AI108*VLOOKUP('Données projet'!$B$10,Paramètres!$A$1:$I$89,3,0)*VLOOKUP('Données projet'!$B$10,Paramètres!$A$1:$I$89,5,0)</f>
        <v>154.2974000000001</v>
      </c>
      <c r="AK108" s="13">
        <f t="shared" si="89"/>
        <v>39.55357392010351</v>
      </c>
      <c r="AL108" s="20">
        <f t="shared" si="58"/>
        <v>337.62377957751374</v>
      </c>
      <c r="AM108" s="59">
        <f t="shared" si="59"/>
        <v>630.95711291084706</v>
      </c>
      <c r="AN108" s="59">
        <f ca="1">AVERAGE(OFFSET($AM$3,0,0,'Données projet'!$E$10+1,1))-AVERAGE(OFFSET($H$3,0,0,'Données projet'!$E$10+1,1))</f>
        <v>123.92486590666675</v>
      </c>
      <c r="AO108" s="59">
        <f t="shared" si="90"/>
        <v>54.404493017418986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0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1.1368683772161603E-13</v>
      </c>
      <c r="BE108" s="13">
        <f>BD108*VLOOKUP('Données projet'!$B$11,Paramètres!$A$1:$I$89,3,0)*VLOOKUP('Données projet'!$B$11,Paramètres!$A$1:$I$89,5,0)</f>
        <v>6.3550942286383367E-14</v>
      </c>
      <c r="BF108" s="13">
        <f t="shared" si="91"/>
        <v>1.0064464192543978E-12</v>
      </c>
      <c r="BG108" s="20">
        <f t="shared" si="61"/>
        <v>1.8635787380168604E-12</v>
      </c>
      <c r="BH108" s="59">
        <f t="shared" si="62"/>
        <v>293.33333333333519</v>
      </c>
      <c r="BI108" s="59">
        <f ca="1">AVERAGE(OFFSET($BH$3,0,0,'Données projet'!$E$11+1,1))-AVERAGE(OFFSET($H$3,0,0,'Données projet'!$E$11+1,1))</f>
        <v>224.7049802939942</v>
      </c>
      <c r="BJ108" s="59">
        <f t="shared" si="92"/>
        <v>203.48513862195352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0.50520371838110045</v>
      </c>
      <c r="BQ108" s="21">
        <f>EXP(-LN(2)/25)*BQ107+(1-EXP(-LN(2)/25))/(LN(2)/25)*Calculateur!BL108*Calculateur!BN108*VLOOKUP('Données projet'!$B$11,Paramètres!$A$1:$I$89,3,0)*0.475*44/12</f>
        <v>2.4405659421650738</v>
      </c>
      <c r="BR108" s="21">
        <f>EXP(-LN(2)/2)*BR107+(1-EXP(-LN(2)/2))/(LN(2)/2)*BL108*BO108*VLOOKUP('Données projet'!$B$11,Paramètres!$A$1:$I$89,3,0)*0.475*44/12</f>
        <v>4.6101267265795383E-11</v>
      </c>
      <c r="BS108" s="22">
        <f t="shared" si="63"/>
        <v>2.9457696605922759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4.4717948717948701</v>
      </c>
      <c r="BY108" s="12">
        <f>IF('Données projet'!$A$114&gt;35,BY107+BX108-CG107,IF(A108&lt;'Données projet'!$A$114,$BV$205^A108,IF(A108='Données projet'!$A$114,'Données projet'!$B$114,BY107+BX108-CG107)))</f>
        <v>389.41538461538488</v>
      </c>
      <c r="BZ108" s="13">
        <f>BY108*VLOOKUP('Données projet'!$B$12,Paramètres!$A$1:$I$89,3,0)*VLOOKUP('Données projet'!$B$12,Paramètres!$A$1:$I$89,5,0)</f>
        <v>217.68320000000014</v>
      </c>
      <c r="CA108" s="13">
        <f t="shared" si="93"/>
        <v>53.611030849009659</v>
      </c>
      <c r="CB108" s="20">
        <f t="shared" si="64"/>
        <v>472.50411872869205</v>
      </c>
      <c r="CC108" s="59">
        <f t="shared" si="65"/>
        <v>765.83745206202536</v>
      </c>
      <c r="CD108" s="59">
        <f ca="1">AVERAGE(OFFSET($CC$3,0,0,'Données projet'!$E$12+1,1))-AVERAGE(OFFSET($H$3,0,0,'Données projet'!$E$12+1,1))</f>
        <v>190.08613104982993</v>
      </c>
      <c r="CE108" s="59">
        <f t="shared" si="94"/>
        <v>180.55054525447781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0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497</v>
      </c>
      <c r="CU108" s="17">
        <f>CT108*VLOOKUP('Données projet'!$B$13,Paramètres!$A$1:$I$89,3,0)*VLOOKUP('Données projet'!$B$13,Paramètres!$A$1:$I$89,5,0)</f>
        <v>297.20600000000002</v>
      </c>
      <c r="CV108" s="13">
        <f t="shared" si="95"/>
        <v>70.590415164571112</v>
      </c>
      <c r="CW108" s="20">
        <f t="shared" si="67"/>
        <v>640.57875641162809</v>
      </c>
      <c r="CX108" s="59">
        <f t="shared" si="68"/>
        <v>933.91208974496135</v>
      </c>
      <c r="CY108" s="59">
        <f ca="1">AVERAGE(OFFSET($CX$3,0,0,'Données projet'!$E$13+1,1))-AVERAGE(OFFSET($H$3,0,0,'Données projet'!$E$13+1,1))</f>
        <v>270.30888762640245</v>
      </c>
      <c r="CZ108" s="59">
        <f t="shared" si="96"/>
        <v>202.23783851977691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0.48498580577622014</v>
      </c>
      <c r="DG108" s="21">
        <f>EXP(-LN(2)/25)*DG107+(1-EXP(-LN(2)/25))/(LN(2)/25)*Calculateur!DB108*Calculateur!DD108*VLOOKUP('Données projet'!$B$13,Paramètres!$A$1:$I$89,3,0)*0.475*44/12</f>
        <v>1.5369010215300936</v>
      </c>
      <c r="DH108" s="21">
        <f>EXP(-LN(2)/2)*DH107+(1-EXP(-LN(2)/2))/(LN(2)/2)*DB108*DE108*VLOOKUP('Données projet'!$B$13,Paramètres!$A$1:$I$89,3,0)*0.475*44/12</f>
        <v>9.5142232991320404E-11</v>
      </c>
      <c r="DI108" s="22">
        <f t="shared" si="69"/>
        <v>2.0218868274014556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433.00000000000011</v>
      </c>
      <c r="DP108" s="17">
        <f>DO108*VLOOKUP('Données projet'!$B$14,Paramètres!$A$1:$I$89,3,0)*VLOOKUP('Données projet'!$B$14,Paramètres!$A$1:$I$89,5,0)</f>
        <v>258.93400000000008</v>
      </c>
      <c r="DQ108" s="13">
        <f t="shared" si="97"/>
        <v>62.495095530116075</v>
      </c>
      <c r="DR108" s="20">
        <f t="shared" si="70"/>
        <v>559.82234138161891</v>
      </c>
      <c r="DS108" s="59">
        <f t="shared" si="71"/>
        <v>853.15567471495228</v>
      </c>
      <c r="DT108" s="59">
        <f ca="1">AVERAGE(OFFSET($DS$3,0,0,'Données projet'!$E$14+1,1))-AVERAGE(OFFSET($H$3,0,0,'Données projet'!$E$14+1,1))</f>
        <v>221.14988592347311</v>
      </c>
      <c r="DU108" s="59">
        <f t="shared" si="98"/>
        <v>179.09262081171607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0.51731819282796809</v>
      </c>
      <c r="EB108" s="21">
        <f>EXP(-LN(2)/25)*EB107+(1-EXP(-LN(2)/25))/(LN(2)/25)*Calculateur!DW108*Calculateur!DY108*VLOOKUP('Données projet'!$B$14,Paramètres!$A$1:$I$89,3,0)*0.475*44/12</f>
        <v>1.2800625645767665</v>
      </c>
      <c r="EC108" s="21">
        <f>EXP(-LN(2)/2)*EC107+(1-EXP(-LN(2)/2))/(LN(2)/2)*DW108*DZ108*VLOOKUP('Données projet'!$B$14,Paramètres!$A$1:$I$89,3,0)*0.475*44/12</f>
        <v>1.0032389236247241E-10</v>
      </c>
      <c r="ED108" s="22">
        <f t="shared" si="72"/>
        <v>1.7973807575050584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2.2737367544323206E-13</v>
      </c>
      <c r="EK108" s="17">
        <f>EJ108*VLOOKUP('Données projet'!$B$15,Paramètres!$A$1:$I$89,3,0)*VLOOKUP('Données projet'!$B$15,Paramètres!$A$1:$I$89,5,0)</f>
        <v>1.2414602679200471E-13</v>
      </c>
      <c r="EL108" s="13">
        <f t="shared" si="99"/>
        <v>1.8186582995804361E-12</v>
      </c>
      <c r="EM108" s="20">
        <f t="shared" si="73"/>
        <v>3.3837175350986671E-12</v>
      </c>
      <c r="EN108" s="59">
        <f t="shared" si="74"/>
        <v>293.33333333333672</v>
      </c>
      <c r="EO108" s="59">
        <f ca="1">AVERAGE(OFFSET($EN$3,0,0,'Données projet'!$E$15+1,1))-AVERAGE(OFFSET($H$3,0,0,'Données projet'!$E$15+1,1))</f>
        <v>168.72306536277267</v>
      </c>
      <c r="EP108" s="59">
        <f t="shared" si="100"/>
        <v>203.35476578922339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0.68882041979810937</v>
      </c>
      <c r="EW108" s="21">
        <f>EXP(-LN(2)/25)*EW107+(1-EXP(-LN(2)/25))/(LN(2)/25)*Calculateur!ER108*Calculateur!ET108*VLOOKUP('Données projet'!$B$15,Paramètres!$A$1:$I$89,3,0)*0.475*44/12</f>
        <v>2.8731276932984997</v>
      </c>
      <c r="EX108" s="21">
        <f>EXP(-LN(2)/2)*EX107+(1-EXP(-LN(2)/2))/(LN(2)/2)*ER108*EU108*VLOOKUP('Données projet'!$B$15,Paramètres!$A$1:$I$89,3,0)*0.475*44/12</f>
        <v>1.0302026735675946E-10</v>
      </c>
      <c r="EY108" s="22">
        <f t="shared" si="75"/>
        <v>3.5619481131996293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3.4106051316484809E-13</v>
      </c>
      <c r="FF108" s="17">
        <f>FE108*VLOOKUP('Données projet'!$B$16,Paramètres!$A$1:$I$89,3,0)*VLOOKUP('Données projet'!$B$16,Paramètres!$A$1:$I$89,5,0)</f>
        <v>1.8621904018800707E-13</v>
      </c>
      <c r="FG108" s="13">
        <f t="shared" si="101"/>
        <v>2.6022279988572714E-12</v>
      </c>
      <c r="FH108" s="20">
        <f t="shared" si="76"/>
        <v>4.8565452596705266E-12</v>
      </c>
      <c r="FI108" s="59">
        <f t="shared" si="77"/>
        <v>293.33333333333815</v>
      </c>
      <c r="FJ108" s="59">
        <f ca="1">AVERAGE(OFFSET($FI$3,0,0,'Données projet'!$E$16+1,1))-AVERAGE(OFFSET($H$3,0,0,'Données projet'!$E$16+1,1))</f>
        <v>127.76128532861486</v>
      </c>
      <c r="FK108" s="59">
        <f t="shared" si="102"/>
        <v>157.52303491639736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>
        <f>EXP(-LN(2)/35)*FQ107+(1-EXP(-LN(2)/35))/(LN(2)/35)*FM108*FN108*VLOOKUP('Données projet'!$B$16,Paramètres!$A$1:$I$89,3,0)*0.475*44/12</f>
        <v>0.55105633583848757</v>
      </c>
      <c r="FR108" s="21">
        <f>EXP(-LN(2)/25)*FR107+(1-EXP(-LN(2)/25))/(LN(2)/25)*Calculateur!FM108*Calculateur!FO108*VLOOKUP('Données projet'!$B$16,Paramètres!$A$1:$I$89,3,0)*0.475*44/12</f>
        <v>2.040158704286517</v>
      </c>
      <c r="FS108" s="21">
        <f>EXP(-LN(2)/2)*FS107+(1-EXP(-LN(2)/2))/(LN(2)/2)*FM108*FP108*VLOOKUP('Données projet'!$B$16,Paramètres!$A$1:$I$89,3,0)*0.475*44/12</f>
        <v>8.1790041493369718E-11</v>
      </c>
      <c r="FT108" s="22">
        <f t="shared" si="78"/>
        <v>2.5912150402067948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5.0961538461538449</v>
      </c>
      <c r="N109" s="13">
        <f>IF('Données projet'!$A$36&gt;35,N108+M109-V108,IF(A109&lt;'Données projet'!$A$36,$K$205^A109,IF(A109='Données projet'!$A$36,'Données projet'!$B$36,N108+M109-V108)))</f>
        <v>210.54487179487148</v>
      </c>
      <c r="O109" s="13">
        <f>N109*VLOOKUP('Données projet'!$B$9,Paramètres!$A$1:$I$89,3,0)*VLOOKUP('Données projet'!$B$9,Paramètres!$A$1:$I$89,5,0)</f>
        <v>190.50099999999969</v>
      </c>
      <c r="P109" s="13">
        <f t="shared" si="87"/>
        <v>47.65069985627148</v>
      </c>
      <c r="Q109" s="20">
        <f t="shared" si="107"/>
        <v>414.78087724967219</v>
      </c>
      <c r="R109" s="59">
        <f t="shared" si="55"/>
        <v>708.1142105830055</v>
      </c>
      <c r="S109" s="59">
        <f ca="1">AVERAGE(OFFSET($R$3,0,0,'Données projet'!$E$9+1,1))-AVERAGE(OFFSET($H$3,0,0,'Données projet'!$E$9+1,1))</f>
        <v>153.45079678708987</v>
      </c>
      <c r="T109" s="59">
        <f t="shared" si="88"/>
        <v>115.4217868409637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0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4.7307692307692299</v>
      </c>
      <c r="AI109" s="13">
        <f>IF('Données projet'!$A$62&gt;35,AI108+AH109-AQ108,IF(A109&lt;'Données projet'!$A$62,$AF$205^A109,IF(A109='Données projet'!$A$62,'Données projet'!$B$62,AI108+AH109-AQ108)))</f>
        <v>175.26282051282061</v>
      </c>
      <c r="AJ109" s="13">
        <f>AI109*VLOOKUP('Données projet'!$B$10,Paramètres!$A$1:$I$89,3,0)*VLOOKUP('Données projet'!$B$10,Paramètres!$A$1:$I$89,5,0)</f>
        <v>158.57780000000008</v>
      </c>
      <c r="AK109" s="13">
        <f t="shared" si="89"/>
        <v>40.521567727137821</v>
      </c>
      <c r="AL109" s="20">
        <f t="shared" si="58"/>
        <v>346.7647321247652</v>
      </c>
      <c r="AM109" s="59">
        <f t="shared" si="59"/>
        <v>640.09806545809852</v>
      </c>
      <c r="AN109" s="59">
        <f ca="1">AVERAGE(OFFSET($AM$3,0,0,'Données projet'!$E$10+1,1))-AVERAGE(OFFSET($H$3,0,0,'Données projet'!$E$10+1,1))</f>
        <v>123.92486590666675</v>
      </c>
      <c r="AO109" s="59">
        <f t="shared" si="90"/>
        <v>54.404493017418986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0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1.1368683772161603E-13</v>
      </c>
      <c r="BE109" s="13">
        <f>BD109*VLOOKUP('Données projet'!$B$11,Paramètres!$A$1:$I$89,3,0)*VLOOKUP('Données projet'!$B$11,Paramètres!$A$1:$I$89,5,0)</f>
        <v>6.3550942286383367E-14</v>
      </c>
      <c r="BF109" s="13">
        <f t="shared" si="91"/>
        <v>1.0064464192543978E-12</v>
      </c>
      <c r="BG109" s="20">
        <f t="shared" si="61"/>
        <v>1.8635787380168604E-12</v>
      </c>
      <c r="BH109" s="59">
        <f t="shared" si="62"/>
        <v>293.33333333333519</v>
      </c>
      <c r="BI109" s="59">
        <f ca="1">AVERAGE(OFFSET($BH$3,0,0,'Données projet'!$E$11+1,1))-AVERAGE(OFFSET($H$3,0,0,'Données projet'!$E$11+1,1))</f>
        <v>224.7049802939942</v>
      </c>
      <c r="BJ109" s="59">
        <f t="shared" si="92"/>
        <v>203.48513862195352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0.49529698160748858</v>
      </c>
      <c r="BQ109" s="21">
        <f>EXP(-LN(2)/25)*BQ108+(1-EXP(-LN(2)/25))/(LN(2)/25)*Calculateur!BL109*Calculateur!BN109*VLOOKUP('Données projet'!$B$11,Paramètres!$A$1:$I$89,3,0)*0.475*44/12</f>
        <v>2.373828538132785</v>
      </c>
      <c r="BR109" s="21">
        <f>EXP(-LN(2)/2)*BR108+(1-EXP(-LN(2)/2))/(LN(2)/2)*BL109*BO109*VLOOKUP('Données projet'!$B$11,Paramètres!$A$1:$I$89,3,0)*0.475*44/12</f>
        <v>3.2598518704937322E-11</v>
      </c>
      <c r="BS109" s="22">
        <f t="shared" si="63"/>
        <v>2.8691255197728718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4.4717948717948701</v>
      </c>
      <c r="BY109" s="12">
        <f>IF('Données projet'!$A$114&gt;35,BY108+BX109-CG108,IF(A109&lt;'Données projet'!$A$114,$BV$205^A109,IF(A109='Données projet'!$A$114,'Données projet'!$B$114,BY108+BX109-CG108)))</f>
        <v>393.88717948717976</v>
      </c>
      <c r="BZ109" s="13">
        <f>BY109*VLOOKUP('Données projet'!$B$12,Paramètres!$A$1:$I$89,3,0)*VLOOKUP('Données projet'!$B$12,Paramètres!$A$1:$I$89,5,0)</f>
        <v>220.18293333333349</v>
      </c>
      <c r="CA109" s="13">
        <f t="shared" si="93"/>
        <v>54.154643453217062</v>
      </c>
      <c r="CB109" s="20">
        <f t="shared" si="64"/>
        <v>477.80461290324229</v>
      </c>
      <c r="CC109" s="59">
        <f t="shared" si="65"/>
        <v>771.13794623657554</v>
      </c>
      <c r="CD109" s="59">
        <f ca="1">AVERAGE(OFFSET($CC$3,0,0,'Données projet'!$E$12+1,1))-AVERAGE(OFFSET($H$3,0,0,'Données projet'!$E$12+1,1))</f>
        <v>190.08613104982993</v>
      </c>
      <c r="CE109" s="59">
        <f t="shared" si="94"/>
        <v>180.55054525447781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0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497</v>
      </c>
      <c r="CU109" s="17">
        <f>CT109*VLOOKUP('Données projet'!$B$13,Paramètres!$A$1:$I$89,3,0)*VLOOKUP('Données projet'!$B$13,Paramètres!$A$1:$I$89,5,0)</f>
        <v>297.20600000000002</v>
      </c>
      <c r="CV109" s="13">
        <f t="shared" si="95"/>
        <v>70.590415164571112</v>
      </c>
      <c r="CW109" s="20">
        <f t="shared" si="67"/>
        <v>640.57875641162809</v>
      </c>
      <c r="CX109" s="59">
        <f t="shared" si="68"/>
        <v>933.91208974496135</v>
      </c>
      <c r="CY109" s="59">
        <f ca="1">AVERAGE(OFFSET($CX$3,0,0,'Données projet'!$E$13+1,1))-AVERAGE(OFFSET($H$3,0,0,'Données projet'!$E$13+1,1))</f>
        <v>270.30888762640245</v>
      </c>
      <c r="CZ109" s="59">
        <f t="shared" si="96"/>
        <v>202.23783851977691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0.47547552993708098</v>
      </c>
      <c r="DG109" s="21">
        <f>EXP(-LN(2)/25)*DG108+(1-EXP(-LN(2)/25))/(LN(2)/25)*Calculateur!DB109*Calculateur!DD109*VLOOKUP('Données projet'!$B$13,Paramètres!$A$1:$I$89,3,0)*0.475*44/12</f>
        <v>1.494874382274241</v>
      </c>
      <c r="DH109" s="21">
        <f>EXP(-LN(2)/2)*DH108+(1-EXP(-LN(2)/2))/(LN(2)/2)*DB109*DE109*VLOOKUP('Données projet'!$B$13,Paramètres!$A$1:$I$89,3,0)*0.475*44/12</f>
        <v>6.7275718125393119E-11</v>
      </c>
      <c r="DI109" s="22">
        <f t="shared" si="69"/>
        <v>1.9703499122785977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433.00000000000011</v>
      </c>
      <c r="DP109" s="17">
        <f>DO109*VLOOKUP('Données projet'!$B$14,Paramètres!$A$1:$I$89,3,0)*VLOOKUP('Données projet'!$B$14,Paramètres!$A$1:$I$89,5,0)</f>
        <v>258.93400000000008</v>
      </c>
      <c r="DQ109" s="13">
        <f t="shared" si="97"/>
        <v>62.495095530116075</v>
      </c>
      <c r="DR109" s="20">
        <f t="shared" si="70"/>
        <v>559.82234138161891</v>
      </c>
      <c r="DS109" s="59">
        <f t="shared" si="71"/>
        <v>853.15567471495228</v>
      </c>
      <c r="DT109" s="59">
        <f ca="1">AVERAGE(OFFSET($DS$3,0,0,'Données projet'!$E$14+1,1))-AVERAGE(OFFSET($H$3,0,0,'Données projet'!$E$14+1,1))</f>
        <v>221.14988592347311</v>
      </c>
      <c r="DU109" s="59">
        <f t="shared" si="98"/>
        <v>179.09262081171607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0.50717389859955297</v>
      </c>
      <c r="EB109" s="21">
        <f>EXP(-LN(2)/25)*EB108+(1-EXP(-LN(2)/25))/(LN(2)/25)*Calculateur!DW109*Calculateur!DY109*VLOOKUP('Données projet'!$B$14,Paramètres!$A$1:$I$89,3,0)*0.475*44/12</f>
        <v>1.2450591864328502</v>
      </c>
      <c r="EC109" s="21">
        <f>EXP(-LN(2)/2)*EC108+(1-EXP(-LN(2)/2))/(LN(2)/2)*DW109*DZ109*VLOOKUP('Données projet'!$B$14,Paramètres!$A$1:$I$89,3,0)*0.475*44/12</f>
        <v>7.0939704604533525E-11</v>
      </c>
      <c r="ED109" s="22">
        <f t="shared" si="72"/>
        <v>1.752233085103343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2.2737367544323206E-13</v>
      </c>
      <c r="EK109" s="17">
        <f>EJ109*VLOOKUP('Données projet'!$B$15,Paramètres!$A$1:$I$89,3,0)*VLOOKUP('Données projet'!$B$15,Paramètres!$A$1:$I$89,5,0)</f>
        <v>1.2414602679200471E-13</v>
      </c>
      <c r="EL109" s="13">
        <f t="shared" si="99"/>
        <v>1.8186582995804361E-12</v>
      </c>
      <c r="EM109" s="20">
        <f t="shared" si="73"/>
        <v>3.3837175350986671E-12</v>
      </c>
      <c r="EN109" s="59">
        <f t="shared" si="74"/>
        <v>293.33333333333672</v>
      </c>
      <c r="EO109" s="59">
        <f ca="1">AVERAGE(OFFSET($EN$3,0,0,'Données projet'!$E$15+1,1))-AVERAGE(OFFSET($H$3,0,0,'Données projet'!$E$15+1,1))</f>
        <v>168.72306536277267</v>
      </c>
      <c r="EP109" s="59">
        <f t="shared" si="100"/>
        <v>203.35476578922339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0.67531307150483921</v>
      </c>
      <c r="EW109" s="21">
        <f>EXP(-LN(2)/25)*EW108+(1-EXP(-LN(2)/25))/(LN(2)/25)*Calculateur!ER109*Calculateur!ET109*VLOOKUP('Données projet'!$B$15,Paramètres!$A$1:$I$89,3,0)*0.475*44/12</f>
        <v>2.7945618654340336</v>
      </c>
      <c r="EX109" s="21">
        <f>EXP(-LN(2)/2)*EX108+(1-EXP(-LN(2)/2))/(LN(2)/2)*ER109*EU109*VLOOKUP('Données projet'!$B$15,Paramètres!$A$1:$I$89,3,0)*0.475*44/12</f>
        <v>7.2846329647615734E-11</v>
      </c>
      <c r="EY109" s="22">
        <f t="shared" si="75"/>
        <v>3.4698749370117192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3.4106051316484809E-13</v>
      </c>
      <c r="FF109" s="17">
        <f>FE109*VLOOKUP('Données projet'!$B$16,Paramètres!$A$1:$I$89,3,0)*VLOOKUP('Données projet'!$B$16,Paramètres!$A$1:$I$89,5,0)</f>
        <v>1.8621904018800707E-13</v>
      </c>
      <c r="FG109" s="13">
        <f t="shared" si="101"/>
        <v>2.6022279988572714E-12</v>
      </c>
      <c r="FH109" s="20">
        <f t="shared" si="76"/>
        <v>4.8565452596705266E-12</v>
      </c>
      <c r="FI109" s="59">
        <f t="shared" si="77"/>
        <v>293.33333333333815</v>
      </c>
      <c r="FJ109" s="59">
        <f ca="1">AVERAGE(OFFSET($FI$3,0,0,'Données projet'!$E$16+1,1))-AVERAGE(OFFSET($H$3,0,0,'Données projet'!$E$16+1,1))</f>
        <v>127.76128532861486</v>
      </c>
      <c r="FK109" s="59">
        <f t="shared" si="102"/>
        <v>157.52303491639736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>
        <f>EXP(-LN(2)/35)*FQ108+(1-EXP(-LN(2)/35))/(LN(2)/35)*FM109*FN109*VLOOKUP('Données projet'!$B$16,Paramètres!$A$1:$I$89,3,0)*0.475*44/12</f>
        <v>0.54025045720387144</v>
      </c>
      <c r="FR109" s="21">
        <f>EXP(-LN(2)/25)*FR108+(1-EXP(-LN(2)/25))/(LN(2)/25)*Calculateur!FM109*Calculateur!FO109*VLOOKUP('Données projet'!$B$16,Paramètres!$A$1:$I$89,3,0)*0.475*44/12</f>
        <v>1.9843704572305187</v>
      </c>
      <c r="FS109" s="21">
        <f>EXP(-LN(2)/2)*FS108+(1-EXP(-LN(2)/2))/(LN(2)/2)*FM109*FP109*VLOOKUP('Données projet'!$B$16,Paramètres!$A$1:$I$89,3,0)*0.475*44/12</f>
        <v>5.7834292973490831E-11</v>
      </c>
      <c r="FT109" s="22">
        <f t="shared" si="78"/>
        <v>2.5246209144922243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5.0961538461538449</v>
      </c>
      <c r="N110" s="13">
        <f>IF('Données projet'!$A$36&gt;35,N109+M110-V109,IF(A110&lt;'Données projet'!$A$36,$K$205^A110,IF(A110='Données projet'!$A$36,'Données projet'!$B$36,N109+M110-V109)))</f>
        <v>215.64102564102532</v>
      </c>
      <c r="O110" s="13">
        <f>N110*VLOOKUP('Données projet'!$B$9,Paramètres!$A$1:$I$89,3,0)*VLOOKUP('Données projet'!$B$9,Paramètres!$A$1:$I$89,5,0)</f>
        <v>195.11199999999971</v>
      </c>
      <c r="P110" s="13">
        <f t="shared" si="87"/>
        <v>48.668391191190658</v>
      </c>
      <c r="Q110" s="20">
        <f t="shared" si="107"/>
        <v>424.58418132465653</v>
      </c>
      <c r="R110" s="59">
        <f t="shared" si="55"/>
        <v>717.91751465798984</v>
      </c>
      <c r="S110" s="59">
        <f ca="1">AVERAGE(OFFSET($R$3,0,0,'Données projet'!$E$9+1,1))-AVERAGE(OFFSET($H$3,0,0,'Données projet'!$E$9+1,1))</f>
        <v>153.45079678708987</v>
      </c>
      <c r="T110" s="59">
        <f t="shared" si="88"/>
        <v>115.4217868409637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0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4.7307692307692299</v>
      </c>
      <c r="AI110" s="13">
        <f>IF('Données projet'!$A$62&gt;35,AI109+AH110-AQ109,IF(A110&lt;'Données projet'!$A$62,$AF$205^A110,IF(A110='Données projet'!$A$62,'Données projet'!$B$62,AI109+AH110-AQ109)))</f>
        <v>179.99358974358984</v>
      </c>
      <c r="AJ110" s="13">
        <f>AI110*VLOOKUP('Données projet'!$B$10,Paramètres!$A$1:$I$89,3,0)*VLOOKUP('Données projet'!$B$10,Paramètres!$A$1:$I$89,5,0)</f>
        <v>162.85820000000007</v>
      </c>
      <c r="AK110" s="13">
        <f t="shared" si="89"/>
        <v>41.486524559443936</v>
      </c>
      <c r="AL110" s="20">
        <f t="shared" si="58"/>
        <v>355.90039527436488</v>
      </c>
      <c r="AM110" s="59">
        <f t="shared" si="59"/>
        <v>649.23372860769814</v>
      </c>
      <c r="AN110" s="59">
        <f ca="1">AVERAGE(OFFSET($AM$3,0,0,'Données projet'!$E$10+1,1))-AVERAGE(OFFSET($H$3,0,0,'Données projet'!$E$10+1,1))</f>
        <v>123.92486590666675</v>
      </c>
      <c r="AO110" s="59">
        <f t="shared" si="90"/>
        <v>54.404493017418986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0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1.1368683772161603E-13</v>
      </c>
      <c r="BE110" s="13">
        <f>BD110*VLOOKUP('Données projet'!$B$11,Paramètres!$A$1:$I$89,3,0)*VLOOKUP('Données projet'!$B$11,Paramètres!$A$1:$I$89,5,0)</f>
        <v>6.3550942286383367E-14</v>
      </c>
      <c r="BF110" s="13">
        <f t="shared" si="91"/>
        <v>1.0064464192543978E-12</v>
      </c>
      <c r="BG110" s="20">
        <f t="shared" si="61"/>
        <v>1.8635787380168604E-12</v>
      </c>
      <c r="BH110" s="59">
        <f t="shared" si="62"/>
        <v>293.33333333333519</v>
      </c>
      <c r="BI110" s="59">
        <f ca="1">AVERAGE(OFFSET($BH$3,0,0,'Données projet'!$E$11+1,1))-AVERAGE(OFFSET($H$3,0,0,'Données projet'!$E$11+1,1))</f>
        <v>224.7049802939942</v>
      </c>
      <c r="BJ110" s="59">
        <f t="shared" si="92"/>
        <v>203.48513862195352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0.48558450989949448</v>
      </c>
      <c r="BQ110" s="21">
        <f>EXP(-LN(2)/25)*BQ109+(1-EXP(-LN(2)/25))/(LN(2)/25)*Calculateur!BL110*Calculateur!BN110*VLOOKUP('Données projet'!$B$11,Paramètres!$A$1:$I$89,3,0)*0.475*44/12</f>
        <v>2.3089160719233268</v>
      </c>
      <c r="BR110" s="21">
        <f>EXP(-LN(2)/2)*BR109+(1-EXP(-LN(2)/2))/(LN(2)/2)*BL110*BO110*VLOOKUP('Données projet'!$B$11,Paramètres!$A$1:$I$89,3,0)*0.475*44/12</f>
        <v>2.3050633632897691E-11</v>
      </c>
      <c r="BS110" s="22">
        <f t="shared" si="63"/>
        <v>2.7945005818458717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4.4717948717948701</v>
      </c>
      <c r="BY110" s="12">
        <f>IF('Données projet'!$A$114&gt;35,BY109+BX110-CG109,IF(A110&lt;'Données projet'!$A$114,$BV$205^A110,IF(A110='Données projet'!$A$114,'Données projet'!$B$114,BY109+BX110-CG109)))</f>
        <v>398.35897435897465</v>
      </c>
      <c r="BZ110" s="13">
        <f>BY110*VLOOKUP('Données projet'!$B$12,Paramètres!$A$1:$I$89,3,0)*VLOOKUP('Données projet'!$B$12,Paramètres!$A$1:$I$89,5,0)</f>
        <v>222.68266666666682</v>
      </c>
      <c r="CA110" s="13">
        <f t="shared" si="93"/>
        <v>54.697538138392133</v>
      </c>
      <c r="CB110" s="20">
        <f t="shared" si="64"/>
        <v>483.10385670214424</v>
      </c>
      <c r="CC110" s="59">
        <f t="shared" si="65"/>
        <v>776.43719003547756</v>
      </c>
      <c r="CD110" s="59">
        <f ca="1">AVERAGE(OFFSET($CC$3,0,0,'Données projet'!$E$12+1,1))-AVERAGE(OFFSET($H$3,0,0,'Données projet'!$E$12+1,1))</f>
        <v>190.08613104982993</v>
      </c>
      <c r="CE110" s="59">
        <f t="shared" si="94"/>
        <v>180.55054525447781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0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497</v>
      </c>
      <c r="CU110" s="17">
        <f>CT110*VLOOKUP('Données projet'!$B$13,Paramètres!$A$1:$I$89,3,0)*VLOOKUP('Données projet'!$B$13,Paramètres!$A$1:$I$89,5,0)</f>
        <v>297.20600000000002</v>
      </c>
      <c r="CV110" s="13">
        <f t="shared" si="95"/>
        <v>70.590415164571112</v>
      </c>
      <c r="CW110" s="20">
        <f t="shared" si="67"/>
        <v>640.57875641162809</v>
      </c>
      <c r="CX110" s="59">
        <f t="shared" si="68"/>
        <v>933.91208974496135</v>
      </c>
      <c r="CY110" s="59">
        <f ca="1">AVERAGE(OFFSET($CX$3,0,0,'Données projet'!$E$13+1,1))-AVERAGE(OFFSET($H$3,0,0,'Données projet'!$E$13+1,1))</f>
        <v>270.30888762640245</v>
      </c>
      <c r="CZ110" s="59">
        <f t="shared" si="96"/>
        <v>202.23783851977691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0.46615174480645183</v>
      </c>
      <c r="DG110" s="21">
        <f>EXP(-LN(2)/25)*DG109+(1-EXP(-LN(2)/25))/(LN(2)/25)*Calculateur!DB110*Calculateur!DD110*VLOOKUP('Données projet'!$B$13,Paramètres!$A$1:$I$89,3,0)*0.475*44/12</f>
        <v>1.4539969636789247</v>
      </c>
      <c r="DH110" s="21">
        <f>EXP(-LN(2)/2)*DH109+(1-EXP(-LN(2)/2))/(LN(2)/2)*DB110*DE110*VLOOKUP('Données projet'!$B$13,Paramètres!$A$1:$I$89,3,0)*0.475*44/12</f>
        <v>4.7571116495660202E-11</v>
      </c>
      <c r="DI110" s="22">
        <f t="shared" si="69"/>
        <v>1.9201487085329476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433.00000000000011</v>
      </c>
      <c r="DP110" s="17">
        <f>DO110*VLOOKUP('Données projet'!$B$14,Paramètres!$A$1:$I$89,3,0)*VLOOKUP('Données projet'!$B$14,Paramètres!$A$1:$I$89,5,0)</f>
        <v>258.93400000000008</v>
      </c>
      <c r="DQ110" s="13">
        <f t="shared" si="97"/>
        <v>62.495095530116075</v>
      </c>
      <c r="DR110" s="20">
        <f t="shared" si="70"/>
        <v>559.82234138161891</v>
      </c>
      <c r="DS110" s="59">
        <f t="shared" si="71"/>
        <v>853.15567471495228</v>
      </c>
      <c r="DT110" s="59">
        <f ca="1">AVERAGE(OFFSET($DS$3,0,0,'Données projet'!$E$14+1,1))-AVERAGE(OFFSET($H$3,0,0,'Données projet'!$E$14+1,1))</f>
        <v>221.14988592347311</v>
      </c>
      <c r="DU110" s="59">
        <f t="shared" si="98"/>
        <v>179.09262081171607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0.49722852779354854</v>
      </c>
      <c r="EB110" s="21">
        <f>EXP(-LN(2)/25)*EB109+(1-EXP(-LN(2)/25))/(LN(2)/25)*Calculateur!DW110*Calculateur!DY110*VLOOKUP('Données projet'!$B$14,Paramètres!$A$1:$I$89,3,0)*0.475*44/12</f>
        <v>1.2110129775050269</v>
      </c>
      <c r="EC110" s="21">
        <f>EXP(-LN(2)/2)*EC109+(1-EXP(-LN(2)/2))/(LN(2)/2)*DW110*DZ110*VLOOKUP('Données projet'!$B$14,Paramètres!$A$1:$I$89,3,0)*0.475*44/12</f>
        <v>5.0161946181236206E-11</v>
      </c>
      <c r="ED110" s="22">
        <f t="shared" si="72"/>
        <v>1.7082415053487374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2.2737367544323206E-13</v>
      </c>
      <c r="EK110" s="17">
        <f>EJ110*VLOOKUP('Données projet'!$B$15,Paramètres!$A$1:$I$89,3,0)*VLOOKUP('Données projet'!$B$15,Paramètres!$A$1:$I$89,5,0)</f>
        <v>1.2414602679200471E-13</v>
      </c>
      <c r="EL110" s="13">
        <f t="shared" si="99"/>
        <v>1.8186582995804361E-12</v>
      </c>
      <c r="EM110" s="20">
        <f t="shared" si="73"/>
        <v>3.3837175350986671E-12</v>
      </c>
      <c r="EN110" s="59">
        <f t="shared" si="74"/>
        <v>293.33333333333672</v>
      </c>
      <c r="EO110" s="59">
        <f ca="1">AVERAGE(OFFSET($EN$3,0,0,'Données projet'!$E$15+1,1))-AVERAGE(OFFSET($H$3,0,0,'Données projet'!$E$15+1,1))</f>
        <v>168.72306536277267</v>
      </c>
      <c r="EP110" s="59">
        <f t="shared" si="100"/>
        <v>203.35476578922339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0.66207059407293112</v>
      </c>
      <c r="EW110" s="21">
        <f>EXP(-LN(2)/25)*EW109+(1-EXP(-LN(2)/25))/(LN(2)/25)*Calculateur!ER110*Calculateur!ET110*VLOOKUP('Données projet'!$B$15,Paramètres!$A$1:$I$89,3,0)*0.475*44/12</f>
        <v>2.7181444242641186</v>
      </c>
      <c r="EX110" s="21">
        <f>EXP(-LN(2)/2)*EX109+(1-EXP(-LN(2)/2))/(LN(2)/2)*ER110*EU110*VLOOKUP('Données projet'!$B$15,Paramètres!$A$1:$I$89,3,0)*0.475*44/12</f>
        <v>5.151013367837973E-11</v>
      </c>
      <c r="EY110" s="22">
        <f t="shared" si="75"/>
        <v>3.3802150183885602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3.4106051316484809E-13</v>
      </c>
      <c r="FF110" s="17">
        <f>FE110*VLOOKUP('Données projet'!$B$16,Paramètres!$A$1:$I$89,3,0)*VLOOKUP('Données projet'!$B$16,Paramètres!$A$1:$I$89,5,0)</f>
        <v>1.8621904018800707E-13</v>
      </c>
      <c r="FG110" s="13">
        <f t="shared" si="101"/>
        <v>2.6022279988572714E-12</v>
      </c>
      <c r="FH110" s="20">
        <f t="shared" si="76"/>
        <v>4.8565452596705266E-12</v>
      </c>
      <c r="FI110" s="59">
        <f t="shared" si="77"/>
        <v>293.33333333333815</v>
      </c>
      <c r="FJ110" s="59">
        <f ca="1">AVERAGE(OFFSET($FI$3,0,0,'Données projet'!$E$16+1,1))-AVERAGE(OFFSET($H$3,0,0,'Données projet'!$E$16+1,1))</f>
        <v>127.76128532861486</v>
      </c>
      <c r="FK110" s="59">
        <f t="shared" si="102"/>
        <v>157.52303491639736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>
        <f>EXP(-LN(2)/35)*FQ109+(1-EXP(-LN(2)/35))/(LN(2)/35)*FM110*FN110*VLOOKUP('Données projet'!$B$16,Paramètres!$A$1:$I$89,3,0)*0.475*44/12</f>
        <v>0.52965647525834503</v>
      </c>
      <c r="FR110" s="21">
        <f>EXP(-LN(2)/25)*FR109+(1-EXP(-LN(2)/25))/(LN(2)/25)*Calculateur!FM110*Calculateur!FO110*VLOOKUP('Données projet'!$B$16,Paramètres!$A$1:$I$89,3,0)*0.475*44/12</f>
        <v>1.9301077427240432</v>
      </c>
      <c r="FS110" s="21">
        <f>EXP(-LN(2)/2)*FS109+(1-EXP(-LN(2)/2))/(LN(2)/2)*FM110*FP110*VLOOKUP('Données projet'!$B$16,Paramètres!$A$1:$I$89,3,0)*0.475*44/12</f>
        <v>4.0895020746684866E-11</v>
      </c>
      <c r="FT110" s="22">
        <f t="shared" si="78"/>
        <v>2.4597642180232833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5.0961538461538449</v>
      </c>
      <c r="N111" s="13">
        <f>IF('Données projet'!$A$36&gt;35,N110+M111-V110,IF(A111&lt;'Données projet'!$A$36,$K$205^A111,IF(A111='Données projet'!$A$36,'Données projet'!$B$36,N110+M111-V110)))</f>
        <v>220.73717948717916</v>
      </c>
      <c r="O111" s="13">
        <f>N111*VLOOKUP('Données projet'!$B$9,Paramètres!$A$1:$I$89,3,0)*VLOOKUP('Données projet'!$B$9,Paramètres!$A$1:$I$89,5,0)</f>
        <v>199.7229999999997</v>
      </c>
      <c r="P111" s="13">
        <f t="shared" si="87"/>
        <v>49.683286599758986</v>
      </c>
      <c r="Q111" s="20">
        <f t="shared" si="107"/>
        <v>434.38261582791301</v>
      </c>
      <c r="R111" s="59">
        <f t="shared" si="55"/>
        <v>727.71594916124627</v>
      </c>
      <c r="S111" s="59">
        <f ca="1">AVERAGE(OFFSET($R$3,0,0,'Données projet'!$E$9+1,1))-AVERAGE(OFFSET($H$3,0,0,'Données projet'!$E$9+1,1))</f>
        <v>153.45079678708987</v>
      </c>
      <c r="T111" s="59">
        <f t="shared" si="88"/>
        <v>115.4217868409637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0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4.7307692307692299</v>
      </c>
      <c r="AI111" s="13">
        <f>IF('Données projet'!$A$62&gt;35,AI110+AH111-AQ110,IF(A111&lt;'Données projet'!$A$62,$AF$205^A111,IF(A111='Données projet'!$A$62,'Données projet'!$B$62,AI110+AH111-AQ110)))</f>
        <v>184.72435897435906</v>
      </c>
      <c r="AJ111" s="13">
        <f>AI111*VLOOKUP('Données projet'!$B$10,Paramètres!$A$1:$I$89,3,0)*VLOOKUP('Données projet'!$B$10,Paramètres!$A$1:$I$89,5,0)</f>
        <v>167.13860000000008</v>
      </c>
      <c r="AK111" s="13">
        <f t="shared" si="89"/>
        <v>42.448533413495888</v>
      </c>
      <c r="AL111" s="20">
        <f t="shared" si="58"/>
        <v>365.03092402850547</v>
      </c>
      <c r="AM111" s="59">
        <f t="shared" si="59"/>
        <v>658.36425736183878</v>
      </c>
      <c r="AN111" s="59">
        <f ca="1">AVERAGE(OFFSET($AM$3,0,0,'Données projet'!$E$10+1,1))-AVERAGE(OFFSET($H$3,0,0,'Données projet'!$E$10+1,1))</f>
        <v>123.92486590666675</v>
      </c>
      <c r="AO111" s="59">
        <f t="shared" si="90"/>
        <v>54.404493017418986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0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1.1368683772161603E-13</v>
      </c>
      <c r="BE111" s="13">
        <f>BD111*VLOOKUP('Données projet'!$B$11,Paramètres!$A$1:$I$89,3,0)*VLOOKUP('Données projet'!$B$11,Paramètres!$A$1:$I$89,5,0)</f>
        <v>6.3550942286383367E-14</v>
      </c>
      <c r="BF111" s="13">
        <f t="shared" si="91"/>
        <v>1.0064464192543978E-12</v>
      </c>
      <c r="BG111" s="20">
        <f t="shared" si="61"/>
        <v>1.8635787380168604E-12</v>
      </c>
      <c r="BH111" s="59">
        <f t="shared" si="62"/>
        <v>293.33333333333519</v>
      </c>
      <c r="BI111" s="59">
        <f ca="1">AVERAGE(OFFSET($BH$3,0,0,'Données projet'!$E$11+1,1))-AVERAGE(OFFSET($H$3,0,0,'Données projet'!$E$11+1,1))</f>
        <v>224.7049802939942</v>
      </c>
      <c r="BJ111" s="59">
        <f t="shared" si="92"/>
        <v>203.48513862195352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0.47606249383767135</v>
      </c>
      <c r="BQ111" s="21">
        <f>EXP(-LN(2)/25)*BQ110+(1-EXP(-LN(2)/25))/(LN(2)/25)*Calculateur!BL111*Calculateur!BN111*VLOOKUP('Données projet'!$B$11,Paramètres!$A$1:$I$89,3,0)*0.475*44/12</f>
        <v>2.2457786405159643</v>
      </c>
      <c r="BR111" s="21">
        <f>EXP(-LN(2)/2)*BR110+(1-EXP(-LN(2)/2))/(LN(2)/2)*BL111*BO111*VLOOKUP('Données projet'!$B$11,Paramètres!$A$1:$I$89,3,0)*0.475*44/12</f>
        <v>1.6299259352468661E-11</v>
      </c>
      <c r="BS111" s="22">
        <f t="shared" si="63"/>
        <v>2.7218411343699351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>
        <f>VLOOKUP(A111,'Données projet'!$A$113:$I$133,2,0)</f>
        <v>402.83076923076919</v>
      </c>
      <c r="BW111" s="12">
        <f>VLOOKUP(A111,'Données projet'!$A$113:$I$133,9,0)</f>
        <v>4.4717948717948701</v>
      </c>
      <c r="BX111" s="12">
        <f t="array" ref="BX111">INDEX(BW:BW,MIN(IF(ISNUMBER(BW111:BW307),ROW(BW111:BW307),"")))</f>
        <v>4.4717948717948701</v>
      </c>
      <c r="BY111" s="12">
        <f>IF('Données projet'!$A$114&gt;35,BY110+BX111-CG110,IF(A111&lt;'Données projet'!$A$114,$BV$205^A111,IF(A111='Données projet'!$A$114,'Données projet'!$B$114,BY110+BX111-CG110)))</f>
        <v>402.83076923076953</v>
      </c>
      <c r="BZ111" s="13">
        <f>BY111*VLOOKUP('Données projet'!$B$12,Paramètres!$A$1:$I$89,3,0)*VLOOKUP('Données projet'!$B$12,Paramètres!$A$1:$I$89,5,0)</f>
        <v>225.18240000000017</v>
      </c>
      <c r="CA111" s="13">
        <f t="shared" si="93"/>
        <v>55.239723896139211</v>
      </c>
      <c r="CB111" s="20">
        <f t="shared" si="64"/>
        <v>488.40186578577612</v>
      </c>
      <c r="CC111" s="59">
        <f t="shared" si="65"/>
        <v>781.73519911910944</v>
      </c>
      <c r="CD111" s="59">
        <f ca="1">AVERAGE(OFFSET($CC$3,0,0,'Données projet'!$E$12+1,1))-AVERAGE(OFFSET($H$3,0,0,'Données projet'!$E$12+1,1))</f>
        <v>190.08613104982993</v>
      </c>
      <c r="CE111" s="59">
        <f t="shared" si="94"/>
        <v>180.55054525447781</v>
      </c>
      <c r="CF111" s="15">
        <f>IF(ISNA(VLOOKUP(A111,'Données projet'!$A$113:$I$133,3,0)),0,VLOOKUP(A111,'Données projet'!$A$113:$I$133,3,0))</f>
        <v>8</v>
      </c>
      <c r="CG111" s="15">
        <f>IF(ISNA(VLOOKUP(A111,'Données projet'!$A$113:$I$133,4,0)),0,VLOOKUP(A111,'Données projet'!$A$113:$I$133,4,0))</f>
        <v>52.361538461538451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0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497</v>
      </c>
      <c r="CU111" s="17">
        <f>CT111*VLOOKUP('Données projet'!$B$13,Paramètres!$A$1:$I$89,3,0)*VLOOKUP('Données projet'!$B$13,Paramètres!$A$1:$I$89,5,0)</f>
        <v>297.20600000000002</v>
      </c>
      <c r="CV111" s="13">
        <f t="shared" si="95"/>
        <v>70.590415164571112</v>
      </c>
      <c r="CW111" s="20">
        <f t="shared" si="67"/>
        <v>640.57875641162809</v>
      </c>
      <c r="CX111" s="59">
        <f t="shared" si="68"/>
        <v>933.91208974496135</v>
      </c>
      <c r="CY111" s="59">
        <f ca="1">AVERAGE(OFFSET($CX$3,0,0,'Données projet'!$E$13+1,1))-AVERAGE(OFFSET($H$3,0,0,'Données projet'!$E$13+1,1))</f>
        <v>270.30888762640245</v>
      </c>
      <c r="CZ111" s="59">
        <f t="shared" si="96"/>
        <v>202.23783851977691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0.45701079341528694</v>
      </c>
      <c r="DG111" s="21">
        <f>EXP(-LN(2)/25)*DG110+(1-EXP(-LN(2)/25))/(LN(2)/25)*Calculateur!DB111*Calculateur!DD111*VLOOKUP('Données projet'!$B$13,Paramètres!$A$1:$I$89,3,0)*0.475*44/12</f>
        <v>1.4142373402447475</v>
      </c>
      <c r="DH111" s="21">
        <f>EXP(-LN(2)/2)*DH110+(1-EXP(-LN(2)/2))/(LN(2)/2)*DB111*DE111*VLOOKUP('Données projet'!$B$13,Paramètres!$A$1:$I$89,3,0)*0.475*44/12</f>
        <v>3.363785906269656E-11</v>
      </c>
      <c r="DI111" s="22">
        <f t="shared" si="69"/>
        <v>1.8712481336936722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433.00000000000011</v>
      </c>
      <c r="DP111" s="17">
        <f>DO111*VLOOKUP('Données projet'!$B$14,Paramètres!$A$1:$I$89,3,0)*VLOOKUP('Données projet'!$B$14,Paramètres!$A$1:$I$89,5,0)</f>
        <v>258.93400000000008</v>
      </c>
      <c r="DQ111" s="13">
        <f t="shared" si="97"/>
        <v>62.495095530116075</v>
      </c>
      <c r="DR111" s="20">
        <f t="shared" si="70"/>
        <v>559.82234138161891</v>
      </c>
      <c r="DS111" s="59">
        <f t="shared" si="71"/>
        <v>853.15567471495228</v>
      </c>
      <c r="DT111" s="59">
        <f ca="1">AVERAGE(OFFSET($DS$3,0,0,'Données projet'!$E$14+1,1))-AVERAGE(OFFSET($H$3,0,0,'Données projet'!$E$14+1,1))</f>
        <v>221.14988592347311</v>
      </c>
      <c r="DU111" s="59">
        <f t="shared" si="98"/>
        <v>179.09262081171607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0.48747817964297263</v>
      </c>
      <c r="EB111" s="21">
        <f>EXP(-LN(2)/25)*EB110+(1-EXP(-LN(2)/25))/(LN(2)/25)*Calculateur!DW111*Calculateur!DY111*VLOOKUP('Données projet'!$B$14,Paramètres!$A$1:$I$89,3,0)*0.475*44/12</f>
        <v>1.1778977639507473</v>
      </c>
      <c r="EC111" s="21">
        <f>EXP(-LN(2)/2)*EC110+(1-EXP(-LN(2)/2))/(LN(2)/2)*DW111*DZ111*VLOOKUP('Données projet'!$B$14,Paramètres!$A$1:$I$89,3,0)*0.475*44/12</f>
        <v>3.5469852302266763E-11</v>
      </c>
      <c r="ED111" s="22">
        <f t="shared" si="72"/>
        <v>1.6653759436291897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2.2737367544323206E-13</v>
      </c>
      <c r="EK111" s="17">
        <f>EJ111*VLOOKUP('Données projet'!$B$15,Paramètres!$A$1:$I$89,3,0)*VLOOKUP('Données projet'!$B$15,Paramètres!$A$1:$I$89,5,0)</f>
        <v>1.2414602679200471E-13</v>
      </c>
      <c r="EL111" s="13">
        <f t="shared" si="99"/>
        <v>1.8186582995804361E-12</v>
      </c>
      <c r="EM111" s="20">
        <f t="shared" si="73"/>
        <v>3.3837175350986671E-12</v>
      </c>
      <c r="EN111" s="59">
        <f t="shared" si="74"/>
        <v>293.33333333333672</v>
      </c>
      <c r="EO111" s="59">
        <f ca="1">AVERAGE(OFFSET($EN$3,0,0,'Données projet'!$E$15+1,1))-AVERAGE(OFFSET($H$3,0,0,'Données projet'!$E$15+1,1))</f>
        <v>168.72306536277267</v>
      </c>
      <c r="EP111" s="59">
        <f t="shared" si="100"/>
        <v>203.35476578922339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0.64908779354634905</v>
      </c>
      <c r="EW111" s="21">
        <f>EXP(-LN(2)/25)*EW110+(1-EXP(-LN(2)/25))/(LN(2)/25)*Calculateur!ER111*Calculateur!ET111*VLOOKUP('Données projet'!$B$15,Paramètres!$A$1:$I$89,3,0)*0.475*44/12</f>
        <v>2.6438166220416135</v>
      </c>
      <c r="EX111" s="21">
        <f>EXP(-LN(2)/2)*EX110+(1-EXP(-LN(2)/2))/(LN(2)/2)*ER111*EU111*VLOOKUP('Données projet'!$B$15,Paramètres!$A$1:$I$89,3,0)*0.475*44/12</f>
        <v>3.6423164823807867E-11</v>
      </c>
      <c r="EY111" s="22">
        <f t="shared" si="75"/>
        <v>3.2929044156243856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3.4106051316484809E-13</v>
      </c>
      <c r="FF111" s="17">
        <f>FE111*VLOOKUP('Données projet'!$B$16,Paramètres!$A$1:$I$89,3,0)*VLOOKUP('Données projet'!$B$16,Paramètres!$A$1:$I$89,5,0)</f>
        <v>1.8621904018800707E-13</v>
      </c>
      <c r="FG111" s="13">
        <f t="shared" si="101"/>
        <v>2.6022279988572714E-12</v>
      </c>
      <c r="FH111" s="20">
        <f t="shared" si="76"/>
        <v>4.8565452596705266E-12</v>
      </c>
      <c r="FI111" s="59">
        <f t="shared" si="77"/>
        <v>293.33333333333815</v>
      </c>
      <c r="FJ111" s="59">
        <f ca="1">AVERAGE(OFFSET($FI$3,0,0,'Données projet'!$E$16+1,1))-AVERAGE(OFFSET($H$3,0,0,'Données projet'!$E$16+1,1))</f>
        <v>127.76128532861486</v>
      </c>
      <c r="FK111" s="59">
        <f t="shared" si="102"/>
        <v>157.52303491639736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>
        <f>EXP(-LN(2)/35)*FQ110+(1-EXP(-LN(2)/35))/(LN(2)/35)*FM111*FN111*VLOOKUP('Données projet'!$B$16,Paramètres!$A$1:$I$89,3,0)*0.475*44/12</f>
        <v>0.51927023483707946</v>
      </c>
      <c r="FR111" s="21">
        <f>EXP(-LN(2)/25)*FR110+(1-EXP(-LN(2)/25))/(LN(2)/25)*Calculateur!FM111*Calculateur!FO111*VLOOKUP('Données projet'!$B$16,Paramètres!$A$1:$I$89,3,0)*0.475*44/12</f>
        <v>1.8773288449992993</v>
      </c>
      <c r="FS111" s="21">
        <f>EXP(-LN(2)/2)*FS110+(1-EXP(-LN(2)/2))/(LN(2)/2)*FM111*FP111*VLOOKUP('Données projet'!$B$16,Paramètres!$A$1:$I$89,3,0)*0.475*44/12</f>
        <v>2.8917146486745419E-11</v>
      </c>
      <c r="FT111" s="22">
        <f t="shared" si="78"/>
        <v>2.3965990798652959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5.0961538461538449</v>
      </c>
      <c r="N112" s="13">
        <f>IF('Données projet'!$A$36&gt;35,N111+M112-V111,IF(A112&lt;'Données projet'!$A$36,$K$205^A112,IF(A112='Données projet'!$A$36,'Données projet'!$B$36,N111+M112-V111)))</f>
        <v>225.833333333333</v>
      </c>
      <c r="O112" s="13">
        <f>N112*VLOOKUP('Données projet'!$B$9,Paramètres!$A$1:$I$89,3,0)*VLOOKUP('Données projet'!$B$9,Paramètres!$A$1:$I$89,5,0)</f>
        <v>204.33399999999966</v>
      </c>
      <c r="P112" s="13">
        <f t="shared" si="87"/>
        <v>50.695458061201691</v>
      </c>
      <c r="Q112" s="20">
        <f t="shared" si="107"/>
        <v>444.17630612325894</v>
      </c>
      <c r="R112" s="59">
        <f t="shared" si="55"/>
        <v>737.50963945659225</v>
      </c>
      <c r="S112" s="59">
        <f ca="1">AVERAGE(OFFSET($R$3,0,0,'Données projet'!$E$9+1,1))-AVERAGE(OFFSET($H$3,0,0,'Données projet'!$E$9+1,1))</f>
        <v>153.45079678708987</v>
      </c>
      <c r="T112" s="59">
        <f t="shared" si="88"/>
        <v>115.4217868409637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0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4.7307692307692299</v>
      </c>
      <c r="AI112" s="13">
        <f>IF('Données projet'!$A$62&gt;35,AI111+AH112-AQ111,IF(A112&lt;'Données projet'!$A$62,$AF$205^A112,IF(A112='Données projet'!$A$62,'Données projet'!$B$62,AI111+AH112-AQ111)))</f>
        <v>189.45512820512829</v>
      </c>
      <c r="AJ112" s="13">
        <f>AI112*VLOOKUP('Données projet'!$B$10,Paramètres!$A$1:$I$89,3,0)*VLOOKUP('Données projet'!$B$10,Paramètres!$A$1:$I$89,5,0)</f>
        <v>171.41900000000007</v>
      </c>
      <c r="AK112" s="13">
        <f t="shared" si="89"/>
        <v>43.407678467685194</v>
      </c>
      <c r="AL112" s="20">
        <f t="shared" si="58"/>
        <v>374.15646499788517</v>
      </c>
      <c r="AM112" s="59">
        <f t="shared" si="59"/>
        <v>667.48979833121848</v>
      </c>
      <c r="AN112" s="59">
        <f ca="1">AVERAGE(OFFSET($AM$3,0,0,'Données projet'!$E$10+1,1))-AVERAGE(OFFSET($H$3,0,0,'Données projet'!$E$10+1,1))</f>
        <v>123.92486590666675</v>
      </c>
      <c r="AO112" s="59">
        <f t="shared" si="90"/>
        <v>54.404493017418986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0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1.1368683772161603E-13</v>
      </c>
      <c r="BE112" s="13">
        <f>BD112*VLOOKUP('Données projet'!$B$11,Paramètres!$A$1:$I$89,3,0)*VLOOKUP('Données projet'!$B$11,Paramètres!$A$1:$I$89,5,0)</f>
        <v>6.3550942286383367E-14</v>
      </c>
      <c r="BF112" s="13">
        <f t="shared" si="91"/>
        <v>1.0064464192543978E-12</v>
      </c>
      <c r="BG112" s="20">
        <f t="shared" si="61"/>
        <v>1.8635787380168604E-12</v>
      </c>
      <c r="BH112" s="59">
        <f t="shared" si="62"/>
        <v>293.33333333333519</v>
      </c>
      <c r="BI112" s="59">
        <f ca="1">AVERAGE(OFFSET($BH$3,0,0,'Données projet'!$E$11+1,1))-AVERAGE(OFFSET($H$3,0,0,'Données projet'!$E$11+1,1))</f>
        <v>224.7049802939942</v>
      </c>
      <c r="BJ112" s="59">
        <f t="shared" si="92"/>
        <v>203.48513862195352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0.46672719870296425</v>
      </c>
      <c r="BQ112" s="21">
        <f>EXP(-LN(2)/25)*BQ111+(1-EXP(-LN(2)/25))/(LN(2)/25)*Calculateur!BL112*Calculateur!BN112*VLOOKUP('Données projet'!$B$11,Paramètres!$A$1:$I$89,3,0)*0.475*44/12</f>
        <v>2.1843677054906894</v>
      </c>
      <c r="BR112" s="21">
        <f>EXP(-LN(2)/2)*BR111+(1-EXP(-LN(2)/2))/(LN(2)/2)*BL112*BO112*VLOOKUP('Données projet'!$B$11,Paramètres!$A$1:$I$89,3,0)*0.475*44/12</f>
        <v>1.1525316816448846E-11</v>
      </c>
      <c r="BS112" s="22">
        <f t="shared" si="63"/>
        <v>2.6510949042051792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3.4711538461538445</v>
      </c>
      <c r="BY112" s="12">
        <f>IF('Données projet'!$A$114&gt;35,BY111+BX112-CG111,IF(A112&lt;'Données projet'!$A$114,$BV$205^A112,IF(A112='Données projet'!$A$114,'Données projet'!$B$114,BY111+BX112-CG111)))</f>
        <v>353.94038461538497</v>
      </c>
      <c r="BZ112" s="13">
        <f>BY112*VLOOKUP('Données projet'!$B$12,Paramètres!$A$1:$I$89,3,0)*VLOOKUP('Données projet'!$B$12,Paramètres!$A$1:$I$89,5,0)</f>
        <v>197.8526750000002</v>
      </c>
      <c r="CA112" s="13">
        <f t="shared" si="93"/>
        <v>49.271954610952193</v>
      </c>
      <c r="CB112" s="20">
        <f t="shared" si="64"/>
        <v>430.40872990574212</v>
      </c>
      <c r="CC112" s="59">
        <f t="shared" si="65"/>
        <v>723.74206323907538</v>
      </c>
      <c r="CD112" s="59">
        <f ca="1">AVERAGE(OFFSET($CC$3,0,0,'Données projet'!$E$12+1,1))-AVERAGE(OFFSET($H$3,0,0,'Données projet'!$E$12+1,1))</f>
        <v>190.08613104982993</v>
      </c>
      <c r="CE112" s="59">
        <f t="shared" si="94"/>
        <v>180.55054525447781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0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497</v>
      </c>
      <c r="CU112" s="17">
        <f>CT112*VLOOKUP('Données projet'!$B$13,Paramètres!$A$1:$I$89,3,0)*VLOOKUP('Données projet'!$B$13,Paramètres!$A$1:$I$89,5,0)</f>
        <v>297.20600000000002</v>
      </c>
      <c r="CV112" s="13">
        <f t="shared" si="95"/>
        <v>70.590415164571112</v>
      </c>
      <c r="CW112" s="20">
        <f t="shared" si="67"/>
        <v>640.57875641162809</v>
      </c>
      <c r="CX112" s="59">
        <f t="shared" si="68"/>
        <v>933.91208974496135</v>
      </c>
      <c r="CY112" s="59">
        <f ca="1">AVERAGE(OFFSET($CX$3,0,0,'Données projet'!$E$13+1,1))-AVERAGE(OFFSET($H$3,0,0,'Données projet'!$E$13+1,1))</f>
        <v>270.30888762640245</v>
      </c>
      <c r="CZ112" s="59">
        <f t="shared" si="96"/>
        <v>202.23783851977691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0.44804909050547298</v>
      </c>
      <c r="DG112" s="21">
        <f>EXP(-LN(2)/25)*DG111+(1-EXP(-LN(2)/25))/(LN(2)/25)*Calculateur!DB112*Calculateur!DD112*VLOOKUP('Données projet'!$B$13,Paramètres!$A$1:$I$89,3,0)*0.475*44/12</f>
        <v>1.3755649458042454</v>
      </c>
      <c r="DH112" s="21">
        <f>EXP(-LN(2)/2)*DH111+(1-EXP(-LN(2)/2))/(LN(2)/2)*DB112*DE112*VLOOKUP('Données projet'!$B$13,Paramètres!$A$1:$I$89,3,0)*0.475*44/12</f>
        <v>2.3785558247830101E-11</v>
      </c>
      <c r="DI112" s="22">
        <f t="shared" si="69"/>
        <v>1.8236140363335041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433.00000000000011</v>
      </c>
      <c r="DP112" s="17">
        <f>DO112*VLOOKUP('Données projet'!$B$14,Paramètres!$A$1:$I$89,3,0)*VLOOKUP('Données projet'!$B$14,Paramètres!$A$1:$I$89,5,0)</f>
        <v>258.93400000000008</v>
      </c>
      <c r="DQ112" s="13">
        <f t="shared" si="97"/>
        <v>62.495095530116075</v>
      </c>
      <c r="DR112" s="20">
        <f t="shared" si="70"/>
        <v>559.82234138161891</v>
      </c>
      <c r="DS112" s="59">
        <f t="shared" si="71"/>
        <v>853.15567471495228</v>
      </c>
      <c r="DT112" s="59">
        <f ca="1">AVERAGE(OFFSET($DS$3,0,0,'Données projet'!$E$14+1,1))-AVERAGE(OFFSET($H$3,0,0,'Données projet'!$E$14+1,1))</f>
        <v>221.14988592347311</v>
      </c>
      <c r="DU112" s="59">
        <f t="shared" si="98"/>
        <v>179.09262081171607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0.4779190298725044</v>
      </c>
      <c r="EB112" s="21">
        <f>EXP(-LN(2)/25)*EB111+(1-EXP(-LN(2)/25))/(LN(2)/25)*Calculateur!DW112*Calculateur!DY112*VLOOKUP('Données projet'!$B$14,Paramètres!$A$1:$I$89,3,0)*0.475*44/12</f>
        <v>1.1456880876525628</v>
      </c>
      <c r="EC112" s="21">
        <f>EXP(-LN(2)/2)*EC111+(1-EXP(-LN(2)/2))/(LN(2)/2)*DW112*DZ112*VLOOKUP('Données projet'!$B$14,Paramètres!$A$1:$I$89,3,0)*0.475*44/12</f>
        <v>2.5080973090618103E-11</v>
      </c>
      <c r="ED112" s="22">
        <f t="shared" si="72"/>
        <v>1.6236071175501483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2.2737367544323206E-13</v>
      </c>
      <c r="EK112" s="17">
        <f>EJ112*VLOOKUP('Données projet'!$B$15,Paramètres!$A$1:$I$89,3,0)*VLOOKUP('Données projet'!$B$15,Paramètres!$A$1:$I$89,5,0)</f>
        <v>1.2414602679200471E-13</v>
      </c>
      <c r="EL112" s="13">
        <f t="shared" si="99"/>
        <v>1.8186582995804361E-12</v>
      </c>
      <c r="EM112" s="20">
        <f t="shared" si="73"/>
        <v>3.3837175350986671E-12</v>
      </c>
      <c r="EN112" s="59">
        <f t="shared" si="74"/>
        <v>293.33333333333672</v>
      </c>
      <c r="EO112" s="59">
        <f ca="1">AVERAGE(OFFSET($EN$3,0,0,'Données projet'!$E$15+1,1))-AVERAGE(OFFSET($H$3,0,0,'Données projet'!$E$15+1,1))</f>
        <v>168.72306536277267</v>
      </c>
      <c r="EP112" s="59">
        <f t="shared" si="100"/>
        <v>203.35476578922339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0.63635957781936692</v>
      </c>
      <c r="EW112" s="21">
        <f>EXP(-LN(2)/25)*EW111+(1-EXP(-LN(2)/25))/(LN(2)/25)*Calculateur!ER112*Calculateur!ET112*VLOOKUP('Données projet'!$B$15,Paramètres!$A$1:$I$89,3,0)*0.475*44/12</f>
        <v>2.5715213174796121</v>
      </c>
      <c r="EX112" s="21">
        <f>EXP(-LN(2)/2)*EX111+(1-EXP(-LN(2)/2))/(LN(2)/2)*ER112*EU112*VLOOKUP('Données projet'!$B$15,Paramètres!$A$1:$I$89,3,0)*0.475*44/12</f>
        <v>2.5755066839189865E-11</v>
      </c>
      <c r="EY112" s="22">
        <f t="shared" si="75"/>
        <v>3.2078808953247342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3.4106051316484809E-13</v>
      </c>
      <c r="FF112" s="17">
        <f>FE112*VLOOKUP('Données projet'!$B$16,Paramètres!$A$1:$I$89,3,0)*VLOOKUP('Données projet'!$B$16,Paramètres!$A$1:$I$89,5,0)</f>
        <v>1.8621904018800707E-13</v>
      </c>
      <c r="FG112" s="13">
        <f t="shared" si="101"/>
        <v>2.6022279988572714E-12</v>
      </c>
      <c r="FH112" s="20">
        <f t="shared" si="76"/>
        <v>4.8565452596705266E-12</v>
      </c>
      <c r="FI112" s="59">
        <f t="shared" si="77"/>
        <v>293.33333333333815</v>
      </c>
      <c r="FJ112" s="59">
        <f ca="1">AVERAGE(OFFSET($FI$3,0,0,'Données projet'!$E$16+1,1))-AVERAGE(OFFSET($H$3,0,0,'Données projet'!$E$16+1,1))</f>
        <v>127.76128532861486</v>
      </c>
      <c r="FK112" s="59">
        <f t="shared" si="102"/>
        <v>157.52303491639736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>
        <f>EXP(-LN(2)/35)*FQ111+(1-EXP(-LN(2)/35))/(LN(2)/35)*FM112*FN112*VLOOKUP('Données projet'!$B$16,Paramètres!$A$1:$I$89,3,0)*0.475*44/12</f>
        <v>0.50908766225549373</v>
      </c>
      <c r="FR112" s="21">
        <f>EXP(-LN(2)/25)*FR111+(1-EXP(-LN(2)/25))/(LN(2)/25)*Calculateur!FM112*Calculateur!FO112*VLOOKUP('Données projet'!$B$16,Paramètres!$A$1:$I$89,3,0)*0.475*44/12</f>
        <v>1.8259931890083603</v>
      </c>
      <c r="FS112" s="21">
        <f>EXP(-LN(2)/2)*FS111+(1-EXP(-LN(2)/2))/(LN(2)/2)*FM112*FP112*VLOOKUP('Données projet'!$B$16,Paramètres!$A$1:$I$89,3,0)*0.475*44/12</f>
        <v>2.0447510373342436E-11</v>
      </c>
      <c r="FT112" s="22">
        <f t="shared" si="78"/>
        <v>2.3350808512843018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5.0961538461538449</v>
      </c>
      <c r="N113" s="13">
        <f>IF('Données projet'!$A$36&gt;35,N112+M113-V112,IF(A113&lt;'Données projet'!$A$36,$K$205^A113,IF(A113='Données projet'!$A$36,'Données projet'!$B$36,N112+M113-V112)))</f>
        <v>230.92948717948684</v>
      </c>
      <c r="O113" s="13">
        <f>N113*VLOOKUP('Données projet'!$B$9,Paramètres!$A$1:$I$89,3,0)*VLOOKUP('Données projet'!$B$9,Paramètres!$A$1:$I$89,5,0)</f>
        <v>208.94499999999971</v>
      </c>
      <c r="P113" s="13">
        <f t="shared" si="87"/>
        <v>51.704974120746144</v>
      </c>
      <c r="Q113" s="20">
        <f t="shared" si="107"/>
        <v>453.96537159363237</v>
      </c>
      <c r="R113" s="59">
        <f t="shared" si="55"/>
        <v>747.29870492696568</v>
      </c>
      <c r="S113" s="59">
        <f ca="1">AVERAGE(OFFSET($R$3,0,0,'Données projet'!$E$9+1,1))-AVERAGE(OFFSET($H$3,0,0,'Données projet'!$E$9+1,1))</f>
        <v>153.45079678708987</v>
      </c>
      <c r="T113" s="59">
        <f t="shared" si="88"/>
        <v>115.4217868409637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0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4.7307692307692299</v>
      </c>
      <c r="AI113" s="13">
        <f>IF('Données projet'!$A$62&gt;35,AI112+AH113-AQ112,IF(A113&lt;'Données projet'!$A$62,$AF$205^A113,IF(A113='Données projet'!$A$62,'Données projet'!$B$62,AI112+AH113-AQ112)))</f>
        <v>194.18589743589752</v>
      </c>
      <c r="AJ113" s="13">
        <f>AI113*VLOOKUP('Données projet'!$B$10,Paramètres!$A$1:$I$89,3,0)*VLOOKUP('Données projet'!$B$10,Paramètres!$A$1:$I$89,5,0)</f>
        <v>175.69940000000005</v>
      </c>
      <c r="AK113" s="13">
        <f t="shared" si="89"/>
        <v>44.364039456865953</v>
      </c>
      <c r="AL113" s="20">
        <f t="shared" si="58"/>
        <v>383.27715705404154</v>
      </c>
      <c r="AM113" s="59">
        <f t="shared" si="59"/>
        <v>676.61049038737485</v>
      </c>
      <c r="AN113" s="59">
        <f ca="1">AVERAGE(OFFSET($AM$3,0,0,'Données projet'!$E$10+1,1))-AVERAGE(OFFSET($H$3,0,0,'Données projet'!$E$10+1,1))</f>
        <v>123.92486590666675</v>
      </c>
      <c r="AO113" s="59">
        <f t="shared" si="90"/>
        <v>54.404493017418986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0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1.1368683772161603E-13</v>
      </c>
      <c r="BE113" s="13">
        <f>BD113*VLOOKUP('Données projet'!$B$11,Paramètres!$A$1:$I$89,3,0)*VLOOKUP('Données projet'!$B$11,Paramètres!$A$1:$I$89,5,0)</f>
        <v>6.3550942286383367E-14</v>
      </c>
      <c r="BF113" s="13">
        <f t="shared" si="91"/>
        <v>1.0064464192543978E-12</v>
      </c>
      <c r="BG113" s="20">
        <f t="shared" si="61"/>
        <v>1.8635787380168604E-12</v>
      </c>
      <c r="BH113" s="59">
        <f t="shared" si="62"/>
        <v>293.33333333333519</v>
      </c>
      <c r="BI113" s="59">
        <f ca="1">AVERAGE(OFFSET($BH$3,0,0,'Données projet'!$E$11+1,1))-AVERAGE(OFFSET($H$3,0,0,'Données projet'!$E$11+1,1))</f>
        <v>224.7049802939942</v>
      </c>
      <c r="BJ113" s="59">
        <f t="shared" si="92"/>
        <v>203.48513862195352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0.45757496301188094</v>
      </c>
      <c r="BQ113" s="21">
        <f>EXP(-LN(2)/25)*BQ112+(1-EXP(-LN(2)/25))/(LN(2)/25)*Calculateur!BL113*Calculateur!BN113*VLOOKUP('Données projet'!$B$11,Paramètres!$A$1:$I$89,3,0)*0.475*44/12</f>
        <v>2.1246360557131414</v>
      </c>
      <c r="BR113" s="21">
        <f>EXP(-LN(2)/2)*BR112+(1-EXP(-LN(2)/2))/(LN(2)/2)*BL113*BO113*VLOOKUP('Données projet'!$B$11,Paramètres!$A$1:$I$89,3,0)*0.475*44/12</f>
        <v>8.1496296762343305E-12</v>
      </c>
      <c r="BS113" s="22">
        <f t="shared" si="63"/>
        <v>2.5822110187331719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3.4711538461538445</v>
      </c>
      <c r="BY113" s="12">
        <f>IF('Données projet'!$A$114&gt;35,BY112+BX113-CG112,IF(A113&lt;'Données projet'!$A$114,$BV$205^A113,IF(A113='Données projet'!$A$114,'Données projet'!$B$114,BY112+BX113-CG112)))</f>
        <v>357.41153846153884</v>
      </c>
      <c r="BZ113" s="13">
        <f>BY113*VLOOKUP('Données projet'!$B$12,Paramètres!$A$1:$I$89,3,0)*VLOOKUP('Données projet'!$B$12,Paramètres!$A$1:$I$89,5,0)</f>
        <v>199.79305000000022</v>
      </c>
      <c r="CA113" s="13">
        <f t="shared" si="93"/>
        <v>49.698683639083306</v>
      </c>
      <c r="CB113" s="20">
        <f t="shared" si="64"/>
        <v>434.53143608807045</v>
      </c>
      <c r="CC113" s="59">
        <f t="shared" si="65"/>
        <v>727.86476942140371</v>
      </c>
      <c r="CD113" s="59">
        <f ca="1">AVERAGE(OFFSET($CC$3,0,0,'Données projet'!$E$12+1,1))-AVERAGE(OFFSET($H$3,0,0,'Données projet'!$E$12+1,1))</f>
        <v>190.08613104982993</v>
      </c>
      <c r="CE113" s="59">
        <f t="shared" si="94"/>
        <v>180.55054525447781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0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497</v>
      </c>
      <c r="CU113" s="17">
        <f>CT113*VLOOKUP('Données projet'!$B$13,Paramètres!$A$1:$I$89,3,0)*VLOOKUP('Données projet'!$B$13,Paramètres!$A$1:$I$89,5,0)</f>
        <v>297.20600000000002</v>
      </c>
      <c r="CV113" s="13">
        <f t="shared" si="95"/>
        <v>70.590415164571112</v>
      </c>
      <c r="CW113" s="20">
        <f t="shared" si="67"/>
        <v>640.57875641162809</v>
      </c>
      <c r="CX113" s="59">
        <f t="shared" si="68"/>
        <v>933.91208974496135</v>
      </c>
      <c r="CY113" s="59">
        <f ca="1">AVERAGE(OFFSET($CX$3,0,0,'Données projet'!$E$13+1,1))-AVERAGE(OFFSET($H$3,0,0,'Données projet'!$E$13+1,1))</f>
        <v>270.30888762640245</v>
      </c>
      <c r="CZ113" s="59">
        <f t="shared" si="96"/>
        <v>202.23783851977691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0.43926312112362143</v>
      </c>
      <c r="DG113" s="21">
        <f>EXP(-LN(2)/25)*DG112+(1-EXP(-LN(2)/25))/(LN(2)/25)*Calculateur!DB113*Calculateur!DD113*VLOOKUP('Données projet'!$B$13,Paramètres!$A$1:$I$89,3,0)*0.475*44/12</f>
        <v>1.3379500500234116</v>
      </c>
      <c r="DH113" s="21">
        <f>EXP(-LN(2)/2)*DH112+(1-EXP(-LN(2)/2))/(LN(2)/2)*DB113*DE113*VLOOKUP('Données projet'!$B$13,Paramètres!$A$1:$I$89,3,0)*0.475*44/12</f>
        <v>1.681892953134828E-11</v>
      </c>
      <c r="DI113" s="22">
        <f t="shared" si="69"/>
        <v>1.7772131711638521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433.00000000000011</v>
      </c>
      <c r="DP113" s="17">
        <f>DO113*VLOOKUP('Données projet'!$B$14,Paramètres!$A$1:$I$89,3,0)*VLOOKUP('Données projet'!$B$14,Paramètres!$A$1:$I$89,5,0)</f>
        <v>258.93400000000008</v>
      </c>
      <c r="DQ113" s="13">
        <f t="shared" si="97"/>
        <v>62.495095530116075</v>
      </c>
      <c r="DR113" s="20">
        <f t="shared" si="70"/>
        <v>559.82234138161891</v>
      </c>
      <c r="DS113" s="59">
        <f t="shared" si="71"/>
        <v>853.15567471495228</v>
      </c>
      <c r="DT113" s="59">
        <f ca="1">AVERAGE(OFFSET($DS$3,0,0,'Données projet'!$E$14+1,1))-AVERAGE(OFFSET($H$3,0,0,'Données projet'!$E$14+1,1))</f>
        <v>221.14988592347311</v>
      </c>
      <c r="DU113" s="59">
        <f t="shared" si="98"/>
        <v>179.09262081171607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0.46854732919852937</v>
      </c>
      <c r="EB113" s="21">
        <f>EXP(-LN(2)/25)*EB112+(1-EXP(-LN(2)/25))/(LN(2)/25)*Calculateur!DW113*Calculateur!DY113*VLOOKUP('Données projet'!$B$14,Paramètres!$A$1:$I$89,3,0)*0.475*44/12</f>
        <v>1.1143591866465854</v>
      </c>
      <c r="EC113" s="21">
        <f>EXP(-LN(2)/2)*EC112+(1-EXP(-LN(2)/2))/(LN(2)/2)*DW113*DZ113*VLOOKUP('Données projet'!$B$14,Paramètres!$A$1:$I$89,3,0)*0.475*44/12</f>
        <v>1.7734926151133381E-11</v>
      </c>
      <c r="ED113" s="22">
        <f t="shared" si="72"/>
        <v>1.5829065158628497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2.2737367544323206E-13</v>
      </c>
      <c r="EK113" s="17">
        <f>EJ113*VLOOKUP('Données projet'!$B$15,Paramètres!$A$1:$I$89,3,0)*VLOOKUP('Données projet'!$B$15,Paramètres!$A$1:$I$89,5,0)</f>
        <v>1.2414602679200471E-13</v>
      </c>
      <c r="EL113" s="13">
        <f t="shared" si="99"/>
        <v>1.8186582995804361E-12</v>
      </c>
      <c r="EM113" s="20">
        <f t="shared" si="73"/>
        <v>3.3837175350986671E-12</v>
      </c>
      <c r="EN113" s="59">
        <f t="shared" si="74"/>
        <v>293.33333333333672</v>
      </c>
      <c r="EO113" s="59">
        <f ca="1">AVERAGE(OFFSET($EN$3,0,0,'Données projet'!$E$15+1,1))-AVERAGE(OFFSET($H$3,0,0,'Données projet'!$E$15+1,1))</f>
        <v>168.72306536277267</v>
      </c>
      <c r="EP113" s="59">
        <f t="shared" si="100"/>
        <v>203.35476578922339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0.6238809546393459</v>
      </c>
      <c r="EW113" s="21">
        <f>EXP(-LN(2)/25)*EW112+(1-EXP(-LN(2)/25))/(LN(2)/25)*Calculateur!ER113*Calculateur!ET113*VLOOKUP('Données projet'!$B$15,Paramètres!$A$1:$I$89,3,0)*0.475*44/12</f>
        <v>2.5012029318227031</v>
      </c>
      <c r="EX113" s="21">
        <f>EXP(-LN(2)/2)*EX112+(1-EXP(-LN(2)/2))/(LN(2)/2)*ER113*EU113*VLOOKUP('Données projet'!$B$15,Paramètres!$A$1:$I$89,3,0)*0.475*44/12</f>
        <v>1.8211582411903934E-11</v>
      </c>
      <c r="EY113" s="22">
        <f t="shared" si="75"/>
        <v>3.1250838864802608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3.4106051316484809E-13</v>
      </c>
      <c r="FF113" s="17">
        <f>FE113*VLOOKUP('Données projet'!$B$16,Paramètres!$A$1:$I$89,3,0)*VLOOKUP('Données projet'!$B$16,Paramètres!$A$1:$I$89,5,0)</f>
        <v>1.8621904018800707E-13</v>
      </c>
      <c r="FG113" s="13">
        <f t="shared" si="101"/>
        <v>2.6022279988572714E-12</v>
      </c>
      <c r="FH113" s="20">
        <f t="shared" si="76"/>
        <v>4.8565452596705266E-12</v>
      </c>
      <c r="FI113" s="59">
        <f t="shared" si="77"/>
        <v>293.33333333333815</v>
      </c>
      <c r="FJ113" s="59">
        <f ca="1">AVERAGE(OFFSET($FI$3,0,0,'Données projet'!$E$16+1,1))-AVERAGE(OFFSET($H$3,0,0,'Données projet'!$E$16+1,1))</f>
        <v>127.76128532861486</v>
      </c>
      <c r="FK113" s="59">
        <f t="shared" si="102"/>
        <v>157.52303491639736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>
        <f>EXP(-LN(2)/35)*FQ112+(1-EXP(-LN(2)/35))/(LN(2)/35)*FM113*FN113*VLOOKUP('Données projet'!$B$16,Paramètres!$A$1:$I$89,3,0)*0.475*44/12</f>
        <v>0.49910476371147688</v>
      </c>
      <c r="FR113" s="21">
        <f>EXP(-LN(2)/25)*FR112+(1-EXP(-LN(2)/25))/(LN(2)/25)*Calculateur!FM113*Calculateur!FO113*VLOOKUP('Données projet'!$B$16,Paramètres!$A$1:$I$89,3,0)*0.475*44/12</f>
        <v>1.7760613092301183</v>
      </c>
      <c r="FS113" s="21">
        <f>EXP(-LN(2)/2)*FS112+(1-EXP(-LN(2)/2))/(LN(2)/2)*FM113*FP113*VLOOKUP('Données projet'!$B$16,Paramètres!$A$1:$I$89,3,0)*0.475*44/12</f>
        <v>1.4458573243372711E-11</v>
      </c>
      <c r="FT113" s="22">
        <f t="shared" si="78"/>
        <v>2.2751660729560537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5.0961538461538449</v>
      </c>
      <c r="N114" s="13">
        <f>IF('Données projet'!$A$36&gt;35,N113+M114-V113,IF(A114&lt;'Données projet'!$A$36,$K$205^A114,IF(A114='Données projet'!$A$36,'Données projet'!$B$36,N113+M114-V113)))</f>
        <v>236.02564102564068</v>
      </c>
      <c r="O114" s="13">
        <f>N114*VLOOKUP('Données projet'!$B$9,Paramètres!$A$1:$I$89,3,0)*VLOOKUP('Données projet'!$B$9,Paramètres!$A$1:$I$89,5,0)</f>
        <v>213.5559999999997</v>
      </c>
      <c r="P114" s="13">
        <f t="shared" si="87"/>
        <v>52.71190012556103</v>
      </c>
      <c r="Q114" s="20">
        <f t="shared" si="107"/>
        <v>463.74992605201828</v>
      </c>
      <c r="R114" s="59">
        <f t="shared" si="55"/>
        <v>757.08325938535154</v>
      </c>
      <c r="S114" s="59">
        <f ca="1">AVERAGE(OFFSET($R$3,0,0,'Données projet'!$E$9+1,1))-AVERAGE(OFFSET($H$3,0,0,'Données projet'!$E$9+1,1))</f>
        <v>153.45079678708987</v>
      </c>
      <c r="T114" s="59">
        <f t="shared" si="88"/>
        <v>115.4217868409637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0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4.7307692307692299</v>
      </c>
      <c r="AI114" s="13">
        <f>IF('Données projet'!$A$62&gt;35,AI113+AH114-AQ113,IF(A114&lt;'Données projet'!$A$62,$AF$205^A114,IF(A114='Données projet'!$A$62,'Données projet'!$B$62,AI113+AH114-AQ113)))</f>
        <v>198.91666666666674</v>
      </c>
      <c r="AJ114" s="13">
        <f>AI114*VLOOKUP('Données projet'!$B$10,Paramètres!$A$1:$I$89,3,0)*VLOOKUP('Données projet'!$B$10,Paramètres!$A$1:$I$89,5,0)</f>
        <v>179.97980000000007</v>
      </c>
      <c r="AK114" s="13">
        <f t="shared" si="89"/>
        <v>45.317692009373076</v>
      </c>
      <c r="AL114" s="20">
        <f t="shared" si="58"/>
        <v>392.39313191632488</v>
      </c>
      <c r="AM114" s="59">
        <f t="shared" si="59"/>
        <v>685.72646524965819</v>
      </c>
      <c r="AN114" s="59">
        <f ca="1">AVERAGE(OFFSET($AM$3,0,0,'Données projet'!$E$10+1,1))-AVERAGE(OFFSET($H$3,0,0,'Données projet'!$E$10+1,1))</f>
        <v>123.92486590666675</v>
      </c>
      <c r="AO114" s="59">
        <f t="shared" si="90"/>
        <v>54.404493017418986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0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1.1368683772161603E-13</v>
      </c>
      <c r="BE114" s="13">
        <f>BD114*VLOOKUP('Données projet'!$B$11,Paramètres!$A$1:$I$89,3,0)*VLOOKUP('Données projet'!$B$11,Paramètres!$A$1:$I$89,5,0)</f>
        <v>6.3550942286383367E-14</v>
      </c>
      <c r="BF114" s="13">
        <f t="shared" si="91"/>
        <v>1.0064464192543978E-12</v>
      </c>
      <c r="BG114" s="20">
        <f t="shared" si="61"/>
        <v>1.8635787380168604E-12</v>
      </c>
      <c r="BH114" s="59">
        <f t="shared" si="62"/>
        <v>293.33333333333519</v>
      </c>
      <c r="BI114" s="59">
        <f ca="1">AVERAGE(OFFSET($BH$3,0,0,'Données projet'!$E$11+1,1))-AVERAGE(OFFSET($H$3,0,0,'Données projet'!$E$11+1,1))</f>
        <v>224.7049802939942</v>
      </c>
      <c r="BJ114" s="59">
        <f t="shared" si="92"/>
        <v>203.48513862195352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0.44860219708038723</v>
      </c>
      <c r="BQ114" s="21">
        <f>EXP(-LN(2)/25)*BQ113+(1-EXP(-LN(2)/25))/(LN(2)/25)*Calculateur!BL114*Calculateur!BN114*VLOOKUP('Données projet'!$B$11,Paramètres!$A$1:$I$89,3,0)*0.475*44/12</f>
        <v>2.0665377710399113</v>
      </c>
      <c r="BR114" s="21">
        <f>EXP(-LN(2)/2)*BR113+(1-EXP(-LN(2)/2))/(LN(2)/2)*BL114*BO114*VLOOKUP('Données projet'!$B$11,Paramètres!$A$1:$I$89,3,0)*0.475*44/12</f>
        <v>5.7626584082244229E-12</v>
      </c>
      <c r="BS114" s="22">
        <f t="shared" si="63"/>
        <v>2.5151399681260611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3.4711538461538445</v>
      </c>
      <c r="BY114" s="12">
        <f>IF('Données projet'!$A$114&gt;35,BY113+BX114-CG113,IF(A114&lt;'Données projet'!$A$114,$BV$205^A114,IF(A114='Données projet'!$A$114,'Données projet'!$B$114,BY113+BX114-CG113)))</f>
        <v>360.88269230769271</v>
      </c>
      <c r="BZ114" s="13">
        <f>BY114*VLOOKUP('Données projet'!$B$12,Paramètres!$A$1:$I$89,3,0)*VLOOKUP('Données projet'!$B$12,Paramètres!$A$1:$I$89,5,0)</f>
        <v>201.73342500000024</v>
      </c>
      <c r="CA114" s="13">
        <f t="shared" si="93"/>
        <v>50.124930528254644</v>
      </c>
      <c r="CB114" s="20">
        <f t="shared" si="64"/>
        <v>438.65330254504391</v>
      </c>
      <c r="CC114" s="59">
        <f t="shared" si="65"/>
        <v>731.98663587837723</v>
      </c>
      <c r="CD114" s="59">
        <f ca="1">AVERAGE(OFFSET($CC$3,0,0,'Données projet'!$E$12+1,1))-AVERAGE(OFFSET($H$3,0,0,'Données projet'!$E$12+1,1))</f>
        <v>190.08613104982993</v>
      </c>
      <c r="CE114" s="59">
        <f t="shared" si="94"/>
        <v>180.55054525447781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0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497</v>
      </c>
      <c r="CU114" s="17">
        <f>CT114*VLOOKUP('Données projet'!$B$13,Paramètres!$A$1:$I$89,3,0)*VLOOKUP('Données projet'!$B$13,Paramètres!$A$1:$I$89,5,0)</f>
        <v>297.20600000000002</v>
      </c>
      <c r="CV114" s="13">
        <f t="shared" si="95"/>
        <v>70.590415164571112</v>
      </c>
      <c r="CW114" s="20">
        <f t="shared" si="67"/>
        <v>640.57875641162809</v>
      </c>
      <c r="CX114" s="59">
        <f t="shared" si="68"/>
        <v>933.91208974496135</v>
      </c>
      <c r="CY114" s="59">
        <f ca="1">AVERAGE(OFFSET($CX$3,0,0,'Données projet'!$E$13+1,1))-AVERAGE(OFFSET($H$3,0,0,'Données projet'!$E$13+1,1))</f>
        <v>270.30888762640245</v>
      </c>
      <c r="CZ114" s="59">
        <f t="shared" si="96"/>
        <v>202.23783851977691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0.43064943924243582</v>
      </c>
      <c r="DG114" s="21">
        <f>EXP(-LN(2)/25)*DG113+(1-EXP(-LN(2)/25))/(LN(2)/25)*Calculateur!DB114*Calculateur!DD114*VLOOKUP('Données projet'!$B$13,Paramètres!$A$1:$I$89,3,0)*0.475*44/12</f>
        <v>1.3013637355457861</v>
      </c>
      <c r="DH114" s="21">
        <f>EXP(-LN(2)/2)*DH113+(1-EXP(-LN(2)/2))/(LN(2)/2)*DB114*DE114*VLOOKUP('Données projet'!$B$13,Paramètres!$A$1:$I$89,3,0)*0.475*44/12</f>
        <v>1.189277912391505E-11</v>
      </c>
      <c r="DI114" s="22">
        <f t="shared" si="69"/>
        <v>1.7320131748001146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433.00000000000011</v>
      </c>
      <c r="DP114" s="17">
        <f>DO114*VLOOKUP('Données projet'!$B$14,Paramètres!$A$1:$I$89,3,0)*VLOOKUP('Données projet'!$B$14,Paramètres!$A$1:$I$89,5,0)</f>
        <v>258.93400000000008</v>
      </c>
      <c r="DQ114" s="13">
        <f t="shared" si="97"/>
        <v>62.495095530116075</v>
      </c>
      <c r="DR114" s="20">
        <f t="shared" si="70"/>
        <v>559.82234138161891</v>
      </c>
      <c r="DS114" s="59">
        <f t="shared" si="71"/>
        <v>853.15567471495228</v>
      </c>
      <c r="DT114" s="59">
        <f ca="1">AVERAGE(OFFSET($DS$3,0,0,'Données projet'!$E$14+1,1))-AVERAGE(OFFSET($H$3,0,0,'Données projet'!$E$14+1,1))</f>
        <v>221.14988592347311</v>
      </c>
      <c r="DU114" s="59">
        <f t="shared" si="98"/>
        <v>179.09262081171607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0.45935940185859803</v>
      </c>
      <c r="EB114" s="21">
        <f>EXP(-LN(2)/25)*EB113+(1-EXP(-LN(2)/25))/(LN(2)/25)*Calculateur!DW114*Calculateur!DY114*VLOOKUP('Données projet'!$B$14,Paramètres!$A$1:$I$89,3,0)*0.475*44/12</f>
        <v>1.0838869760861318</v>
      </c>
      <c r="EC114" s="21">
        <f>EXP(-LN(2)/2)*EC113+(1-EXP(-LN(2)/2))/(LN(2)/2)*DW114*DZ114*VLOOKUP('Données projet'!$B$14,Paramètres!$A$1:$I$89,3,0)*0.475*44/12</f>
        <v>1.2540486545309052E-11</v>
      </c>
      <c r="ED114" s="22">
        <f t="shared" si="72"/>
        <v>1.5432463779572703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2.2737367544323206E-13</v>
      </c>
      <c r="EK114" s="17">
        <f>EJ114*VLOOKUP('Données projet'!$B$15,Paramètres!$A$1:$I$89,3,0)*VLOOKUP('Données projet'!$B$15,Paramètres!$A$1:$I$89,5,0)</f>
        <v>1.2414602679200471E-13</v>
      </c>
      <c r="EL114" s="13">
        <f t="shared" si="99"/>
        <v>1.8186582995804361E-12</v>
      </c>
      <c r="EM114" s="20">
        <f t="shared" si="73"/>
        <v>3.3837175350986671E-12</v>
      </c>
      <c r="EN114" s="59">
        <f t="shared" si="74"/>
        <v>293.33333333333672</v>
      </c>
      <c r="EO114" s="59">
        <f ca="1">AVERAGE(OFFSET($EN$3,0,0,'Données projet'!$E$15+1,1))-AVERAGE(OFFSET($H$3,0,0,'Données projet'!$E$15+1,1))</f>
        <v>168.72306536277267</v>
      </c>
      <c r="EP114" s="59">
        <f t="shared" si="100"/>
        <v>203.35476578922339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0.61164702964867645</v>
      </c>
      <c r="EW114" s="21">
        <f>EXP(-LN(2)/25)*EW113+(1-EXP(-LN(2)/25))/(LN(2)/25)*Calculateur!ER114*Calculateur!ET114*VLOOKUP('Données projet'!$B$15,Paramètres!$A$1:$I$89,3,0)*0.475*44/12</f>
        <v>2.4328074061194656</v>
      </c>
      <c r="EX114" s="21">
        <f>EXP(-LN(2)/2)*EX113+(1-EXP(-LN(2)/2))/(LN(2)/2)*ER114*EU114*VLOOKUP('Données projet'!$B$15,Paramètres!$A$1:$I$89,3,0)*0.475*44/12</f>
        <v>1.2877533419594932E-11</v>
      </c>
      <c r="EY114" s="22">
        <f t="shared" si="75"/>
        <v>3.0444544357810197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3.4106051316484809E-13</v>
      </c>
      <c r="FF114" s="17">
        <f>FE114*VLOOKUP('Données projet'!$B$16,Paramètres!$A$1:$I$89,3,0)*VLOOKUP('Données projet'!$B$16,Paramètres!$A$1:$I$89,5,0)</f>
        <v>1.8621904018800707E-13</v>
      </c>
      <c r="FG114" s="13">
        <f t="shared" si="101"/>
        <v>2.6022279988572714E-12</v>
      </c>
      <c r="FH114" s="20">
        <f t="shared" si="76"/>
        <v>4.8565452596705266E-12</v>
      </c>
      <c r="FI114" s="59">
        <f t="shared" si="77"/>
        <v>293.33333333333815</v>
      </c>
      <c r="FJ114" s="59">
        <f ca="1">AVERAGE(OFFSET($FI$3,0,0,'Données projet'!$E$16+1,1))-AVERAGE(OFFSET($H$3,0,0,'Données projet'!$E$16+1,1))</f>
        <v>127.76128532861486</v>
      </c>
      <c r="FK114" s="59">
        <f t="shared" si="102"/>
        <v>157.52303491639736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>
        <f>EXP(-LN(2)/35)*FQ113+(1-EXP(-LN(2)/35))/(LN(2)/35)*FM114*FN114*VLOOKUP('Données projet'!$B$16,Paramètres!$A$1:$I$89,3,0)*0.475*44/12</f>
        <v>0.48931762371894133</v>
      </c>
      <c r="FR114" s="21">
        <f>EXP(-LN(2)/25)*FR113+(1-EXP(-LN(2)/25))/(LN(2)/25)*Calculateur!FM114*Calculateur!FO114*VLOOKUP('Données projet'!$B$16,Paramètres!$A$1:$I$89,3,0)*0.475*44/12</f>
        <v>1.7274948193302158</v>
      </c>
      <c r="FS114" s="21">
        <f>EXP(-LN(2)/2)*FS113+(1-EXP(-LN(2)/2))/(LN(2)/2)*FM114*FP114*VLOOKUP('Données projet'!$B$16,Paramètres!$A$1:$I$89,3,0)*0.475*44/12</f>
        <v>1.022375518667122E-11</v>
      </c>
      <c r="FT114" s="22">
        <f t="shared" si="78"/>
        <v>2.2168124430593807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5.0961538461538449</v>
      </c>
      <c r="N115" s="13">
        <f>IF('Données projet'!$A$36&gt;35,N114+M115-V114,IF(A115&lt;'Données projet'!$A$36,$K$205^A115,IF(A115='Données projet'!$A$36,'Données projet'!$B$36,N114+M115-V114)))</f>
        <v>241.12179487179452</v>
      </c>
      <c r="O115" s="13">
        <f>N115*VLOOKUP('Données projet'!$B$9,Paramètres!$A$1:$I$89,3,0)*VLOOKUP('Données projet'!$B$9,Paramètres!$A$1:$I$89,5,0)</f>
        <v>218.16699999999966</v>
      </c>
      <c r="P115" s="13">
        <f t="shared" si="87"/>
        <v>53.716298439743952</v>
      </c>
      <c r="Q115" s="20">
        <f t="shared" si="107"/>
        <v>473.53007811588674</v>
      </c>
      <c r="R115" s="59">
        <f t="shared" si="55"/>
        <v>766.86341144922005</v>
      </c>
      <c r="S115" s="59">
        <f ca="1">AVERAGE(OFFSET($R$3,0,0,'Données projet'!$E$9+1,1))-AVERAGE(OFFSET($H$3,0,0,'Données projet'!$E$9+1,1))</f>
        <v>153.45079678708987</v>
      </c>
      <c r="T115" s="59">
        <f t="shared" si="88"/>
        <v>115.4217868409637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0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4.7307692307692299</v>
      </c>
      <c r="AI115" s="13">
        <f>IF('Données projet'!$A$62&gt;35,AI114+AH115-AQ114,IF(A115&lt;'Données projet'!$A$62,$AF$205^A115,IF(A115='Données projet'!$A$62,'Données projet'!$B$62,AI114+AH115-AQ114)))</f>
        <v>203.64743589743597</v>
      </c>
      <c r="AJ115" s="13">
        <f>AI115*VLOOKUP('Données projet'!$B$10,Paramètres!$A$1:$I$89,3,0)*VLOOKUP('Données projet'!$B$10,Paramètres!$A$1:$I$89,5,0)</f>
        <v>184.26020000000005</v>
      </c>
      <c r="AK115" s="13">
        <f t="shared" si="89"/>
        <v>46.268707951076827</v>
      </c>
      <c r="AL115" s="20">
        <f t="shared" si="58"/>
        <v>401.50451468145889</v>
      </c>
      <c r="AM115" s="59">
        <f t="shared" si="59"/>
        <v>694.83784801479214</v>
      </c>
      <c r="AN115" s="59">
        <f ca="1">AVERAGE(OFFSET($AM$3,0,0,'Données projet'!$E$10+1,1))-AVERAGE(OFFSET($H$3,0,0,'Données projet'!$E$10+1,1))</f>
        <v>123.92486590666675</v>
      </c>
      <c r="AO115" s="59">
        <f t="shared" si="90"/>
        <v>54.404493017418986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0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1.1368683772161603E-13</v>
      </c>
      <c r="BE115" s="13">
        <f>BD115*VLOOKUP('Données projet'!$B$11,Paramètres!$A$1:$I$89,3,0)*VLOOKUP('Données projet'!$B$11,Paramètres!$A$1:$I$89,5,0)</f>
        <v>6.3550942286383367E-14</v>
      </c>
      <c r="BF115" s="13">
        <f t="shared" si="91"/>
        <v>1.0064464192543978E-12</v>
      </c>
      <c r="BG115" s="20">
        <f t="shared" si="61"/>
        <v>1.8635787380168604E-12</v>
      </c>
      <c r="BH115" s="59">
        <f t="shared" si="62"/>
        <v>293.33333333333519</v>
      </c>
      <c r="BI115" s="59">
        <f ca="1">AVERAGE(OFFSET($BH$3,0,0,'Données projet'!$E$11+1,1))-AVERAGE(OFFSET($H$3,0,0,'Données projet'!$E$11+1,1))</f>
        <v>224.7049802939942</v>
      </c>
      <c r="BJ115" s="59">
        <f t="shared" si="92"/>
        <v>203.48513862195352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0.43980538161596328</v>
      </c>
      <c r="BQ115" s="21">
        <f>EXP(-LN(2)/25)*BQ114+(1-EXP(-LN(2)/25))/(LN(2)/25)*Calculateur!BL115*Calculateur!BN115*VLOOKUP('Données projet'!$B$11,Paramètres!$A$1:$I$89,3,0)*0.475*44/12</f>
        <v>2.0100281870163266</v>
      </c>
      <c r="BR115" s="21">
        <f>EXP(-LN(2)/2)*BR114+(1-EXP(-LN(2)/2))/(LN(2)/2)*BL115*BO115*VLOOKUP('Données projet'!$B$11,Paramètres!$A$1:$I$89,3,0)*0.475*44/12</f>
        <v>4.0748148381171652E-12</v>
      </c>
      <c r="BS115" s="22">
        <f t="shared" si="63"/>
        <v>2.4498335686363646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3.4711538461538445</v>
      </c>
      <c r="BY115" s="12">
        <f>IF('Données projet'!$A$114&gt;35,BY114+BX115-CG114,IF(A115&lt;'Données projet'!$A$114,$BV$205^A115,IF(A115='Données projet'!$A$114,'Données projet'!$B$114,BY114+BX115-CG114)))</f>
        <v>364.35384615384658</v>
      </c>
      <c r="BZ115" s="13">
        <f>BY115*VLOOKUP('Données projet'!$B$12,Paramètres!$A$1:$I$89,3,0)*VLOOKUP('Données projet'!$B$12,Paramètres!$A$1:$I$89,5,0)</f>
        <v>203.67380000000026</v>
      </c>
      <c r="CA115" s="13">
        <f t="shared" si="93"/>
        <v>50.550700452988153</v>
      </c>
      <c r="CB115" s="20">
        <f t="shared" si="64"/>
        <v>442.77433828895482</v>
      </c>
      <c r="CC115" s="59">
        <f t="shared" si="65"/>
        <v>736.10767162228808</v>
      </c>
      <c r="CD115" s="59">
        <f ca="1">AVERAGE(OFFSET($CC$3,0,0,'Données projet'!$E$12+1,1))-AVERAGE(OFFSET($H$3,0,0,'Données projet'!$E$12+1,1))</f>
        <v>190.08613104982993</v>
      </c>
      <c r="CE115" s="59">
        <f t="shared" si="94"/>
        <v>180.55054525447781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0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497</v>
      </c>
      <c r="CU115" s="17">
        <f>CT115*VLOOKUP('Données projet'!$B$13,Paramètres!$A$1:$I$89,3,0)*VLOOKUP('Données projet'!$B$13,Paramètres!$A$1:$I$89,5,0)</f>
        <v>297.20600000000002</v>
      </c>
      <c r="CV115" s="13">
        <f t="shared" si="95"/>
        <v>70.590415164571112</v>
      </c>
      <c r="CW115" s="20">
        <f t="shared" si="67"/>
        <v>640.57875641162809</v>
      </c>
      <c r="CX115" s="59">
        <f t="shared" si="68"/>
        <v>933.91208974496135</v>
      </c>
      <c r="CY115" s="59">
        <f ca="1">AVERAGE(OFFSET($CX$3,0,0,'Données projet'!$E$13+1,1))-AVERAGE(OFFSET($H$3,0,0,'Données projet'!$E$13+1,1))</f>
        <v>270.30888762640245</v>
      </c>
      <c r="CZ115" s="59">
        <f t="shared" si="96"/>
        <v>202.23783851977691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0.42220466640911308</v>
      </c>
      <c r="DG115" s="21">
        <f>EXP(-LN(2)/25)*DG114+(1-EXP(-LN(2)/25))/(LN(2)/25)*Calculateur!DB115*Calculateur!DD115*VLOOKUP('Données projet'!$B$13,Paramètres!$A$1:$I$89,3,0)*0.475*44/12</f>
        <v>1.2657778757615421</v>
      </c>
      <c r="DH115" s="21">
        <f>EXP(-LN(2)/2)*DH114+(1-EXP(-LN(2)/2))/(LN(2)/2)*DB115*DE115*VLOOKUP('Données projet'!$B$13,Paramètres!$A$1:$I$89,3,0)*0.475*44/12</f>
        <v>8.4094647656741399E-12</v>
      </c>
      <c r="DI115" s="22">
        <f t="shared" si="69"/>
        <v>1.6879825421790646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433.00000000000011</v>
      </c>
      <c r="DP115" s="17">
        <f>DO115*VLOOKUP('Données projet'!$B$14,Paramètres!$A$1:$I$89,3,0)*VLOOKUP('Données projet'!$B$14,Paramètres!$A$1:$I$89,5,0)</f>
        <v>258.93400000000008</v>
      </c>
      <c r="DQ115" s="13">
        <f t="shared" si="97"/>
        <v>62.495095530116075</v>
      </c>
      <c r="DR115" s="20">
        <f t="shared" si="70"/>
        <v>559.82234138161891</v>
      </c>
      <c r="DS115" s="59">
        <f t="shared" si="71"/>
        <v>853.15567471495228</v>
      </c>
      <c r="DT115" s="59">
        <f ca="1">AVERAGE(OFFSET($DS$3,0,0,'Données projet'!$E$14+1,1))-AVERAGE(OFFSET($H$3,0,0,'Données projet'!$E$14+1,1))</f>
        <v>221.14988592347311</v>
      </c>
      <c r="DU115" s="59">
        <f t="shared" si="98"/>
        <v>179.09262081171607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0.4503516441697204</v>
      </c>
      <c r="EB115" s="21">
        <f>EXP(-LN(2)/25)*EB114+(1-EXP(-LN(2)/25))/(LN(2)/25)*Calculateur!DW115*Calculateur!DY115*VLOOKUP('Données projet'!$B$14,Paramètres!$A$1:$I$89,3,0)*0.475*44/12</f>
        <v>1.0542480297259178</v>
      </c>
      <c r="EC115" s="21">
        <f>EXP(-LN(2)/2)*EC114+(1-EXP(-LN(2)/2))/(LN(2)/2)*DW115*DZ115*VLOOKUP('Données projet'!$B$14,Paramètres!$A$1:$I$89,3,0)*0.475*44/12</f>
        <v>8.8674630755666906E-12</v>
      </c>
      <c r="ED115" s="22">
        <f t="shared" si="72"/>
        <v>1.5045996739045058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2.2737367544323206E-13</v>
      </c>
      <c r="EK115" s="17">
        <f>EJ115*VLOOKUP('Données projet'!$B$15,Paramètres!$A$1:$I$89,3,0)*VLOOKUP('Données projet'!$B$15,Paramètres!$A$1:$I$89,5,0)</f>
        <v>1.2414602679200471E-13</v>
      </c>
      <c r="EL115" s="13">
        <f t="shared" si="99"/>
        <v>1.8186582995804361E-12</v>
      </c>
      <c r="EM115" s="20">
        <f t="shared" si="73"/>
        <v>3.3837175350986671E-12</v>
      </c>
      <c r="EN115" s="59">
        <f t="shared" si="74"/>
        <v>293.33333333333672</v>
      </c>
      <c r="EO115" s="59">
        <f ca="1">AVERAGE(OFFSET($EN$3,0,0,'Données projet'!$E$15+1,1))-AVERAGE(OFFSET($H$3,0,0,'Données projet'!$E$15+1,1))</f>
        <v>168.72306536277267</v>
      </c>
      <c r="EP115" s="59">
        <f t="shared" si="100"/>
        <v>203.35476578922339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0.5996530044651166</v>
      </c>
      <c r="EW115" s="21">
        <f>EXP(-LN(2)/25)*EW114+(1-EXP(-LN(2)/25))/(LN(2)/25)*Calculateur!ER115*Calculateur!ET115*VLOOKUP('Données projet'!$B$15,Paramètres!$A$1:$I$89,3,0)*0.475*44/12</f>
        <v>2.3662821596633474</v>
      </c>
      <c r="EX115" s="21">
        <f>EXP(-LN(2)/2)*EX114+(1-EXP(-LN(2)/2))/(LN(2)/2)*ER115*EU115*VLOOKUP('Données projet'!$B$15,Paramètres!$A$1:$I$89,3,0)*0.475*44/12</f>
        <v>9.1057912059519668E-12</v>
      </c>
      <c r="EY115" s="22">
        <f t="shared" si="75"/>
        <v>2.9659351641375697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3.4106051316484809E-13</v>
      </c>
      <c r="FF115" s="17">
        <f>FE115*VLOOKUP('Données projet'!$B$16,Paramètres!$A$1:$I$89,3,0)*VLOOKUP('Données projet'!$B$16,Paramètres!$A$1:$I$89,5,0)</f>
        <v>1.8621904018800707E-13</v>
      </c>
      <c r="FG115" s="13">
        <f t="shared" si="101"/>
        <v>2.6022279988572714E-12</v>
      </c>
      <c r="FH115" s="20">
        <f t="shared" si="76"/>
        <v>4.8565452596705266E-12</v>
      </c>
      <c r="FI115" s="59">
        <f t="shared" si="77"/>
        <v>293.33333333333815</v>
      </c>
      <c r="FJ115" s="59">
        <f ca="1">AVERAGE(OFFSET($FI$3,0,0,'Données projet'!$E$16+1,1))-AVERAGE(OFFSET($H$3,0,0,'Données projet'!$E$16+1,1))</f>
        <v>127.76128532861486</v>
      </c>
      <c r="FK115" s="59">
        <f t="shared" si="102"/>
        <v>157.52303491639736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>
        <f>EXP(-LN(2)/35)*FQ114+(1-EXP(-LN(2)/35))/(LN(2)/35)*FM115*FN115*VLOOKUP('Données projet'!$B$16,Paramètres!$A$1:$I$89,3,0)*0.475*44/12</f>
        <v>0.47972240357209345</v>
      </c>
      <c r="FR115" s="21">
        <f>EXP(-LN(2)/25)*FR114+(1-EXP(-LN(2)/25))/(LN(2)/25)*Calculateur!FM115*Calculateur!FO115*VLOOKUP('Données projet'!$B$16,Paramètres!$A$1:$I$89,3,0)*0.475*44/12</f>
        <v>1.6802563826506267</v>
      </c>
      <c r="FS115" s="21">
        <f>EXP(-LN(2)/2)*FS114+(1-EXP(-LN(2)/2))/(LN(2)/2)*FM115*FP115*VLOOKUP('Données projet'!$B$16,Paramètres!$A$1:$I$89,3,0)*0.475*44/12</f>
        <v>7.2292866216863571E-12</v>
      </c>
      <c r="FT115" s="22">
        <f t="shared" si="78"/>
        <v>2.1599787862299493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>
        <f>VLOOKUP(A116,'Données projet'!$A$35:$I$55,2,0)</f>
        <v>246.21794871794873</v>
      </c>
      <c r="L116" s="12">
        <f>VLOOKUP(A116,'Données projet'!$A$35:$I$55,9,0)</f>
        <v>5.0961538461538449</v>
      </c>
      <c r="M116" s="12">
        <f t="array" ref="M116">INDEX(L:L,MIN(IF(ISNUMBER(L116:L312),ROW(L116:L312),"")))</f>
        <v>5.0961538461538449</v>
      </c>
      <c r="N116" s="13">
        <f>IF('Données projet'!$A$36&gt;35,N115+M116-V115,IF(A116&lt;'Données projet'!$A$36,$K$205^A116,IF(A116='Données projet'!$A$36,'Données projet'!$B$36,N115+M116-V115)))</f>
        <v>246.21794871794836</v>
      </c>
      <c r="O116" s="13">
        <f>N116*VLOOKUP('Données projet'!$B$9,Paramètres!$A$1:$I$89,3,0)*VLOOKUP('Données projet'!$B$9,Paramètres!$A$1:$I$89,5,0)</f>
        <v>222.77799999999965</v>
      </c>
      <c r="P116" s="13">
        <f t="shared" si="87"/>
        <v>54.718228640620396</v>
      </c>
      <c r="Q116" s="20">
        <f t="shared" si="107"/>
        <v>483.30593154907984</v>
      </c>
      <c r="R116" s="59">
        <f t="shared" si="55"/>
        <v>776.63926488241316</v>
      </c>
      <c r="S116" s="59">
        <f ca="1">AVERAGE(OFFSET($R$3,0,0,'Données projet'!$E$9+1,1))-AVERAGE(OFFSET($H$3,0,0,'Données projet'!$E$9+1,1))</f>
        <v>153.45079678708987</v>
      </c>
      <c r="T116" s="59">
        <f t="shared" si="88"/>
        <v>115.4217868409637</v>
      </c>
      <c r="U116" s="15">
        <f>IF(ISNA(VLOOKUP(A116,'Données projet'!$A$35:$I$55,3,0)),0,VLOOKUP(A116,'Données projet'!$A$35:$I$55,3,0))</f>
        <v>9</v>
      </c>
      <c r="V116" s="15">
        <f>IF(ISNA(VLOOKUP(A116,'Données projet'!$A$35:$I$55,4,0)),0,VLOOKUP(A116,'Données projet'!$A$35:$I$55,4,0))</f>
        <v>31.602564102564099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0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>
        <f>VLOOKUP(A116,'Données projet'!$A$61:$I$81,2,0)</f>
        <v>208.37820512820511</v>
      </c>
      <c r="AG116" s="12">
        <f>VLOOKUP(A116,'Données projet'!$A$61:$I$81,9,0)</f>
        <v>4.7307692307692299</v>
      </c>
      <c r="AH116" s="12">
        <f t="array" ref="AH116">INDEX(AG:AG,MIN(IF(ISNUMBER(AG116:AG312),ROW(AG116:AG312),"")))</f>
        <v>4.7307692307692299</v>
      </c>
      <c r="AI116" s="13">
        <f>IF('Données projet'!$A$62&gt;35,AI115+AH116-AQ115,IF(A116&lt;'Données projet'!$A$62,$AF$205^A116,IF(A116='Données projet'!$A$62,'Données projet'!$B$62,AI115+AH116-AQ115)))</f>
        <v>208.3782051282052</v>
      </c>
      <c r="AJ116" s="13">
        <f>AI116*VLOOKUP('Données projet'!$B$10,Paramètres!$A$1:$I$89,3,0)*VLOOKUP('Données projet'!$B$10,Paramètres!$A$1:$I$89,5,0)</f>
        <v>188.54060000000007</v>
      </c>
      <c r="AK116" s="13">
        <f t="shared" si="89"/>
        <v>47.217155580388422</v>
      </c>
      <c r="AL116" s="20">
        <f t="shared" si="58"/>
        <v>410.61142430250999</v>
      </c>
      <c r="AM116" s="59">
        <f t="shared" si="59"/>
        <v>703.9447576358433</v>
      </c>
      <c r="AN116" s="59">
        <f ca="1">AVERAGE(OFFSET($AM$3,0,0,'Données projet'!$E$10+1,1))-AVERAGE(OFFSET($H$3,0,0,'Données projet'!$E$10+1,1))</f>
        <v>123.92486590666675</v>
      </c>
      <c r="AO116" s="59">
        <f t="shared" si="90"/>
        <v>54.404493017418986</v>
      </c>
      <c r="AP116" s="15">
        <f>IF(ISNA(VLOOKUP(A116,'Données projet'!$A$61:$I$81,3,0)),0,VLOOKUP(A116,'Données projet'!$A$61:$I$81,3,0))</f>
        <v>7</v>
      </c>
      <c r="AQ116" s="15">
        <f>IF(ISNA(VLOOKUP(A116,'Données projet'!$A$61:$I$81,4,0)),0,VLOOKUP(A116,'Données projet'!$A$61:$I$81,4,0))</f>
        <v>29.602564102564102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0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1.1368683772161603E-13</v>
      </c>
      <c r="BE116" s="13">
        <f>BD116*VLOOKUP('Données projet'!$B$11,Paramètres!$A$1:$I$89,3,0)*VLOOKUP('Données projet'!$B$11,Paramètres!$A$1:$I$89,5,0)</f>
        <v>6.3550942286383367E-14</v>
      </c>
      <c r="BF116" s="13">
        <f t="shared" si="91"/>
        <v>1.0064464192543978E-12</v>
      </c>
      <c r="BG116" s="20">
        <f t="shared" si="61"/>
        <v>1.8635787380168604E-12</v>
      </c>
      <c r="BH116" s="59">
        <f t="shared" si="62"/>
        <v>293.33333333333519</v>
      </c>
      <c r="BI116" s="59">
        <f ca="1">AVERAGE(OFFSET($BH$3,0,0,'Données projet'!$E$11+1,1))-AVERAGE(OFFSET($H$3,0,0,'Données projet'!$E$11+1,1))</f>
        <v>224.7049802939942</v>
      </c>
      <c r="BJ116" s="59">
        <f t="shared" si="92"/>
        <v>203.48513862195352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0.43118106633726905</v>
      </c>
      <c r="BQ116" s="21">
        <f>EXP(-LN(2)/25)*BQ115+(1-EXP(-LN(2)/25))/(LN(2)/25)*Calculateur!BL116*Calculateur!BN116*VLOOKUP('Données projet'!$B$11,Paramètres!$A$1:$I$89,3,0)*0.475*44/12</f>
        <v>1.9550638605395767</v>
      </c>
      <c r="BR116" s="21">
        <f>EXP(-LN(2)/2)*BR115+(1-EXP(-LN(2)/2))/(LN(2)/2)*BL116*BO116*VLOOKUP('Données projet'!$B$11,Paramètres!$A$1:$I$89,3,0)*0.475*44/12</f>
        <v>2.8813292041122114E-12</v>
      </c>
      <c r="BS116" s="22">
        <f t="shared" si="63"/>
        <v>2.3862449268797272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3.4711538461538445</v>
      </c>
      <c r="BY116" s="12">
        <f>IF('Données projet'!$A$114&gt;35,BY115+BX116-CG115,IF(A116&lt;'Données projet'!$A$114,$BV$205^A116,IF(A116='Données projet'!$A$114,'Données projet'!$B$114,BY115+BX116-CG115)))</f>
        <v>367.82500000000044</v>
      </c>
      <c r="BZ116" s="13">
        <f>BY116*VLOOKUP('Données projet'!$B$12,Paramètres!$A$1:$I$89,3,0)*VLOOKUP('Données projet'!$B$12,Paramètres!$A$1:$I$89,5,0)</f>
        <v>205.61417500000027</v>
      </c>
      <c r="CA116" s="13">
        <f t="shared" si="93"/>
        <v>50.975998483526425</v>
      </c>
      <c r="CB116" s="20">
        <f t="shared" si="64"/>
        <v>446.89455215047565</v>
      </c>
      <c r="CC116" s="59">
        <f t="shared" si="65"/>
        <v>740.2278854838089</v>
      </c>
      <c r="CD116" s="59">
        <f ca="1">AVERAGE(OFFSET($CC$3,0,0,'Données projet'!$E$12+1,1))-AVERAGE(OFFSET($H$3,0,0,'Données projet'!$E$12+1,1))</f>
        <v>190.08613104982993</v>
      </c>
      <c r="CE116" s="59">
        <f t="shared" si="94"/>
        <v>180.55054525447781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0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497</v>
      </c>
      <c r="CU116" s="17">
        <f>CT116*VLOOKUP('Données projet'!$B$13,Paramètres!$A$1:$I$89,3,0)*VLOOKUP('Données projet'!$B$13,Paramètres!$A$1:$I$89,5,0)</f>
        <v>297.20600000000002</v>
      </c>
      <c r="CV116" s="13">
        <f t="shared" si="95"/>
        <v>70.590415164571112</v>
      </c>
      <c r="CW116" s="20">
        <f t="shared" si="67"/>
        <v>640.57875641162809</v>
      </c>
      <c r="CX116" s="59">
        <f t="shared" si="68"/>
        <v>933.91208974496135</v>
      </c>
      <c r="CY116" s="59">
        <f ca="1">AVERAGE(OFFSET($CX$3,0,0,'Données projet'!$E$13+1,1))-AVERAGE(OFFSET($H$3,0,0,'Données projet'!$E$13+1,1))</f>
        <v>270.30888762640245</v>
      </c>
      <c r="CZ116" s="59">
        <f t="shared" si="96"/>
        <v>202.23783851977691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0.41392549042024895</v>
      </c>
      <c r="DG116" s="21">
        <f>EXP(-LN(2)/25)*DG115+(1-EXP(-LN(2)/25))/(LN(2)/25)*Calculateur!DB116*Calculateur!DD116*VLOOKUP('Données projet'!$B$13,Paramètres!$A$1:$I$89,3,0)*0.475*44/12</f>
        <v>1.2311651131844772</v>
      </c>
      <c r="DH116" s="21">
        <f>EXP(-LN(2)/2)*DH115+(1-EXP(-LN(2)/2))/(LN(2)/2)*DB116*DE116*VLOOKUP('Données projet'!$B$13,Paramètres!$A$1:$I$89,3,0)*0.475*44/12</f>
        <v>5.9463895619575252E-12</v>
      </c>
      <c r="DI116" s="22">
        <f t="shared" si="69"/>
        <v>1.6450906036106725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433.00000000000011</v>
      </c>
      <c r="DP116" s="17">
        <f>DO116*VLOOKUP('Données projet'!$B$14,Paramètres!$A$1:$I$89,3,0)*VLOOKUP('Données projet'!$B$14,Paramètres!$A$1:$I$89,5,0)</f>
        <v>258.93400000000008</v>
      </c>
      <c r="DQ116" s="13">
        <f t="shared" si="97"/>
        <v>62.495095530116075</v>
      </c>
      <c r="DR116" s="20">
        <f t="shared" si="70"/>
        <v>559.82234138161891</v>
      </c>
      <c r="DS116" s="59">
        <f t="shared" si="71"/>
        <v>853.15567471495228</v>
      </c>
      <c r="DT116" s="59">
        <f ca="1">AVERAGE(OFFSET($DS$3,0,0,'Données projet'!$E$14+1,1))-AVERAGE(OFFSET($H$3,0,0,'Données projet'!$E$14+1,1))</f>
        <v>221.14988592347311</v>
      </c>
      <c r="DU116" s="59">
        <f t="shared" si="98"/>
        <v>179.09262081171607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0.44152052311493201</v>
      </c>
      <c r="EB116" s="21">
        <f>EXP(-LN(2)/25)*EB115+(1-EXP(-LN(2)/25))/(LN(2)/25)*Calculateur!DW116*Calculateur!DY116*VLOOKUP('Données projet'!$B$14,Paramètres!$A$1:$I$89,3,0)*0.475*44/12</f>
        <v>1.0254195619125681</v>
      </c>
      <c r="EC116" s="21">
        <f>EXP(-LN(2)/2)*EC115+(1-EXP(-LN(2)/2))/(LN(2)/2)*DW116*DZ116*VLOOKUP('Données projet'!$B$14,Paramètres!$A$1:$I$89,3,0)*0.475*44/12</f>
        <v>6.2702432726545258E-12</v>
      </c>
      <c r="ED116" s="22">
        <f t="shared" si="72"/>
        <v>1.4669400850337704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2.2737367544323206E-13</v>
      </c>
      <c r="EK116" s="17">
        <f>EJ116*VLOOKUP('Données projet'!$B$15,Paramètres!$A$1:$I$89,3,0)*VLOOKUP('Données projet'!$B$15,Paramètres!$A$1:$I$89,5,0)</f>
        <v>1.2414602679200471E-13</v>
      </c>
      <c r="EL116" s="13">
        <f t="shared" si="99"/>
        <v>1.8186582995804361E-12</v>
      </c>
      <c r="EM116" s="20">
        <f t="shared" si="73"/>
        <v>3.3837175350986671E-12</v>
      </c>
      <c r="EN116" s="59">
        <f t="shared" si="74"/>
        <v>293.33333333333672</v>
      </c>
      <c r="EO116" s="59">
        <f ca="1">AVERAGE(OFFSET($EN$3,0,0,'Données projet'!$E$15+1,1))-AVERAGE(OFFSET($H$3,0,0,'Données projet'!$E$15+1,1))</f>
        <v>168.72306536277267</v>
      </c>
      <c r="EP116" s="59">
        <f t="shared" si="100"/>
        <v>203.35476578922339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0.58789417479977335</v>
      </c>
      <c r="EW116" s="21">
        <f>EXP(-LN(2)/25)*EW115+(1-EXP(-LN(2)/25))/(LN(2)/25)*Calculateur!ER116*Calculateur!ET116*VLOOKUP('Données projet'!$B$15,Paramètres!$A$1:$I$89,3,0)*0.475*44/12</f>
        <v>2.3015760495699826</v>
      </c>
      <c r="EX116" s="21">
        <f>EXP(-LN(2)/2)*EX115+(1-EXP(-LN(2)/2))/(LN(2)/2)*ER116*EU116*VLOOKUP('Données projet'!$B$15,Paramètres!$A$1:$I$89,3,0)*0.475*44/12</f>
        <v>6.4387667097974662E-12</v>
      </c>
      <c r="EY116" s="22">
        <f t="shared" si="75"/>
        <v>2.8894702243761947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3.4106051316484809E-13</v>
      </c>
      <c r="FF116" s="17">
        <f>FE116*VLOOKUP('Données projet'!$B$16,Paramètres!$A$1:$I$89,3,0)*VLOOKUP('Données projet'!$B$16,Paramètres!$A$1:$I$89,5,0)</f>
        <v>1.8621904018800707E-13</v>
      </c>
      <c r="FG116" s="13">
        <f t="shared" si="101"/>
        <v>2.6022279988572714E-12</v>
      </c>
      <c r="FH116" s="20">
        <f t="shared" si="76"/>
        <v>4.8565452596705266E-12</v>
      </c>
      <c r="FI116" s="59">
        <f t="shared" si="77"/>
        <v>293.33333333333815</v>
      </c>
      <c r="FJ116" s="59">
        <f ca="1">AVERAGE(OFFSET($FI$3,0,0,'Données projet'!$E$16+1,1))-AVERAGE(OFFSET($H$3,0,0,'Données projet'!$E$16+1,1))</f>
        <v>127.76128532861486</v>
      </c>
      <c r="FK116" s="59">
        <f t="shared" si="102"/>
        <v>157.52303491639736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>
        <f>EXP(-LN(2)/35)*FQ115+(1-EXP(-LN(2)/35))/(LN(2)/35)*FM116*FN116*VLOOKUP('Données projet'!$B$16,Paramètres!$A$1:$I$89,3,0)*0.475*44/12</f>
        <v>0.47031533983981882</v>
      </c>
      <c r="FR116" s="21">
        <f>EXP(-LN(2)/25)*FR115+(1-EXP(-LN(2)/25))/(LN(2)/25)*Calculateur!FM116*Calculateur!FO116*VLOOKUP('Données projet'!$B$16,Paramètres!$A$1:$I$89,3,0)*0.475*44/12</f>
        <v>1.6343096835062025</v>
      </c>
      <c r="FS116" s="21">
        <f>EXP(-LN(2)/2)*FS115+(1-EXP(-LN(2)/2))/(LN(2)/2)*FM116*FP116*VLOOKUP('Données projet'!$B$16,Paramètres!$A$1:$I$89,3,0)*0.475*44/12</f>
        <v>5.1118775933356106E-12</v>
      </c>
      <c r="FT116" s="22">
        <f t="shared" si="78"/>
        <v>2.1046250233511334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5.3066239316239274</v>
      </c>
      <c r="N117" s="13">
        <f>IF('Données projet'!$A$36&gt;35,N116+M117-V116,IF(A117&lt;'Données projet'!$A$36,$K$205^A117,IF(A117='Données projet'!$A$36,'Données projet'!$B$36,N116+M117-V116)))</f>
        <v>219.9220085470082</v>
      </c>
      <c r="O117" s="13">
        <f>N117*VLOOKUP('Données projet'!$B$9,Paramètres!$A$1:$I$89,3,0)*VLOOKUP('Données projet'!$B$9,Paramètres!$A$1:$I$89,5,0)</f>
        <v>198.98543333333302</v>
      </c>
      <c r="P117" s="13">
        <f t="shared" si="87"/>
        <v>49.521130725595967</v>
      </c>
      <c r="Q117" s="20">
        <f t="shared" si="107"/>
        <v>432.8155990693013</v>
      </c>
      <c r="R117" s="59">
        <f t="shared" si="55"/>
        <v>726.14893240263461</v>
      </c>
      <c r="S117" s="59">
        <f ca="1">AVERAGE(OFFSET($R$3,0,0,'Données projet'!$E$9+1,1))-AVERAGE(OFFSET($H$3,0,0,'Données projet'!$E$9+1,1))</f>
        <v>153.45079678708987</v>
      </c>
      <c r="T117" s="59">
        <f t="shared" si="88"/>
        <v>115.4217868409637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0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4.7948717948717956</v>
      </c>
      <c r="AI117" s="13">
        <f>IF('Données projet'!$A$62&gt;35,AI116+AH117-AQ116,IF(A117&lt;'Données projet'!$A$62,$AF$205^A117,IF(A117='Données projet'!$A$62,'Données projet'!$B$62,AI116+AH117-AQ116)))</f>
        <v>183.57051282051287</v>
      </c>
      <c r="AJ117" s="13">
        <f>AI117*VLOOKUP('Données projet'!$B$10,Paramètres!$A$1:$I$89,3,0)*VLOOKUP('Données projet'!$B$10,Paramètres!$A$1:$I$89,5,0)</f>
        <v>166.09460000000004</v>
      </c>
      <c r="AK117" s="13">
        <f t="shared" si="89"/>
        <v>42.214164311135306</v>
      </c>
      <c r="AL117" s="20">
        <f t="shared" si="58"/>
        <v>362.80443117522736</v>
      </c>
      <c r="AM117" s="59">
        <f t="shared" si="59"/>
        <v>656.13776450856062</v>
      </c>
      <c r="AN117" s="59">
        <f ca="1">AVERAGE(OFFSET($AM$3,0,0,'Données projet'!$E$10+1,1))-AVERAGE(OFFSET($H$3,0,0,'Données projet'!$E$10+1,1))</f>
        <v>123.92486590666675</v>
      </c>
      <c r="AO117" s="59">
        <f t="shared" si="90"/>
        <v>54.404493017418986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0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1.1368683772161603E-13</v>
      </c>
      <c r="BE117" s="13">
        <f>BD117*VLOOKUP('Données projet'!$B$11,Paramètres!$A$1:$I$89,3,0)*VLOOKUP('Données projet'!$B$11,Paramètres!$A$1:$I$89,5,0)</f>
        <v>6.3550942286383367E-14</v>
      </c>
      <c r="BF117" s="13">
        <f t="shared" si="91"/>
        <v>1.0064464192543978E-12</v>
      </c>
      <c r="BG117" s="20">
        <f t="shared" si="61"/>
        <v>1.8635787380168604E-12</v>
      </c>
      <c r="BH117" s="59">
        <f t="shared" si="62"/>
        <v>293.33333333333519</v>
      </c>
      <c r="BI117" s="59">
        <f ca="1">AVERAGE(OFFSET($BH$3,0,0,'Données projet'!$E$11+1,1))-AVERAGE(OFFSET($H$3,0,0,'Données projet'!$E$11+1,1))</f>
        <v>224.7049802939942</v>
      </c>
      <c r="BJ117" s="59">
        <f t="shared" si="92"/>
        <v>203.48513862195352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0.42272586862087713</v>
      </c>
      <c r="BQ117" s="21">
        <f>EXP(-LN(2)/25)*BQ116+(1-EXP(-LN(2)/25))/(LN(2)/25)*Calculateur!BL117*Calculateur!BN117*VLOOKUP('Données projet'!$B$11,Paramètres!$A$1:$I$89,3,0)*0.475*44/12</f>
        <v>1.9016025364607818</v>
      </c>
      <c r="BR117" s="21">
        <f>EXP(-LN(2)/2)*BR116+(1-EXP(-LN(2)/2))/(LN(2)/2)*BL117*BO117*VLOOKUP('Données projet'!$B$11,Paramètres!$A$1:$I$89,3,0)*0.475*44/12</f>
        <v>2.0374074190585826E-12</v>
      </c>
      <c r="BS117" s="22">
        <f t="shared" si="63"/>
        <v>2.3243284050836963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3.4711538461538445</v>
      </c>
      <c r="BY117" s="12">
        <f>IF('Données projet'!$A$114&gt;35,BY116+BX117-CG116,IF(A117&lt;'Données projet'!$A$114,$BV$205^A117,IF(A117='Données projet'!$A$114,'Données projet'!$B$114,BY116+BX117-CG116)))</f>
        <v>371.29615384615431</v>
      </c>
      <c r="BZ117" s="13">
        <f>BY117*VLOOKUP('Données projet'!$B$12,Paramètres!$A$1:$I$89,3,0)*VLOOKUP('Données projet'!$B$12,Paramètres!$A$1:$I$89,5,0)</f>
        <v>207.55455000000029</v>
      </c>
      <c r="CA117" s="13">
        <f t="shared" si="93"/>
        <v>51.400829588898404</v>
      </c>
      <c r="CB117" s="20">
        <f t="shared" si="64"/>
        <v>451.01395278399855</v>
      </c>
      <c r="CC117" s="59">
        <f t="shared" si="65"/>
        <v>744.34728611733181</v>
      </c>
      <c r="CD117" s="59">
        <f ca="1">AVERAGE(OFFSET($CC$3,0,0,'Données projet'!$E$12+1,1))-AVERAGE(OFFSET($H$3,0,0,'Données projet'!$E$12+1,1))</f>
        <v>190.08613104982993</v>
      </c>
      <c r="CE117" s="59">
        <f t="shared" si="94"/>
        <v>180.55054525447781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0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497</v>
      </c>
      <c r="CU117" s="17">
        <f>CT117*VLOOKUP('Données projet'!$B$13,Paramètres!$A$1:$I$89,3,0)*VLOOKUP('Données projet'!$B$13,Paramètres!$A$1:$I$89,5,0)</f>
        <v>297.20600000000002</v>
      </c>
      <c r="CV117" s="13">
        <f t="shared" si="95"/>
        <v>70.590415164571112</v>
      </c>
      <c r="CW117" s="20">
        <f t="shared" si="67"/>
        <v>640.57875641162809</v>
      </c>
      <c r="CX117" s="59">
        <f t="shared" si="68"/>
        <v>933.91208974496135</v>
      </c>
      <c r="CY117" s="59">
        <f ca="1">AVERAGE(OFFSET($CX$3,0,0,'Données projet'!$E$13+1,1))-AVERAGE(OFFSET($H$3,0,0,'Données projet'!$E$13+1,1))</f>
        <v>270.30888762640245</v>
      </c>
      <c r="CZ117" s="59">
        <f t="shared" si="96"/>
        <v>202.23783851977691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0.40580866402272775</v>
      </c>
      <c r="DG117" s="21">
        <f>EXP(-LN(2)/25)*DG116+(1-EXP(-LN(2)/25))/(LN(2)/25)*Calculateur!DB117*Calculateur!DD117*VLOOKUP('Données projet'!$B$13,Paramètres!$A$1:$I$89,3,0)*0.475*44/12</f>
        <v>1.1974988384202883</v>
      </c>
      <c r="DH117" s="21">
        <f>EXP(-LN(2)/2)*DH116+(1-EXP(-LN(2)/2))/(LN(2)/2)*DB117*DE117*VLOOKUP('Données projet'!$B$13,Paramètres!$A$1:$I$89,3,0)*0.475*44/12</f>
        <v>4.20473238283707E-12</v>
      </c>
      <c r="DI117" s="22">
        <f t="shared" si="69"/>
        <v>1.6033075024472208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433.00000000000011</v>
      </c>
      <c r="DP117" s="17">
        <f>DO117*VLOOKUP('Données projet'!$B$14,Paramètres!$A$1:$I$89,3,0)*VLOOKUP('Données projet'!$B$14,Paramètres!$A$1:$I$89,5,0)</f>
        <v>258.93400000000008</v>
      </c>
      <c r="DQ117" s="13">
        <f t="shared" si="97"/>
        <v>62.495095530116075</v>
      </c>
      <c r="DR117" s="20">
        <f t="shared" si="70"/>
        <v>559.82234138161891</v>
      </c>
      <c r="DS117" s="59">
        <f t="shared" si="71"/>
        <v>853.15567471495228</v>
      </c>
      <c r="DT117" s="59">
        <f ca="1">AVERAGE(OFFSET($DS$3,0,0,'Données projet'!$E$14+1,1))-AVERAGE(OFFSET($H$3,0,0,'Données projet'!$E$14+1,1))</f>
        <v>221.14988592347311</v>
      </c>
      <c r="DU117" s="59">
        <f t="shared" si="98"/>
        <v>179.09262081171607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0.43286257495757602</v>
      </c>
      <c r="EB117" s="21">
        <f>EXP(-LN(2)/25)*EB116+(1-EXP(-LN(2)/25))/(LN(2)/25)*Calculateur!DW117*Calculateur!DY117*VLOOKUP('Données projet'!$B$14,Paramètres!$A$1:$I$89,3,0)*0.475*44/12</f>
        <v>0.99737941006759778</v>
      </c>
      <c r="EC117" s="21">
        <f>EXP(-LN(2)/2)*EC116+(1-EXP(-LN(2)/2))/(LN(2)/2)*DW117*DZ117*VLOOKUP('Données projet'!$B$14,Paramètres!$A$1:$I$89,3,0)*0.475*44/12</f>
        <v>4.4337315377833453E-12</v>
      </c>
      <c r="ED117" s="22">
        <f t="shared" si="72"/>
        <v>1.4302419850296075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2.2737367544323206E-13</v>
      </c>
      <c r="EK117" s="17">
        <f>EJ117*VLOOKUP('Données projet'!$B$15,Paramètres!$A$1:$I$89,3,0)*VLOOKUP('Données projet'!$B$15,Paramètres!$A$1:$I$89,5,0)</f>
        <v>1.2414602679200471E-13</v>
      </c>
      <c r="EL117" s="13">
        <f t="shared" si="99"/>
        <v>1.8186582995804361E-12</v>
      </c>
      <c r="EM117" s="20">
        <f t="shared" si="73"/>
        <v>3.3837175350986671E-12</v>
      </c>
      <c r="EN117" s="59">
        <f t="shared" si="74"/>
        <v>293.33333333333672</v>
      </c>
      <c r="EO117" s="59">
        <f ca="1">AVERAGE(OFFSET($EN$3,0,0,'Données projet'!$E$15+1,1))-AVERAGE(OFFSET($H$3,0,0,'Données projet'!$E$15+1,1))</f>
        <v>168.72306536277267</v>
      </c>
      <c r="EP117" s="59">
        <f t="shared" si="100"/>
        <v>203.35476578922339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0.57636592861198954</v>
      </c>
      <c r="EW117" s="21">
        <f>EXP(-LN(2)/25)*EW116+(1-EXP(-LN(2)/25))/(LN(2)/25)*Calculateur!ER117*Calculateur!ET117*VLOOKUP('Données projet'!$B$15,Paramètres!$A$1:$I$89,3,0)*0.475*44/12</f>
        <v>2.2386393314598672</v>
      </c>
      <c r="EX117" s="21">
        <f>EXP(-LN(2)/2)*EX116+(1-EXP(-LN(2)/2))/(LN(2)/2)*ER117*EU117*VLOOKUP('Données projet'!$B$15,Paramètres!$A$1:$I$89,3,0)*0.475*44/12</f>
        <v>4.5528956029759834E-12</v>
      </c>
      <c r="EY117" s="22">
        <f t="shared" si="75"/>
        <v>2.8150052600764095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3.4106051316484809E-13</v>
      </c>
      <c r="FF117" s="17">
        <f>FE117*VLOOKUP('Données projet'!$B$16,Paramètres!$A$1:$I$89,3,0)*VLOOKUP('Données projet'!$B$16,Paramètres!$A$1:$I$89,5,0)</f>
        <v>1.8621904018800707E-13</v>
      </c>
      <c r="FG117" s="13">
        <f t="shared" si="101"/>
        <v>2.6022279988572714E-12</v>
      </c>
      <c r="FH117" s="20">
        <f t="shared" si="76"/>
        <v>4.8565452596705266E-12</v>
      </c>
      <c r="FI117" s="59">
        <f t="shared" si="77"/>
        <v>293.33333333333815</v>
      </c>
      <c r="FJ117" s="59">
        <f ca="1">AVERAGE(OFFSET($FI$3,0,0,'Données projet'!$E$16+1,1))-AVERAGE(OFFSET($H$3,0,0,'Données projet'!$E$16+1,1))</f>
        <v>127.76128532861486</v>
      </c>
      <c r="FK117" s="59">
        <f t="shared" si="102"/>
        <v>157.52303491639736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>
        <f>EXP(-LN(2)/35)*FQ116+(1-EXP(-LN(2)/35))/(LN(2)/35)*FM117*FN117*VLOOKUP('Données projet'!$B$16,Paramètres!$A$1:$I$89,3,0)*0.475*44/12</f>
        <v>0.46109274288959179</v>
      </c>
      <c r="FR117" s="21">
        <f>EXP(-LN(2)/25)*FR116+(1-EXP(-LN(2)/25))/(LN(2)/25)*Calculateur!FM117*Calculateur!FO117*VLOOKUP('Données projet'!$B$16,Paramètres!$A$1:$I$89,3,0)*0.475*44/12</f>
        <v>1.5896193992661145</v>
      </c>
      <c r="FS117" s="21">
        <f>EXP(-LN(2)/2)*FS116+(1-EXP(-LN(2)/2))/(LN(2)/2)*FM117*FP117*VLOOKUP('Données projet'!$B$16,Paramètres!$A$1:$I$89,3,0)*0.475*44/12</f>
        <v>3.614643310843179E-12</v>
      </c>
      <c r="FT117" s="22">
        <f t="shared" si="78"/>
        <v>2.0507121421593206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5.3066239316239274</v>
      </c>
      <c r="N118" s="13">
        <f>IF('Données projet'!$A$36&gt;35,N117+M118-V117,IF(A118&lt;'Données projet'!$A$36,$K$205^A118,IF(A118='Données projet'!$A$36,'Données projet'!$B$36,N117+M118-V117)))</f>
        <v>225.22863247863214</v>
      </c>
      <c r="O118" s="13">
        <f>N118*VLOOKUP('Données projet'!$B$9,Paramètres!$A$1:$I$89,3,0)*VLOOKUP('Données projet'!$B$9,Paramètres!$A$1:$I$89,5,0)</f>
        <v>203.78686666666636</v>
      </c>
      <c r="P118" s="13">
        <f t="shared" si="87"/>
        <v>50.57549569083951</v>
      </c>
      <c r="Q118" s="20">
        <f t="shared" si="107"/>
        <v>443.01444777265607</v>
      </c>
      <c r="R118" s="59">
        <f t="shared" si="55"/>
        <v>736.34778110598938</v>
      </c>
      <c r="S118" s="59">
        <f ca="1">AVERAGE(OFFSET($R$3,0,0,'Données projet'!$E$9+1,1))-AVERAGE(OFFSET($H$3,0,0,'Données projet'!$E$9+1,1))</f>
        <v>153.45079678708987</v>
      </c>
      <c r="T118" s="59">
        <f t="shared" si="88"/>
        <v>115.4217868409637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0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4.7948717948717956</v>
      </c>
      <c r="AI118" s="13">
        <f>IF('Données projet'!$A$62&gt;35,AI117+AH118-AQ117,IF(A118&lt;'Données projet'!$A$62,$AF$205^A118,IF(A118='Données projet'!$A$62,'Données projet'!$B$62,AI117+AH118-AQ117)))</f>
        <v>188.36538461538467</v>
      </c>
      <c r="AJ118" s="13">
        <f>AI118*VLOOKUP('Données projet'!$B$10,Paramètres!$A$1:$I$89,3,0)*VLOOKUP('Données projet'!$B$10,Paramètres!$A$1:$I$89,5,0)</f>
        <v>170.43300000000005</v>
      </c>
      <c r="AK118" s="13">
        <f t="shared" si="89"/>
        <v>43.186986819049913</v>
      </c>
      <c r="AL118" s="20">
        <f t="shared" si="58"/>
        <v>372.05481037651202</v>
      </c>
      <c r="AM118" s="59">
        <f t="shared" si="59"/>
        <v>665.38814370984528</v>
      </c>
      <c r="AN118" s="59">
        <f ca="1">AVERAGE(OFFSET($AM$3,0,0,'Données projet'!$E$10+1,1))-AVERAGE(OFFSET($H$3,0,0,'Données projet'!$E$10+1,1))</f>
        <v>123.92486590666675</v>
      </c>
      <c r="AO118" s="59">
        <f t="shared" si="90"/>
        <v>54.404493017418986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0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1.1368683772161603E-13</v>
      </c>
      <c r="BE118" s="13">
        <f>BD118*VLOOKUP('Données projet'!$B$11,Paramètres!$A$1:$I$89,3,0)*VLOOKUP('Données projet'!$B$11,Paramètres!$A$1:$I$89,5,0)</f>
        <v>6.3550942286383367E-14</v>
      </c>
      <c r="BF118" s="13">
        <f t="shared" si="91"/>
        <v>1.0064464192543978E-12</v>
      </c>
      <c r="BG118" s="20">
        <f t="shared" si="61"/>
        <v>1.8635787380168604E-12</v>
      </c>
      <c r="BH118" s="59">
        <f t="shared" si="62"/>
        <v>293.33333333333519</v>
      </c>
      <c r="BI118" s="59">
        <f ca="1">AVERAGE(OFFSET($BH$3,0,0,'Données projet'!$E$11+1,1))-AVERAGE(OFFSET($H$3,0,0,'Données projet'!$E$11+1,1))</f>
        <v>224.7049802939942</v>
      </c>
      <c r="BJ118" s="59">
        <f t="shared" si="92"/>
        <v>203.48513862195352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0.41443647217454227</v>
      </c>
      <c r="BQ118" s="21">
        <f>EXP(-LN(2)/25)*BQ117+(1-EXP(-LN(2)/25))/(LN(2)/25)*Calculateur!BL118*Calculateur!BN118*VLOOKUP('Données projet'!$B$11,Paramètres!$A$1:$I$89,3,0)*0.475*44/12</f>
        <v>1.8496031151003305</v>
      </c>
      <c r="BR118" s="21">
        <f>EXP(-LN(2)/2)*BR117+(1-EXP(-LN(2)/2))/(LN(2)/2)*BL118*BO118*VLOOKUP('Données projet'!$B$11,Paramètres!$A$1:$I$89,3,0)*0.475*44/12</f>
        <v>1.4406646020561057E-12</v>
      </c>
      <c r="BS118" s="22">
        <f t="shared" si="63"/>
        <v>2.2640395872763133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3.4711538461538445</v>
      </c>
      <c r="BY118" s="12">
        <f>IF('Données projet'!$A$114&gt;35,BY117+BX118-CG117,IF(A118&lt;'Données projet'!$A$114,$BV$205^A118,IF(A118='Données projet'!$A$114,'Données projet'!$B$114,BY117+BX118-CG117)))</f>
        <v>374.76730769230818</v>
      </c>
      <c r="BZ118" s="13">
        <f>BY118*VLOOKUP('Données projet'!$B$12,Paramètres!$A$1:$I$89,3,0)*VLOOKUP('Données projet'!$B$12,Paramètres!$A$1:$I$89,5,0)</f>
        <v>209.49492500000028</v>
      </c>
      <c r="CA118" s="13">
        <f t="shared" si="93"/>
        <v>51.825198639866557</v>
      </c>
      <c r="CB118" s="20">
        <f t="shared" si="64"/>
        <v>455.13254867276805</v>
      </c>
      <c r="CC118" s="59">
        <f t="shared" si="65"/>
        <v>748.46588200610131</v>
      </c>
      <c r="CD118" s="59">
        <f ca="1">AVERAGE(OFFSET($CC$3,0,0,'Données projet'!$E$12+1,1))-AVERAGE(OFFSET($H$3,0,0,'Données projet'!$E$12+1,1))</f>
        <v>190.08613104982993</v>
      </c>
      <c r="CE118" s="59">
        <f t="shared" si="94"/>
        <v>180.55054525447781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0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497</v>
      </c>
      <c r="CU118" s="17">
        <f>CT118*VLOOKUP('Données projet'!$B$13,Paramètres!$A$1:$I$89,3,0)*VLOOKUP('Données projet'!$B$13,Paramètres!$A$1:$I$89,5,0)</f>
        <v>297.20600000000002</v>
      </c>
      <c r="CV118" s="13">
        <f t="shared" si="95"/>
        <v>70.590415164571112</v>
      </c>
      <c r="CW118" s="20">
        <f t="shared" si="67"/>
        <v>640.57875641162809</v>
      </c>
      <c r="CX118" s="59">
        <f t="shared" si="68"/>
        <v>933.91208974496135</v>
      </c>
      <c r="CY118" s="59">
        <f ca="1">AVERAGE(OFFSET($CX$3,0,0,'Données projet'!$E$13+1,1))-AVERAGE(OFFSET($H$3,0,0,'Données projet'!$E$13+1,1))</f>
        <v>270.30888762640245</v>
      </c>
      <c r="CZ118" s="59">
        <f t="shared" si="96"/>
        <v>202.23783851977691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0.39785100364008663</v>
      </c>
      <c r="DG118" s="21">
        <f>EXP(-LN(2)/25)*DG117+(1-EXP(-LN(2)/25))/(LN(2)/25)*Calculateur!DB118*Calculateur!DD118*VLOOKUP('Données projet'!$B$13,Paramètres!$A$1:$I$89,3,0)*0.475*44/12</f>
        <v>1.1647531697099585</v>
      </c>
      <c r="DH118" s="21">
        <f>EXP(-LN(2)/2)*DH117+(1-EXP(-LN(2)/2))/(LN(2)/2)*DB118*DE118*VLOOKUP('Données projet'!$B$13,Paramètres!$A$1:$I$89,3,0)*0.475*44/12</f>
        <v>2.9731947809787626E-12</v>
      </c>
      <c r="DI118" s="22">
        <f t="shared" si="69"/>
        <v>1.5626041733530183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433.00000000000011</v>
      </c>
      <c r="DP118" s="17">
        <f>DO118*VLOOKUP('Données projet'!$B$14,Paramètres!$A$1:$I$89,3,0)*VLOOKUP('Données projet'!$B$14,Paramètres!$A$1:$I$89,5,0)</f>
        <v>258.93400000000008</v>
      </c>
      <c r="DQ118" s="13">
        <f t="shared" si="97"/>
        <v>62.495095530116075</v>
      </c>
      <c r="DR118" s="20">
        <f t="shared" si="70"/>
        <v>559.82234138161891</v>
      </c>
      <c r="DS118" s="59">
        <f t="shared" si="71"/>
        <v>853.15567471495228</v>
      </c>
      <c r="DT118" s="59">
        <f ca="1">AVERAGE(OFFSET($DS$3,0,0,'Données projet'!$E$14+1,1))-AVERAGE(OFFSET($H$3,0,0,'Données projet'!$E$14+1,1))</f>
        <v>221.14988592347311</v>
      </c>
      <c r="DU118" s="59">
        <f t="shared" si="98"/>
        <v>179.09262081171607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0.42437440388275888</v>
      </c>
      <c r="EB118" s="21">
        <f>EXP(-LN(2)/25)*EB117+(1-EXP(-LN(2)/25))/(LN(2)/25)*Calculateur!DW118*Calculateur!DY118*VLOOKUP('Données projet'!$B$14,Paramètres!$A$1:$I$89,3,0)*0.475*44/12</f>
        <v>0.97010601764939564</v>
      </c>
      <c r="EC118" s="21">
        <f>EXP(-LN(2)/2)*EC117+(1-EXP(-LN(2)/2))/(LN(2)/2)*DW118*DZ118*VLOOKUP('Données projet'!$B$14,Paramètres!$A$1:$I$89,3,0)*0.475*44/12</f>
        <v>3.1351216363272629E-12</v>
      </c>
      <c r="ED118" s="22">
        <f t="shared" si="72"/>
        <v>1.3944804215352895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2.2737367544323206E-13</v>
      </c>
      <c r="EK118" s="17">
        <f>EJ118*VLOOKUP('Données projet'!$B$15,Paramètres!$A$1:$I$89,3,0)*VLOOKUP('Données projet'!$B$15,Paramètres!$A$1:$I$89,5,0)</f>
        <v>1.2414602679200471E-13</v>
      </c>
      <c r="EL118" s="13">
        <f t="shared" si="99"/>
        <v>1.8186582995804361E-12</v>
      </c>
      <c r="EM118" s="20">
        <f t="shared" si="73"/>
        <v>3.3837175350986671E-12</v>
      </c>
      <c r="EN118" s="59">
        <f t="shared" si="74"/>
        <v>293.33333333333672</v>
      </c>
      <c r="EO118" s="59">
        <f ca="1">AVERAGE(OFFSET($EN$3,0,0,'Données projet'!$E$15+1,1))-AVERAGE(OFFSET($H$3,0,0,'Données projet'!$E$15+1,1))</f>
        <v>168.72306536277267</v>
      </c>
      <c r="EP118" s="59">
        <f t="shared" si="100"/>
        <v>203.35476578922339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0.5650637443004124</v>
      </c>
      <c r="EW118" s="21">
        <f>EXP(-LN(2)/25)*EW117+(1-EXP(-LN(2)/25))/(LN(2)/25)*Calculateur!ER118*Calculateur!ET118*VLOOKUP('Données projet'!$B$15,Paramètres!$A$1:$I$89,3,0)*0.475*44/12</f>
        <v>2.1774236212161711</v>
      </c>
      <c r="EX118" s="21">
        <f>EXP(-LN(2)/2)*EX117+(1-EXP(-LN(2)/2))/(LN(2)/2)*ER118*EU118*VLOOKUP('Données projet'!$B$15,Paramètres!$A$1:$I$89,3,0)*0.475*44/12</f>
        <v>3.2193833548987331E-12</v>
      </c>
      <c r="EY118" s="22">
        <f t="shared" si="75"/>
        <v>2.7424873655198025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3.4106051316484809E-13</v>
      </c>
      <c r="FF118" s="17">
        <f>FE118*VLOOKUP('Données projet'!$B$16,Paramètres!$A$1:$I$89,3,0)*VLOOKUP('Données projet'!$B$16,Paramètres!$A$1:$I$89,5,0)</f>
        <v>1.8621904018800707E-13</v>
      </c>
      <c r="FG118" s="13">
        <f t="shared" si="101"/>
        <v>2.6022279988572714E-12</v>
      </c>
      <c r="FH118" s="20">
        <f t="shared" si="76"/>
        <v>4.8565452596705266E-12</v>
      </c>
      <c r="FI118" s="59">
        <f t="shared" si="77"/>
        <v>293.33333333333815</v>
      </c>
      <c r="FJ118" s="59">
        <f ca="1">AVERAGE(OFFSET($FI$3,0,0,'Données projet'!$E$16+1,1))-AVERAGE(OFFSET($H$3,0,0,'Données projet'!$E$16+1,1))</f>
        <v>127.76128532861486</v>
      </c>
      <c r="FK118" s="59">
        <f t="shared" si="102"/>
        <v>157.52303491639736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>
        <f>EXP(-LN(2)/35)*FQ117+(1-EXP(-LN(2)/35))/(LN(2)/35)*FM118*FN118*VLOOKUP('Données projet'!$B$16,Paramètres!$A$1:$I$89,3,0)*0.475*44/12</f>
        <v>0.45205099544033001</v>
      </c>
      <c r="FR118" s="21">
        <f>EXP(-LN(2)/25)*FR117+(1-EXP(-LN(2)/25))/(LN(2)/25)*Calculateur!FM118*Calculateur!FO118*VLOOKUP('Données projet'!$B$16,Paramètres!$A$1:$I$89,3,0)*0.475*44/12</f>
        <v>1.5461511731987316</v>
      </c>
      <c r="FS118" s="21">
        <f>EXP(-LN(2)/2)*FS117+(1-EXP(-LN(2)/2))/(LN(2)/2)*FM118*FP118*VLOOKUP('Données projet'!$B$16,Paramètres!$A$1:$I$89,3,0)*0.475*44/12</f>
        <v>2.5559387966678057E-12</v>
      </c>
      <c r="FT118" s="22">
        <f t="shared" si="78"/>
        <v>1.9982021686416176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5.3066239316239274</v>
      </c>
      <c r="N119" s="13">
        <f>IF('Données projet'!$A$36&gt;35,N118+M119-V118,IF(A119&lt;'Données projet'!$A$36,$K$205^A119,IF(A119='Données projet'!$A$36,'Données projet'!$B$36,N118+M119-V118)))</f>
        <v>230.53525641025607</v>
      </c>
      <c r="O119" s="13">
        <f>N119*VLOOKUP('Données projet'!$B$9,Paramètres!$A$1:$I$89,3,0)*VLOOKUP('Données projet'!$B$9,Paramètres!$A$1:$I$89,5,0)</f>
        <v>208.58829999999969</v>
      </c>
      <c r="P119" s="13">
        <f t="shared" si="87"/>
        <v>51.626972732243416</v>
      </c>
      <c r="Q119" s="20">
        <f t="shared" si="107"/>
        <v>453.20826667532333</v>
      </c>
      <c r="R119" s="59">
        <f t="shared" si="55"/>
        <v>746.54160000865659</v>
      </c>
      <c r="S119" s="59">
        <f ca="1">AVERAGE(OFFSET($R$3,0,0,'Données projet'!$E$9+1,1))-AVERAGE(OFFSET($H$3,0,0,'Données projet'!$E$9+1,1))</f>
        <v>153.45079678708987</v>
      </c>
      <c r="T119" s="59">
        <f t="shared" si="88"/>
        <v>115.4217868409637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0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4.7948717948717956</v>
      </c>
      <c r="AI119" s="13">
        <f>IF('Données projet'!$A$62&gt;35,AI118+AH119-AQ118,IF(A119&lt;'Données projet'!$A$62,$AF$205^A119,IF(A119='Données projet'!$A$62,'Données projet'!$B$62,AI118+AH119-AQ118)))</f>
        <v>193.16025641025647</v>
      </c>
      <c r="AJ119" s="13">
        <f>AI119*VLOOKUP('Données projet'!$B$10,Paramètres!$A$1:$I$89,3,0)*VLOOKUP('Données projet'!$B$10,Paramètres!$A$1:$I$89,5,0)</f>
        <v>174.77140000000006</v>
      </c>
      <c r="AK119" s="13">
        <f t="shared" si="89"/>
        <v>44.156930809842443</v>
      </c>
      <c r="AL119" s="20">
        <f t="shared" si="58"/>
        <v>381.3001761604757</v>
      </c>
      <c r="AM119" s="59">
        <f t="shared" si="59"/>
        <v>674.63350949380902</v>
      </c>
      <c r="AN119" s="59">
        <f ca="1">AVERAGE(OFFSET($AM$3,0,0,'Données projet'!$E$10+1,1))-AVERAGE(OFFSET($H$3,0,0,'Données projet'!$E$10+1,1))</f>
        <v>123.92486590666675</v>
      </c>
      <c r="AO119" s="59">
        <f t="shared" si="90"/>
        <v>54.404493017418986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0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1.1368683772161603E-13</v>
      </c>
      <c r="BE119" s="13">
        <f>BD119*VLOOKUP('Données projet'!$B$11,Paramètres!$A$1:$I$89,3,0)*VLOOKUP('Données projet'!$B$11,Paramètres!$A$1:$I$89,5,0)</f>
        <v>6.3550942286383367E-14</v>
      </c>
      <c r="BF119" s="13">
        <f t="shared" si="91"/>
        <v>1.0064464192543978E-12</v>
      </c>
      <c r="BG119" s="20">
        <f t="shared" si="61"/>
        <v>1.8635787380168604E-12</v>
      </c>
      <c r="BH119" s="59">
        <f t="shared" si="62"/>
        <v>293.33333333333519</v>
      </c>
      <c r="BI119" s="59">
        <f ca="1">AVERAGE(OFFSET($BH$3,0,0,'Données projet'!$E$11+1,1))-AVERAGE(OFFSET($H$3,0,0,'Données projet'!$E$11+1,1))</f>
        <v>224.7049802939942</v>
      </c>
      <c r="BJ119" s="59">
        <f t="shared" si="92"/>
        <v>203.48513862195352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0.40630962573648743</v>
      </c>
      <c r="BQ119" s="21">
        <f>EXP(-LN(2)/25)*BQ118+(1-EXP(-LN(2)/25))/(LN(2)/25)*Calculateur!BL119*Calculateur!BN119*VLOOKUP('Données projet'!$B$11,Paramètres!$A$1:$I$89,3,0)*0.475*44/12</f>
        <v>1.7990256206515114</v>
      </c>
      <c r="BR119" s="21">
        <f>EXP(-LN(2)/2)*BR118+(1-EXP(-LN(2)/2))/(LN(2)/2)*BL119*BO119*VLOOKUP('Données projet'!$B$11,Paramètres!$A$1:$I$89,3,0)*0.475*44/12</f>
        <v>1.0187037095292913E-12</v>
      </c>
      <c r="BS119" s="22">
        <f t="shared" si="63"/>
        <v>2.2053352463890175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3.4711538461538445</v>
      </c>
      <c r="BY119" s="12">
        <f>IF('Données projet'!$A$114&gt;35,BY118+BX119-CG118,IF(A119&lt;'Données projet'!$A$114,$BV$205^A119,IF(A119='Données projet'!$A$114,'Données projet'!$B$114,BY118+BX119-CG118)))</f>
        <v>378.23846153846205</v>
      </c>
      <c r="BZ119" s="13">
        <f>BY119*VLOOKUP('Données projet'!$B$12,Paramètres!$A$1:$I$89,3,0)*VLOOKUP('Données projet'!$B$12,Paramètres!$A$1:$I$89,5,0)</f>
        <v>211.4353000000003</v>
      </c>
      <c r="CA119" s="13">
        <f t="shared" si="93"/>
        <v>52.249110411761883</v>
      </c>
      <c r="CB119" s="20">
        <f t="shared" si="64"/>
        <v>459.25034813381916</v>
      </c>
      <c r="CC119" s="59">
        <f t="shared" si="65"/>
        <v>752.58368146715247</v>
      </c>
      <c r="CD119" s="59">
        <f ca="1">AVERAGE(OFFSET($CC$3,0,0,'Données projet'!$E$12+1,1))-AVERAGE(OFFSET($H$3,0,0,'Données projet'!$E$12+1,1))</f>
        <v>190.08613104982993</v>
      </c>
      <c r="CE119" s="59">
        <f t="shared" si="94"/>
        <v>180.55054525447781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0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497</v>
      </c>
      <c r="CU119" s="17">
        <f>CT119*VLOOKUP('Données projet'!$B$13,Paramètres!$A$1:$I$89,3,0)*VLOOKUP('Données projet'!$B$13,Paramètres!$A$1:$I$89,5,0)</f>
        <v>297.20600000000002</v>
      </c>
      <c r="CV119" s="13">
        <f t="shared" si="95"/>
        <v>70.590415164571112</v>
      </c>
      <c r="CW119" s="20">
        <f t="shared" si="67"/>
        <v>640.57875641162809</v>
      </c>
      <c r="CX119" s="59">
        <f t="shared" si="68"/>
        <v>933.91208974496135</v>
      </c>
      <c r="CY119" s="59">
        <f ca="1">AVERAGE(OFFSET($CX$3,0,0,'Données projet'!$E$13+1,1))-AVERAGE(OFFSET($H$3,0,0,'Données projet'!$E$13+1,1))</f>
        <v>270.30888762640245</v>
      </c>
      <c r="CZ119" s="59">
        <f t="shared" si="96"/>
        <v>202.23783851977691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0.39004938812385553</v>
      </c>
      <c r="DG119" s="21">
        <f>EXP(-LN(2)/25)*DG118+(1-EXP(-LN(2)/25))/(LN(2)/25)*Calculateur!DB119*Calculateur!DD119*VLOOKUP('Données projet'!$B$13,Paramètres!$A$1:$I$89,3,0)*0.475*44/12</f>
        <v>1.1329029330325324</v>
      </c>
      <c r="DH119" s="21">
        <f>EXP(-LN(2)/2)*DH118+(1-EXP(-LN(2)/2))/(LN(2)/2)*DB119*DE119*VLOOKUP('Données projet'!$B$13,Paramètres!$A$1:$I$89,3,0)*0.475*44/12</f>
        <v>2.102366191418535E-12</v>
      </c>
      <c r="DI119" s="22">
        <f t="shared" si="69"/>
        <v>1.5229523211584903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433.00000000000011</v>
      </c>
      <c r="DP119" s="17">
        <f>DO119*VLOOKUP('Données projet'!$B$14,Paramètres!$A$1:$I$89,3,0)*VLOOKUP('Données projet'!$B$14,Paramètres!$A$1:$I$89,5,0)</f>
        <v>258.93400000000008</v>
      </c>
      <c r="DQ119" s="13">
        <f t="shared" si="97"/>
        <v>62.495095530116075</v>
      </c>
      <c r="DR119" s="20">
        <f t="shared" si="70"/>
        <v>559.82234138161891</v>
      </c>
      <c r="DS119" s="59">
        <f t="shared" si="71"/>
        <v>853.15567471495228</v>
      </c>
      <c r="DT119" s="59">
        <f ca="1">AVERAGE(OFFSET($DS$3,0,0,'Données projet'!$E$14+1,1))-AVERAGE(OFFSET($H$3,0,0,'Données projet'!$E$14+1,1))</f>
        <v>221.14988592347311</v>
      </c>
      <c r="DU119" s="59">
        <f t="shared" si="98"/>
        <v>179.09262081171607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0.41605268066544576</v>
      </c>
      <c r="EB119" s="21">
        <f>EXP(-LN(2)/25)*EB118+(1-EXP(-LN(2)/25))/(LN(2)/25)*Calculateur!DW119*Calculateur!DY119*VLOOKUP('Données projet'!$B$14,Paramètres!$A$1:$I$89,3,0)*0.475*44/12</f>
        <v>0.9435784175811146</v>
      </c>
      <c r="EC119" s="21">
        <f>EXP(-LN(2)/2)*EC118+(1-EXP(-LN(2)/2))/(LN(2)/2)*DW119*DZ119*VLOOKUP('Données projet'!$B$14,Paramètres!$A$1:$I$89,3,0)*0.475*44/12</f>
        <v>2.2168657688916727E-12</v>
      </c>
      <c r="ED119" s="22">
        <f t="shared" si="72"/>
        <v>1.3596310982487774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2.2737367544323206E-13</v>
      </c>
      <c r="EK119" s="17">
        <f>EJ119*VLOOKUP('Données projet'!$B$15,Paramètres!$A$1:$I$89,3,0)*VLOOKUP('Données projet'!$B$15,Paramètres!$A$1:$I$89,5,0)</f>
        <v>1.2414602679200471E-13</v>
      </c>
      <c r="EL119" s="13">
        <f t="shared" si="99"/>
        <v>1.8186582995804361E-12</v>
      </c>
      <c r="EM119" s="20">
        <f t="shared" si="73"/>
        <v>3.3837175350986671E-12</v>
      </c>
      <c r="EN119" s="59">
        <f t="shared" si="74"/>
        <v>293.33333333333672</v>
      </c>
      <c r="EO119" s="59">
        <f ca="1">AVERAGE(OFFSET($EN$3,0,0,'Données projet'!$E$15+1,1))-AVERAGE(OFFSET($H$3,0,0,'Données projet'!$E$15+1,1))</f>
        <v>168.72306536277267</v>
      </c>
      <c r="EP119" s="59">
        <f t="shared" si="100"/>
        <v>203.35476578922339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0.55398318892953347</v>
      </c>
      <c r="EW119" s="21">
        <f>EXP(-LN(2)/25)*EW118+(1-EXP(-LN(2)/25))/(LN(2)/25)*Calculateur!ER119*Calculateur!ET119*VLOOKUP('Données projet'!$B$15,Paramètres!$A$1:$I$89,3,0)*0.475*44/12</f>
        <v>2.1178818577882832</v>
      </c>
      <c r="EX119" s="21">
        <f>EXP(-LN(2)/2)*EX118+(1-EXP(-LN(2)/2))/(LN(2)/2)*ER119*EU119*VLOOKUP('Données projet'!$B$15,Paramètres!$A$1:$I$89,3,0)*0.475*44/12</f>
        <v>2.2764478014879917E-12</v>
      </c>
      <c r="EY119" s="22">
        <f t="shared" si="75"/>
        <v>2.6718650467200931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3.4106051316484809E-13</v>
      </c>
      <c r="FF119" s="17">
        <f>FE119*VLOOKUP('Données projet'!$B$16,Paramètres!$A$1:$I$89,3,0)*VLOOKUP('Données projet'!$B$16,Paramètres!$A$1:$I$89,5,0)</f>
        <v>1.8621904018800707E-13</v>
      </c>
      <c r="FG119" s="13">
        <f t="shared" si="101"/>
        <v>2.6022279988572714E-12</v>
      </c>
      <c r="FH119" s="20">
        <f t="shared" si="76"/>
        <v>4.8565452596705266E-12</v>
      </c>
      <c r="FI119" s="59">
        <f t="shared" si="77"/>
        <v>293.33333333333815</v>
      </c>
      <c r="FJ119" s="59">
        <f ca="1">AVERAGE(OFFSET($FI$3,0,0,'Données projet'!$E$16+1,1))-AVERAGE(OFFSET($H$3,0,0,'Données projet'!$E$16+1,1))</f>
        <v>127.76128532861486</v>
      </c>
      <c r="FK119" s="59">
        <f t="shared" si="102"/>
        <v>157.52303491639736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>
        <f>EXP(-LN(2)/35)*FQ118+(1-EXP(-LN(2)/35))/(LN(2)/35)*FM119*FN119*VLOOKUP('Données projet'!$B$16,Paramètres!$A$1:$I$89,3,0)*0.475*44/12</f>
        <v>0.44318655114362687</v>
      </c>
      <c r="FR119" s="21">
        <f>EXP(-LN(2)/25)*FR118+(1-EXP(-LN(2)/25))/(LN(2)/25)*Calculateur!FM119*Calculateur!FO119*VLOOKUP('Données projet'!$B$16,Paramètres!$A$1:$I$89,3,0)*0.475*44/12</f>
        <v>1.5038715880590559</v>
      </c>
      <c r="FS119" s="21">
        <f>EXP(-LN(2)/2)*FS118+(1-EXP(-LN(2)/2))/(LN(2)/2)*FM119*FP119*VLOOKUP('Données projet'!$B$16,Paramètres!$A$1:$I$89,3,0)*0.475*44/12</f>
        <v>1.8073216554215899E-12</v>
      </c>
      <c r="FT119" s="22">
        <f t="shared" si="78"/>
        <v>1.9470581392044899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5.3066239316239274</v>
      </c>
      <c r="N120" s="13">
        <f>IF('Données projet'!$A$36&gt;35,N119+M120-V119,IF(A120&lt;'Données projet'!$A$36,$K$205^A120,IF(A120='Données projet'!$A$36,'Données projet'!$B$36,N119+M120-V119)))</f>
        <v>235.84188034188</v>
      </c>
      <c r="O120" s="13">
        <f>N120*VLOOKUP('Données projet'!$B$9,Paramètres!$A$1:$I$89,3,0)*VLOOKUP('Données projet'!$B$9,Paramètres!$A$1:$I$89,5,0)</f>
        <v>213.389733333333</v>
      </c>
      <c r="P120" s="13">
        <f t="shared" si="87"/>
        <v>52.675635977819994</v>
      </c>
      <c r="Q120" s="20">
        <f t="shared" si="107"/>
        <v>463.39718488359148</v>
      </c>
      <c r="R120" s="59">
        <f t="shared" si="55"/>
        <v>756.73051821692479</v>
      </c>
      <c r="S120" s="59">
        <f ca="1">AVERAGE(OFFSET($R$3,0,0,'Données projet'!$E$9+1,1))-AVERAGE(OFFSET($H$3,0,0,'Données projet'!$E$9+1,1))</f>
        <v>153.45079678708987</v>
      </c>
      <c r="T120" s="59">
        <f t="shared" si="88"/>
        <v>115.4217868409637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0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4.7948717948717956</v>
      </c>
      <c r="AI120" s="13">
        <f>IF('Données projet'!$A$62&gt;35,AI119+AH120-AQ119,IF(A120&lt;'Données projet'!$A$62,$AF$205^A120,IF(A120='Données projet'!$A$62,'Données projet'!$B$62,AI119+AH120-AQ119)))</f>
        <v>197.95512820512826</v>
      </c>
      <c r="AJ120" s="13">
        <f>AI120*VLOOKUP('Données projet'!$B$10,Paramètres!$A$1:$I$89,3,0)*VLOOKUP('Données projet'!$B$10,Paramètres!$A$1:$I$89,5,0)</f>
        <v>179.10980000000004</v>
      </c>
      <c r="AK120" s="13">
        <f t="shared" si="89"/>
        <v>45.124075956448941</v>
      </c>
      <c r="AL120" s="20">
        <f t="shared" si="58"/>
        <v>390.54066729081529</v>
      </c>
      <c r="AM120" s="59">
        <f t="shared" si="59"/>
        <v>683.87400062414861</v>
      </c>
      <c r="AN120" s="59">
        <f ca="1">AVERAGE(OFFSET($AM$3,0,0,'Données projet'!$E$10+1,1))-AVERAGE(OFFSET($H$3,0,0,'Données projet'!$E$10+1,1))</f>
        <v>123.92486590666675</v>
      </c>
      <c r="AO120" s="59">
        <f t="shared" si="90"/>
        <v>54.404493017418986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0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1.1368683772161603E-13</v>
      </c>
      <c r="BE120" s="13">
        <f>BD120*VLOOKUP('Données projet'!$B$11,Paramètres!$A$1:$I$89,3,0)*VLOOKUP('Données projet'!$B$11,Paramètres!$A$1:$I$89,5,0)</f>
        <v>6.3550942286383367E-14</v>
      </c>
      <c r="BF120" s="13">
        <f t="shared" si="91"/>
        <v>1.0064464192543978E-12</v>
      </c>
      <c r="BG120" s="20">
        <f t="shared" si="61"/>
        <v>1.8635787380168604E-12</v>
      </c>
      <c r="BH120" s="59">
        <f t="shared" si="62"/>
        <v>293.33333333333519</v>
      </c>
      <c r="BI120" s="59">
        <f ca="1">AVERAGE(OFFSET($BH$3,0,0,'Données projet'!$E$11+1,1))-AVERAGE(OFFSET($H$3,0,0,'Données projet'!$E$11+1,1))</f>
        <v>224.7049802939942</v>
      </c>
      <c r="BJ120" s="59">
        <f t="shared" si="92"/>
        <v>203.48513862195352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0.398342141800196</v>
      </c>
      <c r="BQ120" s="21">
        <f>EXP(-LN(2)/25)*BQ119+(1-EXP(-LN(2)/25))/(LN(2)/25)*Calculateur!BL120*Calculateur!BN120*VLOOKUP('Données projet'!$B$11,Paramètres!$A$1:$I$89,3,0)*0.475*44/12</f>
        <v>1.7498311704481502</v>
      </c>
      <c r="BR120" s="21">
        <f>EXP(-LN(2)/2)*BR119+(1-EXP(-LN(2)/2))/(LN(2)/2)*BL120*BO120*VLOOKUP('Données projet'!$B$11,Paramètres!$A$1:$I$89,3,0)*0.475*44/12</f>
        <v>7.2033230102805286E-13</v>
      </c>
      <c r="BS120" s="22">
        <f t="shared" si="63"/>
        <v>2.1481733122490665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3.4711538461538445</v>
      </c>
      <c r="BY120" s="12">
        <f>IF('Données projet'!$A$114&gt;35,BY119+BX120-CG119,IF(A120&lt;'Données projet'!$A$114,$BV$205^A120,IF(A120='Données projet'!$A$114,'Données projet'!$B$114,BY119+BX120-CG119)))</f>
        <v>381.70961538461592</v>
      </c>
      <c r="BZ120" s="13">
        <f>BY120*VLOOKUP('Données projet'!$B$12,Paramètres!$A$1:$I$89,3,0)*VLOOKUP('Données projet'!$B$12,Paramètres!$A$1:$I$89,5,0)</f>
        <v>213.37567500000029</v>
      </c>
      <c r="CA120" s="13">
        <f t="shared" si="93"/>
        <v>52.672569587212166</v>
      </c>
      <c r="CB120" s="20">
        <f t="shared" si="64"/>
        <v>463.36735932272836</v>
      </c>
      <c r="CC120" s="59">
        <f t="shared" si="65"/>
        <v>756.70069265606162</v>
      </c>
      <c r="CD120" s="59">
        <f ca="1">AVERAGE(OFFSET($CC$3,0,0,'Données projet'!$E$12+1,1))-AVERAGE(OFFSET($H$3,0,0,'Données projet'!$E$12+1,1))</f>
        <v>190.08613104982993</v>
      </c>
      <c r="CE120" s="59">
        <f t="shared" si="94"/>
        <v>180.55054525447781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0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497</v>
      </c>
      <c r="CU120" s="17">
        <f>CT120*VLOOKUP('Données projet'!$B$13,Paramètres!$A$1:$I$89,3,0)*VLOOKUP('Données projet'!$B$13,Paramètres!$A$1:$I$89,5,0)</f>
        <v>297.20600000000002</v>
      </c>
      <c r="CV120" s="13">
        <f t="shared" si="95"/>
        <v>70.590415164571112</v>
      </c>
      <c r="CW120" s="20">
        <f t="shared" si="67"/>
        <v>640.57875641162809</v>
      </c>
      <c r="CX120" s="59">
        <f t="shared" si="68"/>
        <v>933.91208974496135</v>
      </c>
      <c r="CY120" s="59">
        <f ca="1">AVERAGE(OFFSET($CX$3,0,0,'Données projet'!$E$13+1,1))-AVERAGE(OFFSET($H$3,0,0,'Données projet'!$E$13+1,1))</f>
        <v>270.30888762640245</v>
      </c>
      <c r="CZ120" s="59">
        <f t="shared" si="96"/>
        <v>202.23783851977691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0.38240075752938213</v>
      </c>
      <c r="DG120" s="21">
        <f>EXP(-LN(2)/25)*DG119+(1-EXP(-LN(2)/25))/(LN(2)/25)*Calculateur!DB120*Calculateur!DD120*VLOOKUP('Données projet'!$B$13,Paramètres!$A$1:$I$89,3,0)*0.475*44/12</f>
        <v>1.1019236427519818</v>
      </c>
      <c r="DH120" s="21">
        <f>EXP(-LN(2)/2)*DH119+(1-EXP(-LN(2)/2))/(LN(2)/2)*DB120*DE120*VLOOKUP('Données projet'!$B$13,Paramètres!$A$1:$I$89,3,0)*0.475*44/12</f>
        <v>1.4865973904893813E-12</v>
      </c>
      <c r="DI120" s="22">
        <f t="shared" si="69"/>
        <v>1.4843244002828506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433.00000000000011</v>
      </c>
      <c r="DP120" s="17">
        <f>DO120*VLOOKUP('Données projet'!$B$14,Paramètres!$A$1:$I$89,3,0)*VLOOKUP('Données projet'!$B$14,Paramètres!$A$1:$I$89,5,0)</f>
        <v>258.93400000000008</v>
      </c>
      <c r="DQ120" s="13">
        <f t="shared" si="97"/>
        <v>62.495095530116075</v>
      </c>
      <c r="DR120" s="20">
        <f t="shared" si="70"/>
        <v>559.82234138161891</v>
      </c>
      <c r="DS120" s="59">
        <f t="shared" si="71"/>
        <v>853.15567471495228</v>
      </c>
      <c r="DT120" s="59">
        <f ca="1">AVERAGE(OFFSET($DS$3,0,0,'Données projet'!$E$14+1,1))-AVERAGE(OFFSET($H$3,0,0,'Données projet'!$E$14+1,1))</f>
        <v>221.14988592347311</v>
      </c>
      <c r="DU120" s="59">
        <f t="shared" si="98"/>
        <v>179.09262081171607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0.40789414136467417</v>
      </c>
      <c r="EB120" s="21">
        <f>EXP(-LN(2)/25)*EB119+(1-EXP(-LN(2)/25))/(LN(2)/25)*Calculateur!DW120*Calculateur!DY120*VLOOKUP('Données projet'!$B$14,Paramètres!$A$1:$I$89,3,0)*0.475*44/12</f>
        <v>0.91777621613172666</v>
      </c>
      <c r="EC120" s="21">
        <f>EXP(-LN(2)/2)*EC119+(1-EXP(-LN(2)/2))/(LN(2)/2)*DW120*DZ120*VLOOKUP('Données projet'!$B$14,Paramètres!$A$1:$I$89,3,0)*0.475*44/12</f>
        <v>1.5675608181636314E-12</v>
      </c>
      <c r="ED120" s="22">
        <f t="shared" si="72"/>
        <v>1.3256703574979685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2.2737367544323206E-13</v>
      </c>
      <c r="EK120" s="17">
        <f>EJ120*VLOOKUP('Données projet'!$B$15,Paramètres!$A$1:$I$89,3,0)*VLOOKUP('Données projet'!$B$15,Paramètres!$A$1:$I$89,5,0)</f>
        <v>1.2414602679200471E-13</v>
      </c>
      <c r="EL120" s="13">
        <f t="shared" si="99"/>
        <v>1.8186582995804361E-12</v>
      </c>
      <c r="EM120" s="20">
        <f t="shared" si="73"/>
        <v>3.3837175350986671E-12</v>
      </c>
      <c r="EN120" s="59">
        <f t="shared" si="74"/>
        <v>293.33333333333672</v>
      </c>
      <c r="EO120" s="59">
        <f ca="1">AVERAGE(OFFSET($EN$3,0,0,'Données projet'!$E$15+1,1))-AVERAGE(OFFSET($H$3,0,0,'Données projet'!$E$15+1,1))</f>
        <v>168.72306536277267</v>
      </c>
      <c r="EP120" s="59">
        <f t="shared" si="100"/>
        <v>203.35476578922339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0.54311991649100611</v>
      </c>
      <c r="EW120" s="21">
        <f>EXP(-LN(2)/25)*EW119+(1-EXP(-LN(2)/25))/(LN(2)/25)*Calculateur!ER120*Calculateur!ET120*VLOOKUP('Données projet'!$B$15,Paramètres!$A$1:$I$89,3,0)*0.475*44/12</f>
        <v>2.0599682670124961</v>
      </c>
      <c r="EX120" s="21">
        <f>EXP(-LN(2)/2)*EX119+(1-EXP(-LN(2)/2))/(LN(2)/2)*ER120*EU120*VLOOKUP('Données projet'!$B$15,Paramètres!$A$1:$I$89,3,0)*0.475*44/12</f>
        <v>1.6096916774493665E-12</v>
      </c>
      <c r="EY120" s="22">
        <f t="shared" si="75"/>
        <v>2.6030881835051121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3.4106051316484809E-13</v>
      </c>
      <c r="FF120" s="17">
        <f>FE120*VLOOKUP('Données projet'!$B$16,Paramètres!$A$1:$I$89,3,0)*VLOOKUP('Données projet'!$B$16,Paramètres!$A$1:$I$89,5,0)</f>
        <v>1.8621904018800707E-13</v>
      </c>
      <c r="FG120" s="13">
        <f t="shared" si="101"/>
        <v>2.6022279988572714E-12</v>
      </c>
      <c r="FH120" s="20">
        <f t="shared" si="76"/>
        <v>4.8565452596705266E-12</v>
      </c>
      <c r="FI120" s="59">
        <f t="shared" si="77"/>
        <v>293.33333333333815</v>
      </c>
      <c r="FJ120" s="59">
        <f ca="1">AVERAGE(OFFSET($FI$3,0,0,'Données projet'!$E$16+1,1))-AVERAGE(OFFSET($H$3,0,0,'Données projet'!$E$16+1,1))</f>
        <v>127.76128532861486</v>
      </c>
      <c r="FK120" s="59">
        <f t="shared" si="102"/>
        <v>157.52303491639736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>
        <f>EXP(-LN(2)/35)*FQ119+(1-EXP(-LN(2)/35))/(LN(2)/35)*FM120*FN120*VLOOKUP('Données projet'!$B$16,Paramètres!$A$1:$I$89,3,0)*0.475*44/12</f>
        <v>0.43449593319280494</v>
      </c>
      <c r="FR120" s="21">
        <f>EXP(-LN(2)/25)*FR119+(1-EXP(-LN(2)/25))/(LN(2)/25)*Calculateur!FM120*Calculateur!FO120*VLOOKUP('Données projet'!$B$16,Paramètres!$A$1:$I$89,3,0)*0.475*44/12</f>
        <v>1.4627481403984113</v>
      </c>
      <c r="FS120" s="21">
        <f>EXP(-LN(2)/2)*FS119+(1-EXP(-LN(2)/2))/(LN(2)/2)*FM120*FP120*VLOOKUP('Données projet'!$B$16,Paramètres!$A$1:$I$89,3,0)*0.475*44/12</f>
        <v>1.2779693983339031E-12</v>
      </c>
      <c r="FT120" s="22">
        <f t="shared" si="78"/>
        <v>1.897244073592494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5.3066239316239274</v>
      </c>
      <c r="N121" s="13">
        <f>IF('Données projet'!$A$36&gt;35,N120+M121-V120,IF(A121&lt;'Données projet'!$A$36,$K$205^A121,IF(A121='Données projet'!$A$36,'Données projet'!$B$36,N120+M121-V120)))</f>
        <v>241.14850427350393</v>
      </c>
      <c r="O121" s="13">
        <f>N121*VLOOKUP('Données projet'!$B$9,Paramètres!$A$1:$I$89,3,0)*VLOOKUP('Données projet'!$B$9,Paramètres!$A$1:$I$89,5,0)</f>
        <v>218.19116666666633</v>
      </c>
      <c r="P121" s="13">
        <f t="shared" si="87"/>
        <v>53.721556029282723</v>
      </c>
      <c r="Q121" s="20">
        <f t="shared" si="107"/>
        <v>473.58132536211127</v>
      </c>
      <c r="R121" s="59">
        <f t="shared" si="55"/>
        <v>766.91465869544459</v>
      </c>
      <c r="S121" s="59">
        <f ca="1">AVERAGE(OFFSET($R$3,0,0,'Données projet'!$E$9+1,1))-AVERAGE(OFFSET($H$3,0,0,'Données projet'!$E$9+1,1))</f>
        <v>153.45079678708987</v>
      </c>
      <c r="T121" s="59">
        <f t="shared" si="88"/>
        <v>115.4217868409637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0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4.7948717948717956</v>
      </c>
      <c r="AI121" s="13">
        <f>IF('Données projet'!$A$62&gt;35,AI120+AH121-AQ120,IF(A121&lt;'Données projet'!$A$62,$AF$205^A121,IF(A121='Données projet'!$A$62,'Données projet'!$B$62,AI120+AH121-AQ120)))</f>
        <v>202.75000000000006</v>
      </c>
      <c r="AJ121" s="13">
        <f>AI121*VLOOKUP('Données projet'!$B$10,Paramètres!$A$1:$I$89,3,0)*VLOOKUP('Données projet'!$B$10,Paramètres!$A$1:$I$89,5,0)</f>
        <v>183.44820000000004</v>
      </c>
      <c r="AK121" s="13">
        <f t="shared" si="89"/>
        <v>46.088497852045094</v>
      </c>
      <c r="AL121" s="20">
        <f t="shared" si="58"/>
        <v>399.77641542564533</v>
      </c>
      <c r="AM121" s="59">
        <f t="shared" si="59"/>
        <v>693.10974875897864</v>
      </c>
      <c r="AN121" s="59">
        <f ca="1">AVERAGE(OFFSET($AM$3,0,0,'Données projet'!$E$10+1,1))-AVERAGE(OFFSET($H$3,0,0,'Données projet'!$E$10+1,1))</f>
        <v>123.92486590666675</v>
      </c>
      <c r="AO121" s="59">
        <f t="shared" si="90"/>
        <v>54.404493017418986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0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1.1368683772161603E-13</v>
      </c>
      <c r="BE121" s="13">
        <f>BD121*VLOOKUP('Données projet'!$B$11,Paramètres!$A$1:$I$89,3,0)*VLOOKUP('Données projet'!$B$11,Paramètres!$A$1:$I$89,5,0)</f>
        <v>6.3550942286383367E-14</v>
      </c>
      <c r="BF121" s="13">
        <f t="shared" si="91"/>
        <v>1.0064464192543978E-12</v>
      </c>
      <c r="BG121" s="20">
        <f t="shared" si="61"/>
        <v>1.8635787380168604E-12</v>
      </c>
      <c r="BH121" s="59">
        <f t="shared" si="62"/>
        <v>293.33333333333519</v>
      </c>
      <c r="BI121" s="59">
        <f ca="1">AVERAGE(OFFSET($BH$3,0,0,'Données projet'!$E$11+1,1))-AVERAGE(OFFSET($H$3,0,0,'Données projet'!$E$11+1,1))</f>
        <v>224.7049802939942</v>
      </c>
      <c r="BJ121" s="59">
        <f t="shared" si="92"/>
        <v>203.48513862195352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0.39053089536420987</v>
      </c>
      <c r="BQ121" s="21">
        <f>EXP(-LN(2)/25)*BQ120+(1-EXP(-LN(2)/25))/(LN(2)/25)*Calculateur!BL121*Calculateur!BN121*VLOOKUP('Données projet'!$B$11,Paramètres!$A$1:$I$89,3,0)*0.475*44/12</f>
        <v>1.7019819450726235</v>
      </c>
      <c r="BR121" s="21">
        <f>EXP(-LN(2)/2)*BR120+(1-EXP(-LN(2)/2))/(LN(2)/2)*BL121*BO121*VLOOKUP('Données projet'!$B$11,Paramètres!$A$1:$I$89,3,0)*0.475*44/12</f>
        <v>5.0935185476464565E-13</v>
      </c>
      <c r="BS121" s="22">
        <f t="shared" si="63"/>
        <v>2.0925128404373425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3.4711538461538445</v>
      </c>
      <c r="BY121" s="12">
        <f>IF('Données projet'!$A$114&gt;35,BY120+BX121-CG120,IF(A121&lt;'Données projet'!$A$114,$BV$205^A121,IF(A121='Données projet'!$A$114,'Données projet'!$B$114,BY120+BX121-CG120)))</f>
        <v>385.18076923076978</v>
      </c>
      <c r="BZ121" s="13">
        <f>BY121*VLOOKUP('Données projet'!$B$12,Paramètres!$A$1:$I$89,3,0)*VLOOKUP('Données projet'!$B$12,Paramètres!$A$1:$I$89,5,0)</f>
        <v>215.3160500000003</v>
      </c>
      <c r="CA121" s="13">
        <f t="shared" si="93"/>
        <v>53.095580758767674</v>
      </c>
      <c r="CB121" s="20">
        <f t="shared" si="64"/>
        <v>467.48359023818756</v>
      </c>
      <c r="CC121" s="59">
        <f t="shared" si="65"/>
        <v>760.81692357152087</v>
      </c>
      <c r="CD121" s="59">
        <f ca="1">AVERAGE(OFFSET($CC$3,0,0,'Données projet'!$E$12+1,1))-AVERAGE(OFFSET($H$3,0,0,'Données projet'!$E$12+1,1))</f>
        <v>190.08613104982993</v>
      </c>
      <c r="CE121" s="59">
        <f t="shared" si="94"/>
        <v>180.55054525447781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0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497</v>
      </c>
      <c r="CU121" s="17">
        <f>CT121*VLOOKUP('Données projet'!$B$13,Paramètres!$A$1:$I$89,3,0)*VLOOKUP('Données projet'!$B$13,Paramètres!$A$1:$I$89,5,0)</f>
        <v>297.20600000000002</v>
      </c>
      <c r="CV121" s="13">
        <f t="shared" si="95"/>
        <v>70.590415164571112</v>
      </c>
      <c r="CW121" s="20">
        <f t="shared" si="67"/>
        <v>640.57875641162809</v>
      </c>
      <c r="CX121" s="59">
        <f t="shared" si="68"/>
        <v>933.91208974496135</v>
      </c>
      <c r="CY121" s="59">
        <f ca="1">AVERAGE(OFFSET($CX$3,0,0,'Données projet'!$E$13+1,1))-AVERAGE(OFFSET($H$3,0,0,'Données projet'!$E$13+1,1))</f>
        <v>270.30888762640245</v>
      </c>
      <c r="CZ121" s="59">
        <f t="shared" si="96"/>
        <v>202.23783851977691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0.37490211191566236</v>
      </c>
      <c r="DG121" s="21">
        <f>EXP(-LN(2)/25)*DG120+(1-EXP(-LN(2)/25))/(LN(2)/25)*Calculateur!DB121*Calculateur!DD121*VLOOKUP('Données projet'!$B$13,Paramètres!$A$1:$I$89,3,0)*0.475*44/12</f>
        <v>1.0717914827932831</v>
      </c>
      <c r="DH121" s="21">
        <f>EXP(-LN(2)/2)*DH120+(1-EXP(-LN(2)/2))/(LN(2)/2)*DB121*DE121*VLOOKUP('Données projet'!$B$13,Paramètres!$A$1:$I$89,3,0)*0.475*44/12</f>
        <v>1.0511830957092675E-12</v>
      </c>
      <c r="DI121" s="22">
        <f t="shared" si="69"/>
        <v>1.4466935947099966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433.00000000000011</v>
      </c>
      <c r="DP121" s="17">
        <f>DO121*VLOOKUP('Données projet'!$B$14,Paramètres!$A$1:$I$89,3,0)*VLOOKUP('Données projet'!$B$14,Paramètres!$A$1:$I$89,5,0)</f>
        <v>258.93400000000008</v>
      </c>
      <c r="DQ121" s="13">
        <f t="shared" si="97"/>
        <v>62.495095530116075</v>
      </c>
      <c r="DR121" s="20">
        <f t="shared" si="70"/>
        <v>559.82234138161891</v>
      </c>
      <c r="DS121" s="59">
        <f t="shared" si="71"/>
        <v>853.15567471495228</v>
      </c>
      <c r="DT121" s="59">
        <f ca="1">AVERAGE(OFFSET($DS$3,0,0,'Données projet'!$E$14+1,1))-AVERAGE(OFFSET($H$3,0,0,'Données projet'!$E$14+1,1))</f>
        <v>221.14988592347311</v>
      </c>
      <c r="DU121" s="59">
        <f t="shared" si="98"/>
        <v>179.09262081171607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0.39989558604337311</v>
      </c>
      <c r="EB121" s="21">
        <f>EXP(-LN(2)/25)*EB120+(1-EXP(-LN(2)/25))/(LN(2)/25)*Calculateur!DW121*Calculateur!DY121*VLOOKUP('Données projet'!$B$14,Paramètres!$A$1:$I$89,3,0)*0.475*44/12</f>
        <v>0.89267957723785096</v>
      </c>
      <c r="EC121" s="21">
        <f>EXP(-LN(2)/2)*EC120+(1-EXP(-LN(2)/2))/(LN(2)/2)*DW121*DZ121*VLOOKUP('Données projet'!$B$14,Paramètres!$A$1:$I$89,3,0)*0.475*44/12</f>
        <v>1.1084328844458363E-12</v>
      </c>
      <c r="ED121" s="22">
        <f t="shared" si="72"/>
        <v>1.2925751632823326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2.2737367544323206E-13</v>
      </c>
      <c r="EK121" s="17">
        <f>EJ121*VLOOKUP('Données projet'!$B$15,Paramètres!$A$1:$I$89,3,0)*VLOOKUP('Données projet'!$B$15,Paramètres!$A$1:$I$89,5,0)</f>
        <v>1.2414602679200471E-13</v>
      </c>
      <c r="EL121" s="13">
        <f t="shared" si="99"/>
        <v>1.8186582995804361E-12</v>
      </c>
      <c r="EM121" s="20">
        <f t="shared" si="73"/>
        <v>3.3837175350986671E-12</v>
      </c>
      <c r="EN121" s="59">
        <f t="shared" si="74"/>
        <v>293.33333333333672</v>
      </c>
      <c r="EO121" s="59">
        <f ca="1">AVERAGE(OFFSET($EN$3,0,0,'Données projet'!$E$15+1,1))-AVERAGE(OFFSET($H$3,0,0,'Données projet'!$E$15+1,1))</f>
        <v>168.72306536277267</v>
      </c>
      <c r="EP121" s="59">
        <f t="shared" si="100"/>
        <v>203.35476578922339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0.53246966619905634</v>
      </c>
      <c r="EW121" s="21">
        <f>EXP(-LN(2)/25)*EW120+(1-EXP(-LN(2)/25))/(LN(2)/25)*Calculateur!ER121*Calculateur!ET121*VLOOKUP('Données projet'!$B$15,Paramètres!$A$1:$I$89,3,0)*0.475*44/12</f>
        <v>2.0036383264220166</v>
      </c>
      <c r="EX121" s="21">
        <f>EXP(-LN(2)/2)*EX120+(1-EXP(-LN(2)/2))/(LN(2)/2)*ER121*EU121*VLOOKUP('Données projet'!$B$15,Paramètres!$A$1:$I$89,3,0)*0.475*44/12</f>
        <v>1.1382239007439958E-12</v>
      </c>
      <c r="EY121" s="22">
        <f t="shared" si="75"/>
        <v>2.536107992622211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3.4106051316484809E-13</v>
      </c>
      <c r="FF121" s="17">
        <f>FE121*VLOOKUP('Données projet'!$B$16,Paramètres!$A$1:$I$89,3,0)*VLOOKUP('Données projet'!$B$16,Paramètres!$A$1:$I$89,5,0)</f>
        <v>1.8621904018800707E-13</v>
      </c>
      <c r="FG121" s="13">
        <f t="shared" si="101"/>
        <v>2.6022279988572714E-12</v>
      </c>
      <c r="FH121" s="20">
        <f t="shared" si="76"/>
        <v>4.8565452596705266E-12</v>
      </c>
      <c r="FI121" s="59">
        <f t="shared" si="77"/>
        <v>293.33333333333815</v>
      </c>
      <c r="FJ121" s="59">
        <f ca="1">AVERAGE(OFFSET($FI$3,0,0,'Données projet'!$E$16+1,1))-AVERAGE(OFFSET($H$3,0,0,'Données projet'!$E$16+1,1))</f>
        <v>127.76128532861486</v>
      </c>
      <c r="FK121" s="59">
        <f t="shared" si="102"/>
        <v>157.52303491639736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>
        <f>EXP(-LN(2)/35)*FQ120+(1-EXP(-LN(2)/35))/(LN(2)/35)*FM121*FN121*VLOOKUP('Données projet'!$B$16,Paramètres!$A$1:$I$89,3,0)*0.475*44/12</f>
        <v>0.42597573295924507</v>
      </c>
      <c r="FR121" s="21">
        <f>EXP(-LN(2)/25)*FR120+(1-EXP(-LN(2)/25))/(LN(2)/25)*Calculateur!FM121*Calculateur!FO121*VLOOKUP('Données projet'!$B$16,Paramètres!$A$1:$I$89,3,0)*0.475*44/12</f>
        <v>1.4227492155766353</v>
      </c>
      <c r="FS121" s="21">
        <f>EXP(-LN(2)/2)*FS120+(1-EXP(-LN(2)/2))/(LN(2)/2)*FM121*FP121*VLOOKUP('Données projet'!$B$16,Paramètres!$A$1:$I$89,3,0)*0.475*44/12</f>
        <v>9.0366082771079505E-13</v>
      </c>
      <c r="FT121" s="22">
        <f t="shared" si="78"/>
        <v>1.848724948536784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5.3066239316239274</v>
      </c>
      <c r="N122" s="13">
        <f>IF('Données projet'!$A$36&gt;35,N121+M122-V121,IF(A122&lt;'Données projet'!$A$36,$K$205^A122,IF(A122='Données projet'!$A$36,'Données projet'!$B$36,N121+M122-V121)))</f>
        <v>246.45512820512786</v>
      </c>
      <c r="O122" s="13">
        <f>N122*VLOOKUP('Données projet'!$B$9,Paramètres!$A$1:$I$89,3,0)*VLOOKUP('Données projet'!$B$9,Paramètres!$A$1:$I$89,5,0)</f>
        <v>222.99259999999967</v>
      </c>
      <c r="P122" s="13">
        <f t="shared" si="87"/>
        <v>54.764800203643112</v>
      </c>
      <c r="Q122" s="20">
        <f t="shared" si="107"/>
        <v>483.76080535467781</v>
      </c>
      <c r="R122" s="59">
        <f t="shared" si="55"/>
        <v>777.09413868801107</v>
      </c>
      <c r="S122" s="59">
        <f ca="1">AVERAGE(OFFSET($R$3,0,0,'Données projet'!$E$9+1,1))-AVERAGE(OFFSET($H$3,0,0,'Données projet'!$E$9+1,1))</f>
        <v>153.45079678708987</v>
      </c>
      <c r="T122" s="59">
        <f t="shared" si="88"/>
        <v>115.4217868409637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0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4.7948717948717956</v>
      </c>
      <c r="AI122" s="13">
        <f>IF('Données projet'!$A$62&gt;35,AI121+AH122-AQ121,IF(A122&lt;'Données projet'!$A$62,$AF$205^A122,IF(A122='Données projet'!$A$62,'Données projet'!$B$62,AI121+AH122-AQ121)))</f>
        <v>207.54487179487185</v>
      </c>
      <c r="AJ122" s="13">
        <f>AI122*VLOOKUP('Données projet'!$B$10,Paramètres!$A$1:$I$89,3,0)*VLOOKUP('Données projet'!$B$10,Paramètres!$A$1:$I$89,5,0)</f>
        <v>187.78660000000005</v>
      </c>
      <c r="AK122" s="13">
        <f t="shared" si="89"/>
        <v>47.050268310424912</v>
      </c>
      <c r="AL122" s="20">
        <f t="shared" si="58"/>
        <v>409.00754564065682</v>
      </c>
      <c r="AM122" s="59">
        <f t="shared" si="59"/>
        <v>702.34087897399013</v>
      </c>
      <c r="AN122" s="59">
        <f ca="1">AVERAGE(OFFSET($AM$3,0,0,'Données projet'!$E$10+1,1))-AVERAGE(OFFSET($H$3,0,0,'Données projet'!$E$10+1,1))</f>
        <v>123.92486590666675</v>
      </c>
      <c r="AO122" s="59">
        <f t="shared" si="90"/>
        <v>54.404493017418986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0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1.1368683772161603E-13</v>
      </c>
      <c r="BE122" s="13">
        <f>BD122*VLOOKUP('Données projet'!$B$11,Paramètres!$A$1:$I$89,3,0)*VLOOKUP('Données projet'!$B$11,Paramètres!$A$1:$I$89,5,0)</f>
        <v>6.3550942286383367E-14</v>
      </c>
      <c r="BF122" s="13">
        <f t="shared" si="91"/>
        <v>1.0064464192543978E-12</v>
      </c>
      <c r="BG122" s="20">
        <f t="shared" si="61"/>
        <v>1.8635787380168604E-12</v>
      </c>
      <c r="BH122" s="59">
        <f t="shared" si="62"/>
        <v>293.33333333333519</v>
      </c>
      <c r="BI122" s="59">
        <f ca="1">AVERAGE(OFFSET($BH$3,0,0,'Données projet'!$E$11+1,1))-AVERAGE(OFFSET($H$3,0,0,'Données projet'!$E$11+1,1))</f>
        <v>224.7049802939942</v>
      </c>
      <c r="BJ122" s="59">
        <f t="shared" si="92"/>
        <v>203.48513862195352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0.38287282270644357</v>
      </c>
      <c r="BQ122" s="21">
        <f>EXP(-LN(2)/25)*BQ121+(1-EXP(-LN(2)/25))/(LN(2)/25)*Calculateur!BL122*Calculateur!BN122*VLOOKUP('Données projet'!$B$11,Paramètres!$A$1:$I$89,3,0)*0.475*44/12</f>
        <v>1.6554411592812721</v>
      </c>
      <c r="BR122" s="21">
        <f>EXP(-LN(2)/2)*BR121+(1-EXP(-LN(2)/2))/(LN(2)/2)*BL122*BO122*VLOOKUP('Données projet'!$B$11,Paramètres!$A$1:$I$89,3,0)*0.475*44/12</f>
        <v>3.6016615051402643E-13</v>
      </c>
      <c r="BS122" s="22">
        <f t="shared" si="63"/>
        <v>2.0383139819880758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3.4711538461538445</v>
      </c>
      <c r="BY122" s="12">
        <f>IF('Données projet'!$A$114&gt;35,BY121+BX122-CG121,IF(A122&lt;'Données projet'!$A$114,$BV$205^A122,IF(A122='Données projet'!$A$114,'Données projet'!$B$114,BY121+BX122-CG121)))</f>
        <v>388.65192307692365</v>
      </c>
      <c r="BZ122" s="13">
        <f>BY122*VLOOKUP('Données projet'!$B$12,Paramètres!$A$1:$I$89,3,0)*VLOOKUP('Données projet'!$B$12,Paramètres!$A$1:$I$89,5,0)</f>
        <v>217.25642500000032</v>
      </c>
      <c r="CA122" s="13">
        <f t="shared" si="93"/>
        <v>53.518148431429744</v>
      </c>
      <c r="CB122" s="20">
        <f t="shared" si="64"/>
        <v>471.59904872640732</v>
      </c>
      <c r="CC122" s="59">
        <f t="shared" si="65"/>
        <v>764.93238205974058</v>
      </c>
      <c r="CD122" s="59">
        <f ca="1">AVERAGE(OFFSET($CC$3,0,0,'Données projet'!$E$12+1,1))-AVERAGE(OFFSET($H$3,0,0,'Données projet'!$E$12+1,1))</f>
        <v>190.08613104982993</v>
      </c>
      <c r="CE122" s="59">
        <f t="shared" si="94"/>
        <v>180.55054525447781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0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497</v>
      </c>
      <c r="CU122" s="17">
        <f>CT122*VLOOKUP('Données projet'!$B$13,Paramètres!$A$1:$I$89,3,0)*VLOOKUP('Données projet'!$B$13,Paramètres!$A$1:$I$89,5,0)</f>
        <v>297.20600000000002</v>
      </c>
      <c r="CV122" s="13">
        <f t="shared" si="95"/>
        <v>70.590415164571112</v>
      </c>
      <c r="CW122" s="20">
        <f t="shared" si="67"/>
        <v>640.57875641162809</v>
      </c>
      <c r="CX122" s="59">
        <f t="shared" si="68"/>
        <v>933.91208974496135</v>
      </c>
      <c r="CY122" s="59">
        <f ca="1">AVERAGE(OFFSET($CX$3,0,0,'Données projet'!$E$13+1,1))-AVERAGE(OFFSET($H$3,0,0,'Données projet'!$E$13+1,1))</f>
        <v>270.30888762640245</v>
      </c>
      <c r="CZ122" s="59">
        <f t="shared" si="96"/>
        <v>202.23783851977691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0.36755051016870544</v>
      </c>
      <c r="DG122" s="21">
        <f>EXP(-LN(2)/25)*DG121+(1-EXP(-LN(2)/25))/(LN(2)/25)*Calculateur!DB122*Calculateur!DD122*VLOOKUP('Données projet'!$B$13,Paramètres!$A$1:$I$89,3,0)*0.475*44/12</f>
        <v>1.0424832883332362</v>
      </c>
      <c r="DH122" s="21">
        <f>EXP(-LN(2)/2)*DH121+(1-EXP(-LN(2)/2))/(LN(2)/2)*DB122*DE122*VLOOKUP('Données projet'!$B$13,Paramètres!$A$1:$I$89,3,0)*0.475*44/12</f>
        <v>7.4329869524469066E-13</v>
      </c>
      <c r="DI122" s="22">
        <f t="shared" si="69"/>
        <v>1.4100337985026852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433.00000000000011</v>
      </c>
      <c r="DP122" s="17">
        <f>DO122*VLOOKUP('Données projet'!$B$14,Paramètres!$A$1:$I$89,3,0)*VLOOKUP('Données projet'!$B$14,Paramètres!$A$1:$I$89,5,0)</f>
        <v>258.93400000000008</v>
      </c>
      <c r="DQ122" s="13">
        <f t="shared" si="97"/>
        <v>62.495095530116075</v>
      </c>
      <c r="DR122" s="20">
        <f t="shared" si="70"/>
        <v>559.82234138161891</v>
      </c>
      <c r="DS122" s="59">
        <f t="shared" si="71"/>
        <v>853.15567471495228</v>
      </c>
      <c r="DT122" s="59">
        <f ca="1">AVERAGE(OFFSET($DS$3,0,0,'Données projet'!$E$14+1,1))-AVERAGE(OFFSET($H$3,0,0,'Données projet'!$E$14+1,1))</f>
        <v>221.14988592347311</v>
      </c>
      <c r="DU122" s="59">
        <f t="shared" si="98"/>
        <v>179.09262081171607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0.39205387751328574</v>
      </c>
      <c r="EB122" s="21">
        <f>EXP(-LN(2)/25)*EB121+(1-EXP(-LN(2)/25))/(LN(2)/25)*Calculateur!DW122*Calculateur!DY122*VLOOKUP('Données projet'!$B$14,Paramètres!$A$1:$I$89,3,0)*0.475*44/12</f>
        <v>0.86826920725430323</v>
      </c>
      <c r="EC122" s="21">
        <f>EXP(-LN(2)/2)*EC121+(1-EXP(-LN(2)/2))/(LN(2)/2)*DW122*DZ122*VLOOKUP('Données projet'!$B$14,Paramètres!$A$1:$I$89,3,0)*0.475*44/12</f>
        <v>7.8378040908181572E-13</v>
      </c>
      <c r="ED122" s="22">
        <f t="shared" si="72"/>
        <v>1.2603230847683728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2.2737367544323206E-13</v>
      </c>
      <c r="EK122" s="17">
        <f>EJ122*VLOOKUP('Données projet'!$B$15,Paramètres!$A$1:$I$89,3,0)*VLOOKUP('Données projet'!$B$15,Paramètres!$A$1:$I$89,5,0)</f>
        <v>1.2414602679200471E-13</v>
      </c>
      <c r="EL122" s="13">
        <f t="shared" si="99"/>
        <v>1.8186582995804361E-12</v>
      </c>
      <c r="EM122" s="20">
        <f t="shared" si="73"/>
        <v>3.3837175350986671E-12</v>
      </c>
      <c r="EN122" s="59">
        <f t="shared" si="74"/>
        <v>293.33333333333672</v>
      </c>
      <c r="EO122" s="59">
        <f ca="1">AVERAGE(OFFSET($EN$3,0,0,'Données projet'!$E$15+1,1))-AVERAGE(OFFSET($H$3,0,0,'Données projet'!$E$15+1,1))</f>
        <v>168.72306536277267</v>
      </c>
      <c r="EP122" s="59">
        <f t="shared" si="100"/>
        <v>203.35476578922339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0.52202826081932041</v>
      </c>
      <c r="EW122" s="21">
        <f>EXP(-LN(2)/25)*EW121+(1-EXP(-LN(2)/25))/(LN(2)/25)*Calculateur!ER122*Calculateur!ET122*VLOOKUP('Données projet'!$B$15,Paramètres!$A$1:$I$89,3,0)*0.475*44/12</f>
        <v>1.9488487310192464</v>
      </c>
      <c r="EX122" s="21">
        <f>EXP(-LN(2)/2)*EX121+(1-EXP(-LN(2)/2))/(LN(2)/2)*ER122*EU122*VLOOKUP('Données projet'!$B$15,Paramètres!$A$1:$I$89,3,0)*0.475*44/12</f>
        <v>8.0484583872468327E-13</v>
      </c>
      <c r="EY122" s="22">
        <f t="shared" si="75"/>
        <v>2.4708769918393716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3.4106051316484809E-13</v>
      </c>
      <c r="FF122" s="17">
        <f>FE122*VLOOKUP('Données projet'!$B$16,Paramètres!$A$1:$I$89,3,0)*VLOOKUP('Données projet'!$B$16,Paramètres!$A$1:$I$89,5,0)</f>
        <v>1.8621904018800707E-13</v>
      </c>
      <c r="FG122" s="13">
        <f t="shared" si="101"/>
        <v>2.6022279988572714E-12</v>
      </c>
      <c r="FH122" s="20">
        <f t="shared" si="76"/>
        <v>4.8565452596705266E-12</v>
      </c>
      <c r="FI122" s="59">
        <f t="shared" si="77"/>
        <v>293.33333333333815</v>
      </c>
      <c r="FJ122" s="59">
        <f ca="1">AVERAGE(OFFSET($FI$3,0,0,'Données projet'!$E$16+1,1))-AVERAGE(OFFSET($H$3,0,0,'Données projet'!$E$16+1,1))</f>
        <v>127.76128532861486</v>
      </c>
      <c r="FK122" s="59">
        <f t="shared" si="102"/>
        <v>157.52303491639736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>
        <f>EXP(-LN(2)/35)*FQ121+(1-EXP(-LN(2)/35))/(LN(2)/35)*FM122*FN122*VLOOKUP('Données projet'!$B$16,Paramètres!$A$1:$I$89,3,0)*0.475*44/12</f>
        <v>0.41762260865545631</v>
      </c>
      <c r="FR122" s="21">
        <f>EXP(-LN(2)/25)*FR121+(1-EXP(-LN(2)/25))/(LN(2)/25)*Calculateur!FM122*Calculateur!FO122*VLOOKUP('Données projet'!$B$16,Paramètres!$A$1:$I$89,3,0)*0.475*44/12</f>
        <v>1.3838440634575626</v>
      </c>
      <c r="FS122" s="21">
        <f>EXP(-LN(2)/2)*FS121+(1-EXP(-LN(2)/2))/(LN(2)/2)*FM122*FP122*VLOOKUP('Données projet'!$B$16,Paramètres!$A$1:$I$89,3,0)*0.475*44/12</f>
        <v>6.3898469916695163E-13</v>
      </c>
      <c r="FT122" s="22">
        <f t="shared" si="78"/>
        <v>1.8014666721136581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5.3066239316239274</v>
      </c>
      <c r="N123" s="13">
        <f>IF('Données projet'!$A$36&gt;35,N122+M123-V122,IF(A123&lt;'Données projet'!$A$36,$K$205^A123,IF(A123='Données projet'!$A$36,'Données projet'!$B$36,N122+M123-V122)))</f>
        <v>251.7617521367518</v>
      </c>
      <c r="O123" s="13">
        <f>N123*VLOOKUP('Données projet'!$B$9,Paramètres!$A$1:$I$89,3,0)*VLOOKUP('Données projet'!$B$9,Paramètres!$A$1:$I$89,5,0)</f>
        <v>227.794033333333</v>
      </c>
      <c r="P123" s="13">
        <f t="shared" si="87"/>
        <v>55.805432753411694</v>
      </c>
      <c r="Q123" s="20">
        <f t="shared" si="107"/>
        <v>493.93573676774707</v>
      </c>
      <c r="R123" s="59">
        <f t="shared" si="55"/>
        <v>787.26907010108039</v>
      </c>
      <c r="S123" s="59">
        <f ca="1">AVERAGE(OFFSET($R$3,0,0,'Données projet'!$E$9+1,1))-AVERAGE(OFFSET($H$3,0,0,'Données projet'!$E$9+1,1))</f>
        <v>153.45079678708987</v>
      </c>
      <c r="T123" s="59">
        <f t="shared" si="88"/>
        <v>115.4217868409637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0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4.7948717948717956</v>
      </c>
      <c r="AI123" s="13">
        <f>IF('Données projet'!$A$62&gt;35,AI122+AH123-AQ122,IF(A123&lt;'Données projet'!$A$62,$AF$205^A123,IF(A123='Données projet'!$A$62,'Données projet'!$B$62,AI122+AH123-AQ122)))</f>
        <v>212.33974358974365</v>
      </c>
      <c r="AJ123" s="13">
        <f>AI123*VLOOKUP('Données projet'!$B$10,Paramètres!$A$1:$I$89,3,0)*VLOOKUP('Données projet'!$B$10,Paramètres!$A$1:$I$89,5,0)</f>
        <v>192.12500000000006</v>
      </c>
      <c r="AK123" s="13">
        <f t="shared" si="89"/>
        <v>48.009455637838819</v>
      </c>
      <c r="AL123" s="20">
        <f t="shared" si="58"/>
        <v>418.23417690256929</v>
      </c>
      <c r="AM123" s="59">
        <f t="shared" si="59"/>
        <v>711.56751023590255</v>
      </c>
      <c r="AN123" s="59">
        <f ca="1">AVERAGE(OFFSET($AM$3,0,0,'Données projet'!$E$10+1,1))-AVERAGE(OFFSET($H$3,0,0,'Données projet'!$E$10+1,1))</f>
        <v>123.92486590666675</v>
      </c>
      <c r="AO123" s="59">
        <f t="shared" si="90"/>
        <v>54.404493017418986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0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1.1368683772161603E-13</v>
      </c>
      <c r="BE123" s="13">
        <f>BD123*VLOOKUP('Données projet'!$B$11,Paramètres!$A$1:$I$89,3,0)*VLOOKUP('Données projet'!$B$11,Paramètres!$A$1:$I$89,5,0)</f>
        <v>6.3550942286383367E-14</v>
      </c>
      <c r="BF123" s="13">
        <f t="shared" si="91"/>
        <v>1.0064464192543978E-12</v>
      </c>
      <c r="BG123" s="20">
        <f t="shared" si="61"/>
        <v>1.8635787380168604E-12</v>
      </c>
      <c r="BH123" s="59">
        <f t="shared" si="62"/>
        <v>293.33333333333519</v>
      </c>
      <c r="BI123" s="59">
        <f ca="1">AVERAGE(OFFSET($BH$3,0,0,'Données projet'!$E$11+1,1))-AVERAGE(OFFSET($H$3,0,0,'Données projet'!$E$11+1,1))</f>
        <v>224.7049802939942</v>
      </c>
      <c r="BJ123" s="59">
        <f t="shared" si="92"/>
        <v>203.48513862195352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0.37536492018253298</v>
      </c>
      <c r="BQ123" s="21">
        <f>EXP(-LN(2)/25)*BQ122+(1-EXP(-LN(2)/25))/(LN(2)/25)*Calculateur!BL123*Calculateur!BN123*VLOOKUP('Données projet'!$B$11,Paramètres!$A$1:$I$89,3,0)*0.475*44/12</f>
        <v>1.6101730337248588</v>
      </c>
      <c r="BR123" s="21">
        <f>EXP(-LN(2)/2)*BR122+(1-EXP(-LN(2)/2))/(LN(2)/2)*BL123*BO123*VLOOKUP('Données projet'!$B$11,Paramètres!$A$1:$I$89,3,0)*0.475*44/12</f>
        <v>2.5467592738232283E-13</v>
      </c>
      <c r="BS123" s="22">
        <f t="shared" si="63"/>
        <v>1.9855379539076463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>
        <f>VLOOKUP(A123,'Données projet'!$A$113:$I$133,2,0)</f>
        <v>392.12307692307689</v>
      </c>
      <c r="BW123" s="12">
        <f>VLOOKUP(A123,'Données projet'!$A$113:$I$133,9,0)</f>
        <v>3.4711538461538445</v>
      </c>
      <c r="BX123" s="12">
        <f t="array" ref="BX123">INDEX(BW:BW,MIN(IF(ISNUMBER(BW123:BW319),ROW(BW123:BW319),"")))</f>
        <v>3.4711538461538445</v>
      </c>
      <c r="BY123" s="12">
        <f>IF('Données projet'!$A$114&gt;35,BY122+BX123-CG122,IF(A123&lt;'Données projet'!$A$114,$BV$205^A123,IF(A123='Données projet'!$A$114,'Données projet'!$B$114,BY122+BX123-CG122)))</f>
        <v>392.12307692307752</v>
      </c>
      <c r="BZ123" s="13">
        <f>BY123*VLOOKUP('Données projet'!$B$12,Paramètres!$A$1:$I$89,3,0)*VLOOKUP('Données projet'!$B$12,Paramètres!$A$1:$I$89,5,0)</f>
        <v>219.19680000000034</v>
      </c>
      <c r="CA123" s="13">
        <f t="shared" si="93"/>
        <v>53.940277025086473</v>
      </c>
      <c r="CB123" s="20">
        <f t="shared" si="64"/>
        <v>475.71374248535949</v>
      </c>
      <c r="CC123" s="59">
        <f t="shared" si="65"/>
        <v>769.04707581869275</v>
      </c>
      <c r="CD123" s="59">
        <f ca="1">AVERAGE(OFFSET($CC$3,0,0,'Données projet'!$E$12+1,1))-AVERAGE(OFFSET($H$3,0,0,'Données projet'!$E$12+1,1))</f>
        <v>190.08613104982993</v>
      </c>
      <c r="CE123" s="59">
        <f t="shared" si="94"/>
        <v>180.55054525447781</v>
      </c>
      <c r="CF123" s="15">
        <f>IF(ISNA(VLOOKUP(A123,'Données projet'!$A$113:$I$133,3,0)),0,VLOOKUP(A123,'Données projet'!$A$113:$I$133,3,0))</f>
        <v>9</v>
      </c>
      <c r="CG123" s="15">
        <f>IF(ISNA(VLOOKUP(A123,'Données projet'!$A$113:$I$133,4,0)),0,VLOOKUP(A123,'Données projet'!$A$113:$I$133,4,0))</f>
        <v>392.12307692307689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0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497</v>
      </c>
      <c r="CU123" s="17">
        <f>CT123*VLOOKUP('Données projet'!$B$13,Paramètres!$A$1:$I$89,3,0)*VLOOKUP('Données projet'!$B$13,Paramètres!$A$1:$I$89,5,0)</f>
        <v>297.20600000000002</v>
      </c>
      <c r="CV123" s="13">
        <f t="shared" si="95"/>
        <v>70.590415164571112</v>
      </c>
      <c r="CW123" s="20">
        <f t="shared" si="67"/>
        <v>640.57875641162809</v>
      </c>
      <c r="CX123" s="59">
        <f t="shared" si="68"/>
        <v>933.91208974496135</v>
      </c>
      <c r="CY123" s="59">
        <f ca="1">AVERAGE(OFFSET($CX$3,0,0,'Données projet'!$E$13+1,1))-AVERAGE(OFFSET($H$3,0,0,'Données projet'!$E$13+1,1))</f>
        <v>270.30888762640245</v>
      </c>
      <c r="CZ123" s="59">
        <f t="shared" si="96"/>
        <v>202.23783851977691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0.36034306884797201</v>
      </c>
      <c r="DG123" s="21">
        <f>EXP(-LN(2)/25)*DG122+(1-EXP(-LN(2)/25))/(LN(2)/25)*Calculateur!DB123*Calculateur!DD123*VLOOKUP('Données projet'!$B$13,Paramètres!$A$1:$I$89,3,0)*0.475*44/12</f>
        <v>1.0139765279919504</v>
      </c>
      <c r="DH123" s="21">
        <f>EXP(-LN(2)/2)*DH122+(1-EXP(-LN(2)/2))/(LN(2)/2)*DB123*DE123*VLOOKUP('Données projet'!$B$13,Paramètres!$A$1:$I$89,3,0)*0.475*44/12</f>
        <v>5.2559154785463374E-13</v>
      </c>
      <c r="DI123" s="22">
        <f t="shared" si="69"/>
        <v>1.374319596840448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433.00000000000011</v>
      </c>
      <c r="DP123" s="17">
        <f>DO123*VLOOKUP('Données projet'!$B$14,Paramètres!$A$1:$I$89,3,0)*VLOOKUP('Données projet'!$B$14,Paramètres!$A$1:$I$89,5,0)</f>
        <v>258.93400000000008</v>
      </c>
      <c r="DQ123" s="13">
        <f t="shared" si="97"/>
        <v>62.495095530116075</v>
      </c>
      <c r="DR123" s="20">
        <f t="shared" si="70"/>
        <v>559.82234138161891</v>
      </c>
      <c r="DS123" s="59">
        <f t="shared" si="71"/>
        <v>853.15567471495228</v>
      </c>
      <c r="DT123" s="59">
        <f ca="1">AVERAGE(OFFSET($DS$3,0,0,'Données projet'!$E$14+1,1))-AVERAGE(OFFSET($H$3,0,0,'Données projet'!$E$14+1,1))</f>
        <v>221.14988592347311</v>
      </c>
      <c r="DU123" s="59">
        <f t="shared" si="98"/>
        <v>179.09262081171607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0.38436594010450342</v>
      </c>
      <c r="EB123" s="21">
        <f>EXP(-LN(2)/25)*EB122+(1-EXP(-LN(2)/25))/(LN(2)/25)*Calculateur!DW123*Calculateur!DY123*VLOOKUP('Données projet'!$B$14,Paramètres!$A$1:$I$89,3,0)*0.475*44/12</f>
        <v>0.84452634012164118</v>
      </c>
      <c r="EC123" s="21">
        <f>EXP(-LN(2)/2)*EC122+(1-EXP(-LN(2)/2))/(LN(2)/2)*DW123*DZ123*VLOOKUP('Données projet'!$B$14,Paramètres!$A$1:$I$89,3,0)*0.475*44/12</f>
        <v>5.5421644222291816E-13</v>
      </c>
      <c r="ED123" s="22">
        <f t="shared" si="72"/>
        <v>1.2288922802266988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2.2737367544323206E-13</v>
      </c>
      <c r="EK123" s="17">
        <f>EJ123*VLOOKUP('Données projet'!$B$15,Paramètres!$A$1:$I$89,3,0)*VLOOKUP('Données projet'!$B$15,Paramètres!$A$1:$I$89,5,0)</f>
        <v>1.2414602679200471E-13</v>
      </c>
      <c r="EL123" s="13">
        <f t="shared" si="99"/>
        <v>1.8186582995804361E-12</v>
      </c>
      <c r="EM123" s="20">
        <f t="shared" si="73"/>
        <v>3.3837175350986671E-12</v>
      </c>
      <c r="EN123" s="59">
        <f t="shared" si="74"/>
        <v>293.33333333333672</v>
      </c>
      <c r="EO123" s="59">
        <f ca="1">AVERAGE(OFFSET($EN$3,0,0,'Données projet'!$E$15+1,1))-AVERAGE(OFFSET($H$3,0,0,'Données projet'!$E$15+1,1))</f>
        <v>168.72306536277267</v>
      </c>
      <c r="EP123" s="59">
        <f t="shared" si="100"/>
        <v>203.35476578922339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0.51179160503045262</v>
      </c>
      <c r="EW123" s="21">
        <f>EXP(-LN(2)/25)*EW122+(1-EXP(-LN(2)/25))/(LN(2)/25)*Calculateur!ER123*Calculateur!ET123*VLOOKUP('Données projet'!$B$15,Paramètres!$A$1:$I$89,3,0)*0.475*44/12</f>
        <v>1.8955573599840245</v>
      </c>
      <c r="EX123" s="21">
        <f>EXP(-LN(2)/2)*EX122+(1-EXP(-LN(2)/2))/(LN(2)/2)*ER123*EU123*VLOOKUP('Données projet'!$B$15,Paramètres!$A$1:$I$89,3,0)*0.475*44/12</f>
        <v>5.6911195037199792E-13</v>
      </c>
      <c r="EY123" s="22">
        <f t="shared" si="75"/>
        <v>2.4073489650150464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3.4106051316484809E-13</v>
      </c>
      <c r="FF123" s="17">
        <f>FE123*VLOOKUP('Données projet'!$B$16,Paramètres!$A$1:$I$89,3,0)*VLOOKUP('Données projet'!$B$16,Paramètres!$A$1:$I$89,5,0)</f>
        <v>1.8621904018800707E-13</v>
      </c>
      <c r="FG123" s="13">
        <f t="shared" si="101"/>
        <v>2.6022279988572714E-12</v>
      </c>
      <c r="FH123" s="20">
        <f t="shared" si="76"/>
        <v>4.8565452596705266E-12</v>
      </c>
      <c r="FI123" s="59">
        <f t="shared" si="77"/>
        <v>293.33333333333815</v>
      </c>
      <c r="FJ123" s="59">
        <f ca="1">AVERAGE(OFFSET($FI$3,0,0,'Données projet'!$E$16+1,1))-AVERAGE(OFFSET($H$3,0,0,'Données projet'!$E$16+1,1))</f>
        <v>127.76128532861486</v>
      </c>
      <c r="FK123" s="59">
        <f t="shared" si="102"/>
        <v>157.52303491639736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>
        <f>EXP(-LN(2)/35)*FQ122+(1-EXP(-LN(2)/35))/(LN(2)/35)*FM123*FN123*VLOOKUP('Données projet'!$B$16,Paramètres!$A$1:$I$89,3,0)*0.475*44/12</f>
        <v>0.40943328402436213</v>
      </c>
      <c r="FR123" s="21">
        <f>EXP(-LN(2)/25)*FR122+(1-EXP(-LN(2)/25))/(LN(2)/25)*Calculateur!FM123*Calculateur!FO123*VLOOKUP('Données projet'!$B$16,Paramètres!$A$1:$I$89,3,0)*0.475*44/12</f>
        <v>1.346002774769119</v>
      </c>
      <c r="FS123" s="21">
        <f>EXP(-LN(2)/2)*FS122+(1-EXP(-LN(2)/2))/(LN(2)/2)*FM123*FP123*VLOOKUP('Données projet'!$B$16,Paramètres!$A$1:$I$89,3,0)*0.475*44/12</f>
        <v>4.5183041385539757E-13</v>
      </c>
      <c r="FT123" s="22">
        <f t="shared" si="78"/>
        <v>1.7554360587939331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5.3066239316239274</v>
      </c>
      <c r="N124" s="13">
        <f>IF('Données projet'!$A$36&gt;35,N123+M124-V123,IF(A124&lt;'Données projet'!$A$36,$K$205^A124,IF(A124='Données projet'!$A$36,'Données projet'!$B$36,N123+M124-V123)))</f>
        <v>257.0683760683757</v>
      </c>
      <c r="O124" s="13">
        <f>N124*VLOOKUP('Données projet'!$B$9,Paramètres!$A$1:$I$89,3,0)*VLOOKUP('Données projet'!$B$9,Paramètres!$A$1:$I$89,5,0)</f>
        <v>232.59546666666634</v>
      </c>
      <c r="P124" s="13">
        <f t="shared" si="87"/>
        <v>56.843515067710278</v>
      </c>
      <c r="Q124" s="20">
        <f t="shared" si="107"/>
        <v>504.10622652070589</v>
      </c>
      <c r="R124" s="59">
        <f t="shared" si="55"/>
        <v>797.4395598540392</v>
      </c>
      <c r="S124" s="59">
        <f ca="1">AVERAGE(OFFSET($R$3,0,0,'Données projet'!$E$9+1,1))-AVERAGE(OFFSET($H$3,0,0,'Données projet'!$E$9+1,1))</f>
        <v>153.45079678708987</v>
      </c>
      <c r="T124" s="59">
        <f t="shared" si="88"/>
        <v>115.4217868409637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0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4.7948717948717956</v>
      </c>
      <c r="AI124" s="13">
        <f>IF('Données projet'!$A$62&gt;35,AI123+AH124-AQ123,IF(A124&lt;'Données projet'!$A$62,$AF$205^A124,IF(A124='Données projet'!$A$62,'Données projet'!$B$62,AI123+AH124-AQ123)))</f>
        <v>217.13461538461544</v>
      </c>
      <c r="AJ124" s="13">
        <f>AI124*VLOOKUP('Données projet'!$B$10,Paramètres!$A$1:$I$89,3,0)*VLOOKUP('Données projet'!$B$10,Paramètres!$A$1:$I$89,5,0)</f>
        <v>196.46340000000004</v>
      </c>
      <c r="AK124" s="13">
        <f t="shared" si="89"/>
        <v>48.966124879586303</v>
      </c>
      <c r="AL124" s="20">
        <f t="shared" si="58"/>
        <v>427.45642249861288</v>
      </c>
      <c r="AM124" s="59">
        <f t="shared" si="59"/>
        <v>720.7897558319462</v>
      </c>
      <c r="AN124" s="59">
        <f ca="1">AVERAGE(OFFSET($AM$3,0,0,'Données projet'!$E$10+1,1))-AVERAGE(OFFSET($H$3,0,0,'Données projet'!$E$10+1,1))</f>
        <v>123.92486590666675</v>
      </c>
      <c r="AO124" s="59">
        <f t="shared" si="90"/>
        <v>54.404493017418986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0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1.1368683772161603E-13</v>
      </c>
      <c r="BE124" s="13">
        <f>BD124*VLOOKUP('Données projet'!$B$11,Paramètres!$A$1:$I$89,3,0)*VLOOKUP('Données projet'!$B$11,Paramètres!$A$1:$I$89,5,0)</f>
        <v>6.3550942286383367E-14</v>
      </c>
      <c r="BF124" s="13">
        <f t="shared" si="91"/>
        <v>1.0064464192543978E-12</v>
      </c>
      <c r="BG124" s="20">
        <f t="shared" si="61"/>
        <v>1.8635787380168604E-12</v>
      </c>
      <c r="BH124" s="59">
        <f t="shared" si="62"/>
        <v>293.33333333333519</v>
      </c>
      <c r="BI124" s="59">
        <f ca="1">AVERAGE(OFFSET($BH$3,0,0,'Données projet'!$E$11+1,1))-AVERAGE(OFFSET($H$3,0,0,'Données projet'!$E$11+1,1))</f>
        <v>224.7049802939942</v>
      </c>
      <c r="BJ124" s="59">
        <f t="shared" si="92"/>
        <v>203.48513862195352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0.36800424304774787</v>
      </c>
      <c r="BQ124" s="21">
        <f>EXP(-LN(2)/25)*BQ123+(1-EXP(-LN(2)/25))/(LN(2)/25)*Calculateur!BL124*Calculateur!BN124*VLOOKUP('Données projet'!$B$11,Paramètres!$A$1:$I$89,3,0)*0.475*44/12</f>
        <v>1.5661427674423327</v>
      </c>
      <c r="BR124" s="21">
        <f>EXP(-LN(2)/2)*BR123+(1-EXP(-LN(2)/2))/(LN(2)/2)*BL124*BO124*VLOOKUP('Données projet'!$B$11,Paramètres!$A$1:$I$89,3,0)*0.475*44/12</f>
        <v>1.8008307525701321E-13</v>
      </c>
      <c r="BS124" s="22">
        <f t="shared" si="63"/>
        <v>1.9341470104902607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6.2527760746888816E-13</v>
      </c>
      <c r="BZ124" s="13">
        <f>BY124*VLOOKUP('Données projet'!$B$12,Paramètres!$A$1:$I$89,3,0)*VLOOKUP('Données projet'!$B$12,Paramètres!$A$1:$I$89,5,0)</f>
        <v>3.4953018257510848E-13</v>
      </c>
      <c r="CA124" s="13">
        <f t="shared" si="93"/>
        <v>4.5391562386470354E-12</v>
      </c>
      <c r="CB124" s="20">
        <f t="shared" si="64"/>
        <v>8.5144621836285662E-12</v>
      </c>
      <c r="CC124" s="59">
        <f t="shared" si="65"/>
        <v>293.33333333334184</v>
      </c>
      <c r="CD124" s="59">
        <f ca="1">AVERAGE(OFFSET($CC$3,0,0,'Données projet'!$E$12+1,1))-AVERAGE(OFFSET($H$3,0,0,'Données projet'!$E$12+1,1))</f>
        <v>190.08613104982993</v>
      </c>
      <c r="CE124" s="59">
        <f t="shared" si="94"/>
        <v>180.55054525447781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0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497</v>
      </c>
      <c r="CU124" s="17">
        <f>CT124*VLOOKUP('Données projet'!$B$13,Paramètres!$A$1:$I$89,3,0)*VLOOKUP('Données projet'!$B$13,Paramètres!$A$1:$I$89,5,0)</f>
        <v>297.20600000000002</v>
      </c>
      <c r="CV124" s="13">
        <f t="shared" si="95"/>
        <v>70.590415164571112</v>
      </c>
      <c r="CW124" s="20">
        <f t="shared" si="67"/>
        <v>640.57875641162809</v>
      </c>
      <c r="CX124" s="59">
        <f t="shared" si="68"/>
        <v>933.91208974496135</v>
      </c>
      <c r="CY124" s="59">
        <f ca="1">AVERAGE(OFFSET($CX$3,0,0,'Données projet'!$E$13+1,1))-AVERAGE(OFFSET($H$3,0,0,'Données projet'!$E$13+1,1))</f>
        <v>270.30888762640245</v>
      </c>
      <c r="CZ124" s="59">
        <f t="shared" si="96"/>
        <v>202.23783851977691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0.35327696105543305</v>
      </c>
      <c r="DG124" s="21">
        <f>EXP(-LN(2)/25)*DG123+(1-EXP(-LN(2)/25))/(LN(2)/25)*Calculateur!DB124*Calculateur!DD124*VLOOKUP('Données projet'!$B$13,Paramètres!$A$1:$I$89,3,0)*0.475*44/12</f>
        <v>0.98624928651130239</v>
      </c>
      <c r="DH124" s="21">
        <f>EXP(-LN(2)/2)*DH123+(1-EXP(-LN(2)/2))/(LN(2)/2)*DB124*DE124*VLOOKUP('Données projet'!$B$13,Paramètres!$A$1:$I$89,3,0)*0.475*44/12</f>
        <v>3.7164934762234533E-13</v>
      </c>
      <c r="DI124" s="22">
        <f t="shared" si="69"/>
        <v>1.339526247567107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433.00000000000011</v>
      </c>
      <c r="DP124" s="17">
        <f>DO124*VLOOKUP('Données projet'!$B$14,Paramètres!$A$1:$I$89,3,0)*VLOOKUP('Données projet'!$B$14,Paramètres!$A$1:$I$89,5,0)</f>
        <v>258.93400000000008</v>
      </c>
      <c r="DQ124" s="13">
        <f t="shared" si="97"/>
        <v>62.495095530116075</v>
      </c>
      <c r="DR124" s="20">
        <f t="shared" si="70"/>
        <v>559.82234138161891</v>
      </c>
      <c r="DS124" s="59">
        <f t="shared" si="71"/>
        <v>853.15567471495228</v>
      </c>
      <c r="DT124" s="59">
        <f ca="1">AVERAGE(OFFSET($DS$3,0,0,'Données projet'!$E$14+1,1))-AVERAGE(OFFSET($H$3,0,0,'Données projet'!$E$14+1,1))</f>
        <v>221.14988592347311</v>
      </c>
      <c r="DU124" s="59">
        <f t="shared" si="98"/>
        <v>179.09262081171607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0.37682875845912855</v>
      </c>
      <c r="EB124" s="21">
        <f>EXP(-LN(2)/25)*EB123+(1-EXP(-LN(2)/25))/(LN(2)/25)*Calculateur!DW124*Calculateur!DY124*VLOOKUP('Données projet'!$B$14,Paramètres!$A$1:$I$89,3,0)*0.475*44/12</f>
        <v>0.82143272293930492</v>
      </c>
      <c r="EC124" s="21">
        <f>EXP(-LN(2)/2)*EC123+(1-EXP(-LN(2)/2))/(LN(2)/2)*DW124*DZ124*VLOOKUP('Données projet'!$B$14,Paramètres!$A$1:$I$89,3,0)*0.475*44/12</f>
        <v>3.9189020454090786E-13</v>
      </c>
      <c r="ED124" s="22">
        <f t="shared" si="72"/>
        <v>1.1982614813988255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2.2737367544323206E-13</v>
      </c>
      <c r="EK124" s="17">
        <f>EJ124*VLOOKUP('Données projet'!$B$15,Paramètres!$A$1:$I$89,3,0)*VLOOKUP('Données projet'!$B$15,Paramètres!$A$1:$I$89,5,0)</f>
        <v>1.2414602679200471E-13</v>
      </c>
      <c r="EL124" s="13">
        <f t="shared" si="99"/>
        <v>1.8186582995804361E-12</v>
      </c>
      <c r="EM124" s="20">
        <f t="shared" si="73"/>
        <v>3.3837175350986671E-12</v>
      </c>
      <c r="EN124" s="59">
        <f t="shared" si="74"/>
        <v>293.33333333333672</v>
      </c>
      <c r="EO124" s="59">
        <f ca="1">AVERAGE(OFFSET($EN$3,0,0,'Données projet'!$E$15+1,1))-AVERAGE(OFFSET($H$3,0,0,'Données projet'!$E$15+1,1))</f>
        <v>168.72306536277267</v>
      </c>
      <c r="EP124" s="59">
        <f t="shared" si="100"/>
        <v>203.35476578922339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0.50175568381786106</v>
      </c>
      <c r="EW124" s="21">
        <f>EXP(-LN(2)/25)*EW123+(1-EXP(-LN(2)/25))/(LN(2)/25)*Calculateur!ER124*Calculateur!ET124*VLOOKUP('Données projet'!$B$15,Paramètres!$A$1:$I$89,3,0)*0.475*44/12</f>
        <v>1.8437232442922322</v>
      </c>
      <c r="EX124" s="21">
        <f>EXP(-LN(2)/2)*EX123+(1-EXP(-LN(2)/2))/(LN(2)/2)*ER124*EU124*VLOOKUP('Données projet'!$B$15,Paramètres!$A$1:$I$89,3,0)*0.475*44/12</f>
        <v>4.0242291936234164E-13</v>
      </c>
      <c r="EY124" s="22">
        <f t="shared" si="75"/>
        <v>2.3454789281104955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3.4106051316484809E-13</v>
      </c>
      <c r="FF124" s="17">
        <f>FE124*VLOOKUP('Données projet'!$B$16,Paramètres!$A$1:$I$89,3,0)*VLOOKUP('Données projet'!$B$16,Paramètres!$A$1:$I$89,5,0)</f>
        <v>1.8621904018800707E-13</v>
      </c>
      <c r="FG124" s="13">
        <f t="shared" si="101"/>
        <v>2.6022279988572714E-12</v>
      </c>
      <c r="FH124" s="20">
        <f t="shared" si="76"/>
        <v>4.8565452596705266E-12</v>
      </c>
      <c r="FI124" s="59">
        <f t="shared" si="77"/>
        <v>293.33333333333815</v>
      </c>
      <c r="FJ124" s="59">
        <f ca="1">AVERAGE(OFFSET($FI$3,0,0,'Données projet'!$E$16+1,1))-AVERAGE(OFFSET($H$3,0,0,'Données projet'!$E$16+1,1))</f>
        <v>127.76128532861486</v>
      </c>
      <c r="FK124" s="59">
        <f t="shared" si="102"/>
        <v>157.52303491639736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>
        <f>EXP(-LN(2)/35)*FQ123+(1-EXP(-LN(2)/35))/(LN(2)/35)*FM124*FN124*VLOOKUP('Données projet'!$B$16,Paramètres!$A$1:$I$89,3,0)*0.475*44/12</f>
        <v>0.40140454705428891</v>
      </c>
      <c r="FR124" s="21">
        <f>EXP(-LN(2)/25)*FR123+(1-EXP(-LN(2)/25))/(LN(2)/25)*Calculateur!FM124*Calculateur!FO124*VLOOKUP('Données projet'!$B$16,Paramètres!$A$1:$I$89,3,0)*0.475*44/12</f>
        <v>1.3091962581098477</v>
      </c>
      <c r="FS124" s="21">
        <f>EXP(-LN(2)/2)*FS123+(1-EXP(-LN(2)/2))/(LN(2)/2)*FM124*FP124*VLOOKUP('Données projet'!$B$16,Paramètres!$A$1:$I$89,3,0)*0.475*44/12</f>
        <v>3.1949234958347587E-13</v>
      </c>
      <c r="FT124" s="22">
        <f t="shared" si="78"/>
        <v>1.7106008051644561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5.3066239316239274</v>
      </c>
      <c r="N125" s="13">
        <f>IF('Données projet'!$A$36&gt;35,N124+M125-V124,IF(A125&lt;'Données projet'!$A$36,$K$205^A125,IF(A125='Données projet'!$A$36,'Données projet'!$B$36,N124+M125-V124)))</f>
        <v>262.3749999999996</v>
      </c>
      <c r="O125" s="13">
        <f>N125*VLOOKUP('Données projet'!$B$9,Paramètres!$A$1:$I$89,3,0)*VLOOKUP('Données projet'!$B$9,Paramètres!$A$1:$I$89,5,0)</f>
        <v>237.39689999999962</v>
      </c>
      <c r="P125" s="13">
        <f t="shared" si="87"/>
        <v>57.87910585630879</v>
      </c>
      <c r="Q125" s="20">
        <f t="shared" si="107"/>
        <v>514.27237686640376</v>
      </c>
      <c r="R125" s="59">
        <f t="shared" si="55"/>
        <v>807.60571019973713</v>
      </c>
      <c r="S125" s="59">
        <f ca="1">AVERAGE(OFFSET($R$3,0,0,'Données projet'!$E$9+1,1))-AVERAGE(OFFSET($H$3,0,0,'Données projet'!$E$9+1,1))</f>
        <v>153.45079678708987</v>
      </c>
      <c r="T125" s="59">
        <f t="shared" si="88"/>
        <v>115.4217868409637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0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>
        <f>VLOOKUP(A125,'Données projet'!$A$61:$I$81,2,0)</f>
        <v>221.92948717948715</v>
      </c>
      <c r="AG125" s="12">
        <f>VLOOKUP(A125,'Données projet'!$A$61:$I$81,9,0)</f>
        <v>4.7948717948717956</v>
      </c>
      <c r="AH125" s="12">
        <f t="array" ref="AH125">INDEX(AG:AG,MIN(IF(ISNUMBER(AG125:AG321),ROW(AG125:AG321),"")))</f>
        <v>4.7948717948717956</v>
      </c>
      <c r="AI125" s="13">
        <f>IF('Données projet'!$A$62&gt;35,AI124+AH125-AQ124,IF(A125&lt;'Données projet'!$A$62,$AF$205^A125,IF(A125='Données projet'!$A$62,'Données projet'!$B$62,AI124+AH125-AQ124)))</f>
        <v>221.92948717948724</v>
      </c>
      <c r="AJ125" s="13">
        <f>AI125*VLOOKUP('Données projet'!$B$10,Paramètres!$A$1:$I$89,3,0)*VLOOKUP('Données projet'!$B$10,Paramètres!$A$1:$I$89,5,0)</f>
        <v>200.80180000000007</v>
      </c>
      <c r="AK125" s="13">
        <f t="shared" si="89"/>
        <v>49.92033804421223</v>
      </c>
      <c r="AL125" s="20">
        <f t="shared" si="58"/>
        <v>436.67439042700306</v>
      </c>
      <c r="AM125" s="59">
        <f t="shared" si="59"/>
        <v>730.00772376033638</v>
      </c>
      <c r="AN125" s="59">
        <f ca="1">AVERAGE(OFFSET($AM$3,0,0,'Données projet'!$E$10+1,1))-AVERAGE(OFFSET($H$3,0,0,'Données projet'!$E$10+1,1))</f>
        <v>123.92486590666675</v>
      </c>
      <c r="AO125" s="59">
        <f t="shared" si="90"/>
        <v>54.404493017418986</v>
      </c>
      <c r="AP125" s="15">
        <f>IF(ISNA(VLOOKUP(A125,'Données projet'!$A$61:$I$81,3,0)),0,VLOOKUP(A125,'Données projet'!$A$61:$I$81,3,0))</f>
        <v>8</v>
      </c>
      <c r="AQ125" s="15">
        <f>IF(ISNA(VLOOKUP(A125,'Données projet'!$A$61:$I$81,4,0)),0,VLOOKUP(A125,'Données projet'!$A$61:$I$81,4,0))</f>
        <v>32.333333333333329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0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1.1368683772161603E-13</v>
      </c>
      <c r="BE125" s="13">
        <f>BD125*VLOOKUP('Données projet'!$B$11,Paramètres!$A$1:$I$89,3,0)*VLOOKUP('Données projet'!$B$11,Paramètres!$A$1:$I$89,5,0)</f>
        <v>6.3550942286383367E-14</v>
      </c>
      <c r="BF125" s="13">
        <f t="shared" si="91"/>
        <v>1.0064464192543978E-12</v>
      </c>
      <c r="BG125" s="20">
        <f t="shared" si="61"/>
        <v>1.8635787380168604E-12</v>
      </c>
      <c r="BH125" s="59">
        <f t="shared" si="62"/>
        <v>293.33333333333519</v>
      </c>
      <c r="BI125" s="59">
        <f ca="1">AVERAGE(OFFSET($BH$3,0,0,'Données projet'!$E$11+1,1))-AVERAGE(OFFSET($H$3,0,0,'Données projet'!$E$11+1,1))</f>
        <v>224.7049802939942</v>
      </c>
      <c r="BJ125" s="59">
        <f t="shared" si="92"/>
        <v>203.48513862195352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0.36078790430200619</v>
      </c>
      <c r="BQ125" s="21">
        <f>EXP(-LN(2)/25)*BQ124+(1-EXP(-LN(2)/25))/(LN(2)/25)*Calculateur!BL125*Calculateur!BN125*VLOOKUP('Données projet'!$B$11,Paramètres!$A$1:$I$89,3,0)*0.475*44/12</f>
        <v>1.5233165111067535</v>
      </c>
      <c r="BR125" s="21">
        <f>EXP(-LN(2)/2)*BR124+(1-EXP(-LN(2)/2))/(LN(2)/2)*BL125*BO125*VLOOKUP('Données projet'!$B$11,Paramètres!$A$1:$I$89,3,0)*0.475*44/12</f>
        <v>1.2733796369116141E-13</v>
      </c>
      <c r="BS125" s="22">
        <f t="shared" si="63"/>
        <v>1.8841044154088868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6.2527760746888816E-13</v>
      </c>
      <c r="BZ125" s="13">
        <f>BY125*VLOOKUP('Données projet'!$B$12,Paramètres!$A$1:$I$89,3,0)*VLOOKUP('Données projet'!$B$12,Paramètres!$A$1:$I$89,5,0)</f>
        <v>3.4953018257510848E-13</v>
      </c>
      <c r="CA125" s="13">
        <f t="shared" si="93"/>
        <v>4.5391562386470354E-12</v>
      </c>
      <c r="CB125" s="20">
        <f t="shared" si="64"/>
        <v>8.5144621836285662E-12</v>
      </c>
      <c r="CC125" s="59">
        <f t="shared" si="65"/>
        <v>293.33333333334184</v>
      </c>
      <c r="CD125" s="59">
        <f ca="1">AVERAGE(OFFSET($CC$3,0,0,'Données projet'!$E$12+1,1))-AVERAGE(OFFSET($H$3,0,0,'Données projet'!$E$12+1,1))</f>
        <v>190.08613104982993</v>
      </c>
      <c r="CE125" s="59">
        <f t="shared" si="94"/>
        <v>180.55054525447781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0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497</v>
      </c>
      <c r="CU125" s="17">
        <f>CT125*VLOOKUP('Données projet'!$B$13,Paramètres!$A$1:$I$89,3,0)*VLOOKUP('Données projet'!$B$13,Paramètres!$A$1:$I$89,5,0)</f>
        <v>297.20600000000002</v>
      </c>
      <c r="CV125" s="13">
        <f t="shared" si="95"/>
        <v>70.590415164571112</v>
      </c>
      <c r="CW125" s="20">
        <f t="shared" si="67"/>
        <v>640.57875641162809</v>
      </c>
      <c r="CX125" s="59">
        <f t="shared" si="68"/>
        <v>933.91208974496135</v>
      </c>
      <c r="CY125" s="59">
        <f ca="1">AVERAGE(OFFSET($CX$3,0,0,'Données projet'!$E$13+1,1))-AVERAGE(OFFSET($H$3,0,0,'Données projet'!$E$13+1,1))</f>
        <v>270.30888762640245</v>
      </c>
      <c r="CZ125" s="59">
        <f t="shared" si="96"/>
        <v>202.23783851977691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0.34634941532680558</v>
      </c>
      <c r="DG125" s="21">
        <f>EXP(-LN(2)/25)*DG124+(1-EXP(-LN(2)/25))/(LN(2)/25)*Calculateur!DB125*Calculateur!DD125*VLOOKUP('Données projet'!$B$13,Paramètres!$A$1:$I$89,3,0)*0.475*44/12</f>
        <v>0.95928024790705491</v>
      </c>
      <c r="DH125" s="21">
        <f>EXP(-LN(2)/2)*DH124+(1-EXP(-LN(2)/2))/(LN(2)/2)*DB125*DE125*VLOOKUP('Données projet'!$B$13,Paramètres!$A$1:$I$89,3,0)*0.475*44/12</f>
        <v>2.6279577392731687E-13</v>
      </c>
      <c r="DI125" s="22">
        <f t="shared" si="69"/>
        <v>1.3056296632341233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433.00000000000011</v>
      </c>
      <c r="DP125" s="17">
        <f>DO125*VLOOKUP('Données projet'!$B$14,Paramètres!$A$1:$I$89,3,0)*VLOOKUP('Données projet'!$B$14,Paramètres!$A$1:$I$89,5,0)</f>
        <v>258.93400000000008</v>
      </c>
      <c r="DQ125" s="13">
        <f t="shared" si="97"/>
        <v>62.495095530116075</v>
      </c>
      <c r="DR125" s="20">
        <f t="shared" si="70"/>
        <v>559.82234138161891</v>
      </c>
      <c r="DS125" s="59">
        <f t="shared" si="71"/>
        <v>853.15567471495228</v>
      </c>
      <c r="DT125" s="59">
        <f ca="1">AVERAGE(OFFSET($DS$3,0,0,'Données projet'!$E$14+1,1))-AVERAGE(OFFSET($H$3,0,0,'Données projet'!$E$14+1,1))</f>
        <v>221.14988592347311</v>
      </c>
      <c r="DU125" s="59">
        <f t="shared" si="98"/>
        <v>179.09262081171607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0.36943937634859259</v>
      </c>
      <c r="EB125" s="21">
        <f>EXP(-LN(2)/25)*EB124+(1-EXP(-LN(2)/25))/(LN(2)/25)*Calculateur!DW125*Calculateur!DY125*VLOOKUP('Données projet'!$B$14,Paramètres!$A$1:$I$89,3,0)*0.475*44/12</f>
        <v>0.79897060193326008</v>
      </c>
      <c r="EC125" s="21">
        <f>EXP(-LN(2)/2)*EC124+(1-EXP(-LN(2)/2))/(LN(2)/2)*DW125*DZ125*VLOOKUP('Données projet'!$B$14,Paramètres!$A$1:$I$89,3,0)*0.475*44/12</f>
        <v>2.7710822111145908E-13</v>
      </c>
      <c r="ED125" s="22">
        <f t="shared" si="72"/>
        <v>1.1684099782821298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2.2737367544323206E-13</v>
      </c>
      <c r="EK125" s="17">
        <f>EJ125*VLOOKUP('Données projet'!$B$15,Paramètres!$A$1:$I$89,3,0)*VLOOKUP('Données projet'!$B$15,Paramètres!$A$1:$I$89,5,0)</f>
        <v>1.2414602679200471E-13</v>
      </c>
      <c r="EL125" s="13">
        <f t="shared" si="99"/>
        <v>1.8186582995804361E-12</v>
      </c>
      <c r="EM125" s="20">
        <f t="shared" si="73"/>
        <v>3.3837175350986671E-12</v>
      </c>
      <c r="EN125" s="59">
        <f t="shared" si="74"/>
        <v>293.33333333333672</v>
      </c>
      <c r="EO125" s="59">
        <f ca="1">AVERAGE(OFFSET($EN$3,0,0,'Données projet'!$E$15+1,1))-AVERAGE(OFFSET($H$3,0,0,'Données projet'!$E$15+1,1))</f>
        <v>168.72306536277267</v>
      </c>
      <c r="EP125" s="59">
        <f t="shared" si="100"/>
        <v>203.35476578922339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0.49191656089894092</v>
      </c>
      <c r="EW125" s="21">
        <f>EXP(-LN(2)/25)*EW124+(1-EXP(-LN(2)/25))/(LN(2)/25)*Calculateur!ER125*Calculateur!ET125*VLOOKUP('Données projet'!$B$15,Paramètres!$A$1:$I$89,3,0)*0.475*44/12</f>
        <v>1.7933065352198696</v>
      </c>
      <c r="EX125" s="21">
        <f>EXP(-LN(2)/2)*EX124+(1-EXP(-LN(2)/2))/(LN(2)/2)*ER125*EU125*VLOOKUP('Données projet'!$B$15,Paramètres!$A$1:$I$89,3,0)*0.475*44/12</f>
        <v>2.8455597518599896E-13</v>
      </c>
      <c r="EY125" s="22">
        <f t="shared" si="75"/>
        <v>2.2852230961190951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3.4106051316484809E-13</v>
      </c>
      <c r="FF125" s="17">
        <f>FE125*VLOOKUP('Données projet'!$B$16,Paramètres!$A$1:$I$89,3,0)*VLOOKUP('Données projet'!$B$16,Paramètres!$A$1:$I$89,5,0)</f>
        <v>1.8621904018800707E-13</v>
      </c>
      <c r="FG125" s="13">
        <f t="shared" si="101"/>
        <v>2.6022279988572714E-12</v>
      </c>
      <c r="FH125" s="20">
        <f t="shared" si="76"/>
        <v>4.8565452596705266E-12</v>
      </c>
      <c r="FI125" s="59">
        <f t="shared" si="77"/>
        <v>293.33333333333815</v>
      </c>
      <c r="FJ125" s="59">
        <f ca="1">AVERAGE(OFFSET($FI$3,0,0,'Données projet'!$E$16+1,1))-AVERAGE(OFFSET($H$3,0,0,'Données projet'!$E$16+1,1))</f>
        <v>127.76128532861486</v>
      </c>
      <c r="FK125" s="59">
        <f t="shared" si="102"/>
        <v>157.52303491639736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>
        <f>EXP(-LN(2)/35)*FQ124+(1-EXP(-LN(2)/35))/(LN(2)/35)*FM125*FN125*VLOOKUP('Données projet'!$B$16,Paramètres!$A$1:$I$89,3,0)*0.475*44/12</f>
        <v>0.3935332487191528</v>
      </c>
      <c r="FR125" s="21">
        <f>EXP(-LN(2)/25)*FR124+(1-EXP(-LN(2)/25))/(LN(2)/25)*Calculateur!FM125*Calculateur!FO125*VLOOKUP('Données projet'!$B$16,Paramètres!$A$1:$I$89,3,0)*0.475*44/12</f>
        <v>1.2733962175841949</v>
      </c>
      <c r="FS125" s="21">
        <f>EXP(-LN(2)/2)*FS124+(1-EXP(-LN(2)/2))/(LN(2)/2)*FM125*FP125*VLOOKUP('Données projet'!$B$16,Paramètres!$A$1:$I$89,3,0)*0.475*44/12</f>
        <v>2.2591520692769884E-13</v>
      </c>
      <c r="FT125" s="22">
        <f t="shared" si="78"/>
        <v>1.6669294663035734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5.3066239316239274</v>
      </c>
      <c r="N126" s="13">
        <f>IF('Données projet'!$A$36&gt;35,N125+M126-V125,IF(A126&lt;'Données projet'!$A$36,$K$205^A126,IF(A126='Données projet'!$A$36,'Données projet'!$B$36,N125+M126-V125)))</f>
        <v>267.68162393162351</v>
      </c>
      <c r="O126" s="13">
        <f>N126*VLOOKUP('Données projet'!$B$9,Paramètres!$A$1:$I$89,3,0)*VLOOKUP('Données projet'!$B$9,Paramètres!$A$1:$I$89,5,0)</f>
        <v>242.19833333333295</v>
      </c>
      <c r="P126" s="13">
        <f t="shared" si="87"/>
        <v>58.912261318352805</v>
      </c>
      <c r="Q126" s="20">
        <f t="shared" si="107"/>
        <v>524.43428568501929</v>
      </c>
      <c r="R126" s="59">
        <f t="shared" si="55"/>
        <v>817.76761901835266</v>
      </c>
      <c r="S126" s="59">
        <f ca="1">AVERAGE(OFFSET($R$3,0,0,'Données projet'!$E$9+1,1))-AVERAGE(OFFSET($H$3,0,0,'Données projet'!$E$9+1,1))</f>
        <v>153.45079678708987</v>
      </c>
      <c r="T126" s="59">
        <f t="shared" si="88"/>
        <v>115.4217868409637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0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4.8538461538461579</v>
      </c>
      <c r="AI126" s="13">
        <f>IF('Données projet'!$A$62&gt;35,AI125+AH126-AQ125,IF(A126&lt;'Données projet'!$A$62,$AF$205^A126,IF(A126='Données projet'!$A$62,'Données projet'!$B$62,AI125+AH126-AQ125)))</f>
        <v>194.45000000000005</v>
      </c>
      <c r="AJ126" s="13">
        <f>AI126*VLOOKUP('Données projet'!$B$10,Paramètres!$A$1:$I$89,3,0)*VLOOKUP('Données projet'!$B$10,Paramètres!$A$1:$I$89,5,0)</f>
        <v>175.93836000000005</v>
      </c>
      <c r="AK126" s="13">
        <f t="shared" si="89"/>
        <v>44.417349294615939</v>
      </c>
      <c r="AL126" s="20">
        <f t="shared" si="58"/>
        <v>383.78619368812286</v>
      </c>
      <c r="AM126" s="59">
        <f t="shared" si="59"/>
        <v>677.11952702145618</v>
      </c>
      <c r="AN126" s="59">
        <f ca="1">AVERAGE(OFFSET($AM$3,0,0,'Données projet'!$E$10+1,1))-AVERAGE(OFFSET($H$3,0,0,'Données projet'!$E$10+1,1))</f>
        <v>123.92486590666675</v>
      </c>
      <c r="AO126" s="59">
        <f t="shared" si="90"/>
        <v>54.404493017418986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0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1.1368683772161603E-13</v>
      </c>
      <c r="BE126" s="13">
        <f>BD126*VLOOKUP('Données projet'!$B$11,Paramètres!$A$1:$I$89,3,0)*VLOOKUP('Données projet'!$B$11,Paramètres!$A$1:$I$89,5,0)</f>
        <v>6.3550942286383367E-14</v>
      </c>
      <c r="BF126" s="13">
        <f t="shared" si="91"/>
        <v>1.0064464192543978E-12</v>
      </c>
      <c r="BG126" s="20">
        <f t="shared" si="61"/>
        <v>1.8635787380168604E-12</v>
      </c>
      <c r="BH126" s="59">
        <f t="shared" si="62"/>
        <v>293.33333333333519</v>
      </c>
      <c r="BI126" s="59">
        <f ca="1">AVERAGE(OFFSET($BH$3,0,0,'Données projet'!$E$11+1,1))-AVERAGE(OFFSET($H$3,0,0,'Données projet'!$E$11+1,1))</f>
        <v>224.7049802939942</v>
      </c>
      <c r="BJ126" s="59">
        <f t="shared" si="92"/>
        <v>203.48513862195352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0.35371307355753645</v>
      </c>
      <c r="BQ126" s="21">
        <f>EXP(-LN(2)/25)*BQ125+(1-EXP(-LN(2)/25))/(LN(2)/25)*Calculateur!BL126*Calculateur!BN126*VLOOKUP('Données projet'!$B$11,Paramètres!$A$1:$I$89,3,0)*0.475*44/12</f>
        <v>1.4816613410028057</v>
      </c>
      <c r="BR126" s="21">
        <f>EXP(-LN(2)/2)*BR125+(1-EXP(-LN(2)/2))/(LN(2)/2)*BL126*BO126*VLOOKUP('Données projet'!$B$11,Paramètres!$A$1:$I$89,3,0)*0.475*44/12</f>
        <v>9.0041537628506607E-14</v>
      </c>
      <c r="BS126" s="22">
        <f t="shared" si="63"/>
        <v>1.8353744145604323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6.2527760746888816E-13</v>
      </c>
      <c r="BZ126" s="13">
        <f>BY126*VLOOKUP('Données projet'!$B$12,Paramètres!$A$1:$I$89,3,0)*VLOOKUP('Données projet'!$B$12,Paramètres!$A$1:$I$89,5,0)</f>
        <v>3.4953018257510848E-13</v>
      </c>
      <c r="CA126" s="13">
        <f t="shared" si="93"/>
        <v>4.5391562386470354E-12</v>
      </c>
      <c r="CB126" s="20">
        <f t="shared" si="64"/>
        <v>8.5144621836285662E-12</v>
      </c>
      <c r="CC126" s="59">
        <f t="shared" si="65"/>
        <v>293.33333333334184</v>
      </c>
      <c r="CD126" s="59">
        <f ca="1">AVERAGE(OFFSET($CC$3,0,0,'Données projet'!$E$12+1,1))-AVERAGE(OFFSET($H$3,0,0,'Données projet'!$E$12+1,1))</f>
        <v>190.08613104982993</v>
      </c>
      <c r="CE126" s="59">
        <f t="shared" si="94"/>
        <v>180.55054525447781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0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497</v>
      </c>
      <c r="CU126" s="17">
        <f>CT126*VLOOKUP('Données projet'!$B$13,Paramètres!$A$1:$I$89,3,0)*VLOOKUP('Données projet'!$B$13,Paramètres!$A$1:$I$89,5,0)</f>
        <v>297.20600000000002</v>
      </c>
      <c r="CV126" s="13">
        <f t="shared" si="95"/>
        <v>70.590415164571112</v>
      </c>
      <c r="CW126" s="20">
        <f t="shared" si="67"/>
        <v>640.57875641162809</v>
      </c>
      <c r="CX126" s="59">
        <f t="shared" si="68"/>
        <v>933.91208974496135</v>
      </c>
      <c r="CY126" s="59">
        <f ca="1">AVERAGE(OFFSET($CX$3,0,0,'Données projet'!$E$13+1,1))-AVERAGE(OFFSET($H$3,0,0,'Données projet'!$E$13+1,1))</f>
        <v>270.30888762640245</v>
      </c>
      <c r="CZ126" s="59">
        <f t="shared" si="96"/>
        <v>202.23783851977691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0.33955771454453082</v>
      </c>
      <c r="DG126" s="21">
        <f>EXP(-LN(2)/25)*DG125+(1-EXP(-LN(2)/25))/(LN(2)/25)*Calculateur!DB126*Calculateur!DD126*VLOOKUP('Données projet'!$B$13,Paramètres!$A$1:$I$89,3,0)*0.475*44/12</f>
        <v>0.93304867908168077</v>
      </c>
      <c r="DH126" s="21">
        <f>EXP(-LN(2)/2)*DH125+(1-EXP(-LN(2)/2))/(LN(2)/2)*DB126*DE126*VLOOKUP('Données projet'!$B$13,Paramètres!$A$1:$I$89,3,0)*0.475*44/12</f>
        <v>1.8582467381117266E-13</v>
      </c>
      <c r="DI126" s="22">
        <f t="shared" si="69"/>
        <v>1.2726063936263974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433.00000000000011</v>
      </c>
      <c r="DP126" s="17">
        <f>DO126*VLOOKUP('Données projet'!$B$14,Paramètres!$A$1:$I$89,3,0)*VLOOKUP('Données projet'!$B$14,Paramètres!$A$1:$I$89,5,0)</f>
        <v>258.93400000000008</v>
      </c>
      <c r="DQ126" s="13">
        <f t="shared" si="97"/>
        <v>62.495095530116075</v>
      </c>
      <c r="DR126" s="20">
        <f t="shared" si="70"/>
        <v>559.82234138161891</v>
      </c>
      <c r="DS126" s="59">
        <f t="shared" si="71"/>
        <v>853.15567471495228</v>
      </c>
      <c r="DT126" s="59">
        <f ca="1">AVERAGE(OFFSET($DS$3,0,0,'Données projet'!$E$14+1,1))-AVERAGE(OFFSET($H$3,0,0,'Données projet'!$E$14+1,1))</f>
        <v>221.14988592347311</v>
      </c>
      <c r="DU126" s="59">
        <f t="shared" si="98"/>
        <v>179.09262081171607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0.36219489551416617</v>
      </c>
      <c r="EB126" s="21">
        <f>EXP(-LN(2)/25)*EB125+(1-EXP(-LN(2)/25))/(LN(2)/25)*Calculateur!DW126*Calculateur!DY126*VLOOKUP('Données projet'!$B$14,Paramètres!$A$1:$I$89,3,0)*0.475*44/12</f>
        <v>0.77712270880735723</v>
      </c>
      <c r="EC126" s="21">
        <f>EXP(-LN(2)/2)*EC125+(1-EXP(-LN(2)/2))/(LN(2)/2)*DW126*DZ126*VLOOKUP('Données projet'!$B$14,Paramètres!$A$1:$I$89,3,0)*0.475*44/12</f>
        <v>1.9594510227045393E-13</v>
      </c>
      <c r="ED126" s="22">
        <f t="shared" si="72"/>
        <v>1.1393176043217192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2.2737367544323206E-13</v>
      </c>
      <c r="EK126" s="17">
        <f>EJ126*VLOOKUP('Données projet'!$B$15,Paramètres!$A$1:$I$89,3,0)*VLOOKUP('Données projet'!$B$15,Paramètres!$A$1:$I$89,5,0)</f>
        <v>1.2414602679200471E-13</v>
      </c>
      <c r="EL126" s="13">
        <f t="shared" si="99"/>
        <v>1.8186582995804361E-12</v>
      </c>
      <c r="EM126" s="20">
        <f t="shared" si="73"/>
        <v>3.3837175350986671E-12</v>
      </c>
      <c r="EN126" s="59">
        <f t="shared" si="74"/>
        <v>293.33333333333672</v>
      </c>
      <c r="EO126" s="59">
        <f ca="1">AVERAGE(OFFSET($EN$3,0,0,'Données projet'!$E$15+1,1))-AVERAGE(OFFSET($H$3,0,0,'Données projet'!$E$15+1,1))</f>
        <v>168.72306536277267</v>
      </c>
      <c r="EP126" s="59">
        <f t="shared" si="100"/>
        <v>203.35476578922339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0.48227037717918841</v>
      </c>
      <c r="EW126" s="21">
        <f>EXP(-LN(2)/25)*EW125+(1-EXP(-LN(2)/25))/(LN(2)/25)*Calculateur!ER126*Calculateur!ET126*VLOOKUP('Données projet'!$B$15,Paramètres!$A$1:$I$89,3,0)*0.475*44/12</f>
        <v>1.7442684737083902</v>
      </c>
      <c r="EX126" s="21">
        <f>EXP(-LN(2)/2)*EX125+(1-EXP(-LN(2)/2))/(LN(2)/2)*ER126*EU126*VLOOKUP('Données projet'!$B$15,Paramètres!$A$1:$I$89,3,0)*0.475*44/12</f>
        <v>2.0121145968117082E-13</v>
      </c>
      <c r="EY126" s="22">
        <f t="shared" si="75"/>
        <v>2.2265388508877799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3.4106051316484809E-13</v>
      </c>
      <c r="FF126" s="17">
        <f>FE126*VLOOKUP('Données projet'!$B$16,Paramètres!$A$1:$I$89,3,0)*VLOOKUP('Données projet'!$B$16,Paramètres!$A$1:$I$89,5,0)</f>
        <v>1.8621904018800707E-13</v>
      </c>
      <c r="FG126" s="13">
        <f t="shared" si="101"/>
        <v>2.6022279988572714E-12</v>
      </c>
      <c r="FH126" s="20">
        <f t="shared" si="76"/>
        <v>4.8565452596705266E-12</v>
      </c>
      <c r="FI126" s="59">
        <f t="shared" si="77"/>
        <v>293.33333333333815</v>
      </c>
      <c r="FJ126" s="59">
        <f ca="1">AVERAGE(OFFSET($FI$3,0,0,'Données projet'!$E$16+1,1))-AVERAGE(OFFSET($H$3,0,0,'Données projet'!$E$16+1,1))</f>
        <v>127.76128532861486</v>
      </c>
      <c r="FK126" s="59">
        <f t="shared" si="102"/>
        <v>157.52303491639736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>
        <f>EXP(-LN(2)/35)*FQ125+(1-EXP(-LN(2)/35))/(LN(2)/35)*FM126*FN126*VLOOKUP('Données projet'!$B$16,Paramètres!$A$1:$I$89,3,0)*0.475*44/12</f>
        <v>0.3858163017433508</v>
      </c>
      <c r="FR126" s="21">
        <f>EXP(-LN(2)/25)*FR125+(1-EXP(-LN(2)/25))/(LN(2)/25)*Calculateur!FM126*Calculateur!FO126*VLOOKUP('Données projet'!$B$16,Paramètres!$A$1:$I$89,3,0)*0.475*44/12</f>
        <v>1.2385751310493585</v>
      </c>
      <c r="FS126" s="21">
        <f>EXP(-LN(2)/2)*FS125+(1-EXP(-LN(2)/2))/(LN(2)/2)*FM126*FP126*VLOOKUP('Données projet'!$B$16,Paramètres!$A$1:$I$89,3,0)*0.475*44/12</f>
        <v>1.5974617479173796E-13</v>
      </c>
      <c r="FT126" s="22">
        <f t="shared" si="78"/>
        <v>1.624391432792869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5.3066239316239274</v>
      </c>
      <c r="N127" s="13">
        <f>IF('Données projet'!$A$36&gt;35,N126+M127-V126,IF(A127&lt;'Données projet'!$A$36,$K$205^A127,IF(A127='Données projet'!$A$36,'Données projet'!$B$36,N126+M127-V126)))</f>
        <v>272.98824786324741</v>
      </c>
      <c r="O127" s="13">
        <f>N127*VLOOKUP('Données projet'!$B$9,Paramètres!$A$1:$I$89,3,0)*VLOOKUP('Données projet'!$B$9,Paramètres!$A$1:$I$89,5,0)</f>
        <v>246.99976666666623</v>
      </c>
      <c r="P127" s="13">
        <f t="shared" si="87"/>
        <v>59.943035297333779</v>
      </c>
      <c r="Q127" s="20">
        <f t="shared" si="107"/>
        <v>534.59204675396666</v>
      </c>
      <c r="R127" s="59">
        <f t="shared" si="55"/>
        <v>827.92538008730003</v>
      </c>
      <c r="S127" s="59">
        <f ca="1">AVERAGE(OFFSET($R$3,0,0,'Données projet'!$E$9+1,1))-AVERAGE(OFFSET($H$3,0,0,'Données projet'!$E$9+1,1))</f>
        <v>153.45079678708987</v>
      </c>
      <c r="T127" s="59">
        <f t="shared" si="88"/>
        <v>115.4217868409637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0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4.8538461538461579</v>
      </c>
      <c r="AI127" s="13">
        <f>IF('Données projet'!$A$62&gt;35,AI126+AH127-AQ126,IF(A127&lt;'Données projet'!$A$62,$AF$205^A127,IF(A127='Données projet'!$A$62,'Données projet'!$B$62,AI126+AH127-AQ126)))</f>
        <v>199.30384615384619</v>
      </c>
      <c r="AJ127" s="13">
        <f>AI127*VLOOKUP('Données projet'!$B$10,Paramètres!$A$1:$I$89,3,0)*VLOOKUP('Données projet'!$B$10,Paramètres!$A$1:$I$89,5,0)</f>
        <v>180.33012000000002</v>
      </c>
      <c r="AK127" s="13">
        <f t="shared" si="89"/>
        <v>45.395623950311986</v>
      </c>
      <c r="AL127" s="20">
        <f t="shared" si="58"/>
        <v>393.13900404679339</v>
      </c>
      <c r="AM127" s="59">
        <f t="shared" si="59"/>
        <v>686.47233738012665</v>
      </c>
      <c r="AN127" s="59">
        <f ca="1">AVERAGE(OFFSET($AM$3,0,0,'Données projet'!$E$10+1,1))-AVERAGE(OFFSET($H$3,0,0,'Données projet'!$E$10+1,1))</f>
        <v>123.92486590666675</v>
      </c>
      <c r="AO127" s="59">
        <f t="shared" si="90"/>
        <v>54.404493017418986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0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1.1368683772161603E-13</v>
      </c>
      <c r="BE127" s="13">
        <f>BD127*VLOOKUP('Données projet'!$B$11,Paramètres!$A$1:$I$89,3,0)*VLOOKUP('Données projet'!$B$11,Paramètres!$A$1:$I$89,5,0)</f>
        <v>6.3550942286383367E-14</v>
      </c>
      <c r="BF127" s="13">
        <f t="shared" si="91"/>
        <v>1.0064464192543978E-12</v>
      </c>
      <c r="BG127" s="20">
        <f t="shared" si="61"/>
        <v>1.8635787380168604E-12</v>
      </c>
      <c r="BH127" s="59">
        <f t="shared" si="62"/>
        <v>293.33333333333519</v>
      </c>
      <c r="BI127" s="59">
        <f ca="1">AVERAGE(OFFSET($BH$3,0,0,'Données projet'!$E$11+1,1))-AVERAGE(OFFSET($H$3,0,0,'Données projet'!$E$11+1,1))</f>
        <v>224.7049802939942</v>
      </c>
      <c r="BJ127" s="59">
        <f t="shared" si="92"/>
        <v>203.48513862195352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0.34677697592874512</v>
      </c>
      <c r="BQ127" s="21">
        <f>EXP(-LN(2)/25)*BQ126+(1-EXP(-LN(2)/25))/(LN(2)/25)*Calculateur!BL127*Calculateur!BN127*VLOOKUP('Données projet'!$B$11,Paramètres!$A$1:$I$89,3,0)*0.475*44/12</f>
        <v>1.4411452337159003</v>
      </c>
      <c r="BR127" s="21">
        <f>EXP(-LN(2)/2)*BR126+(1-EXP(-LN(2)/2))/(LN(2)/2)*BL127*BO127*VLOOKUP('Données projet'!$B$11,Paramètres!$A$1:$I$89,3,0)*0.475*44/12</f>
        <v>6.3668981845580707E-14</v>
      </c>
      <c r="BS127" s="22">
        <f t="shared" si="63"/>
        <v>1.7879222096447092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6.2527760746888816E-13</v>
      </c>
      <c r="BZ127" s="13">
        <f>BY127*VLOOKUP('Données projet'!$B$12,Paramètres!$A$1:$I$89,3,0)*VLOOKUP('Données projet'!$B$12,Paramètres!$A$1:$I$89,5,0)</f>
        <v>3.4953018257510848E-13</v>
      </c>
      <c r="CA127" s="13">
        <f t="shared" si="93"/>
        <v>4.5391562386470354E-12</v>
      </c>
      <c r="CB127" s="20">
        <f t="shared" si="64"/>
        <v>8.5144621836285662E-12</v>
      </c>
      <c r="CC127" s="59">
        <f t="shared" si="65"/>
        <v>293.33333333334184</v>
      </c>
      <c r="CD127" s="59">
        <f ca="1">AVERAGE(OFFSET($CC$3,0,0,'Données projet'!$E$12+1,1))-AVERAGE(OFFSET($H$3,0,0,'Données projet'!$E$12+1,1))</f>
        <v>190.08613104982993</v>
      </c>
      <c r="CE127" s="59">
        <f t="shared" si="94"/>
        <v>180.55054525447781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0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497</v>
      </c>
      <c r="CU127" s="17">
        <f>CT127*VLOOKUP('Données projet'!$B$13,Paramètres!$A$1:$I$89,3,0)*VLOOKUP('Données projet'!$B$13,Paramètres!$A$1:$I$89,5,0)</f>
        <v>297.20600000000002</v>
      </c>
      <c r="CV127" s="13">
        <f t="shared" si="95"/>
        <v>70.590415164571112</v>
      </c>
      <c r="CW127" s="20">
        <f t="shared" si="67"/>
        <v>640.57875641162809</v>
      </c>
      <c r="CX127" s="59">
        <f t="shared" si="68"/>
        <v>933.91208974496135</v>
      </c>
      <c r="CY127" s="59">
        <f ca="1">AVERAGE(OFFSET($CX$3,0,0,'Données projet'!$E$13+1,1))-AVERAGE(OFFSET($H$3,0,0,'Données projet'!$E$13+1,1))</f>
        <v>270.30888762640245</v>
      </c>
      <c r="CZ127" s="59">
        <f t="shared" si="96"/>
        <v>202.23783851977691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0.33289919487206804</v>
      </c>
      <c r="DG127" s="21">
        <f>EXP(-LN(2)/25)*DG126+(1-EXP(-LN(2)/25))/(LN(2)/25)*Calculateur!DB127*Calculateur!DD127*VLOOKUP('Données projet'!$B$13,Paramètres!$A$1:$I$89,3,0)*0.475*44/12</f>
        <v>0.90753441388529466</v>
      </c>
      <c r="DH127" s="21">
        <f>EXP(-LN(2)/2)*DH126+(1-EXP(-LN(2)/2))/(LN(2)/2)*DB127*DE127*VLOOKUP('Données projet'!$B$13,Paramètres!$A$1:$I$89,3,0)*0.475*44/12</f>
        <v>1.3139788696365844E-13</v>
      </c>
      <c r="DI127" s="22">
        <f t="shared" si="69"/>
        <v>1.2404336087574941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433.00000000000011</v>
      </c>
      <c r="DP127" s="17">
        <f>DO127*VLOOKUP('Données projet'!$B$14,Paramètres!$A$1:$I$89,3,0)*VLOOKUP('Données projet'!$B$14,Paramètres!$A$1:$I$89,5,0)</f>
        <v>258.93400000000008</v>
      </c>
      <c r="DQ127" s="13">
        <f t="shared" si="97"/>
        <v>62.495095530116075</v>
      </c>
      <c r="DR127" s="20">
        <f t="shared" si="70"/>
        <v>559.82234138161891</v>
      </c>
      <c r="DS127" s="59">
        <f t="shared" si="71"/>
        <v>853.15567471495228</v>
      </c>
      <c r="DT127" s="59">
        <f ca="1">AVERAGE(OFFSET($DS$3,0,0,'Données projet'!$E$14+1,1))-AVERAGE(OFFSET($H$3,0,0,'Données projet'!$E$14+1,1))</f>
        <v>221.14988592347311</v>
      </c>
      <c r="DU127" s="59">
        <f t="shared" si="98"/>
        <v>179.09262081171607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0.35509247453020587</v>
      </c>
      <c r="EB127" s="21">
        <f>EXP(-LN(2)/25)*EB126+(1-EXP(-LN(2)/25))/(LN(2)/25)*Calculateur!DW127*Calculateur!DY127*VLOOKUP('Données projet'!$B$14,Paramètres!$A$1:$I$89,3,0)*0.475*44/12</f>
        <v>0.75587224746791293</v>
      </c>
      <c r="EC127" s="21">
        <f>EXP(-LN(2)/2)*EC126+(1-EXP(-LN(2)/2))/(LN(2)/2)*DW127*DZ127*VLOOKUP('Données projet'!$B$14,Paramètres!$A$1:$I$89,3,0)*0.475*44/12</f>
        <v>1.3855411055572954E-13</v>
      </c>
      <c r="ED127" s="22">
        <f t="shared" si="72"/>
        <v>1.1109647219982572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2.2737367544323206E-13</v>
      </c>
      <c r="EK127" s="17">
        <f>EJ127*VLOOKUP('Données projet'!$B$15,Paramètres!$A$1:$I$89,3,0)*VLOOKUP('Données projet'!$B$15,Paramètres!$A$1:$I$89,5,0)</f>
        <v>1.2414602679200471E-13</v>
      </c>
      <c r="EL127" s="13">
        <f t="shared" si="99"/>
        <v>1.8186582995804361E-12</v>
      </c>
      <c r="EM127" s="20">
        <f t="shared" si="73"/>
        <v>3.3837175350986671E-12</v>
      </c>
      <c r="EN127" s="59">
        <f t="shared" si="74"/>
        <v>293.33333333333672</v>
      </c>
      <c r="EO127" s="59">
        <f ca="1">AVERAGE(OFFSET($EN$3,0,0,'Données projet'!$E$15+1,1))-AVERAGE(OFFSET($H$3,0,0,'Données projet'!$E$15+1,1))</f>
        <v>168.72306536277267</v>
      </c>
      <c r="EP127" s="59">
        <f t="shared" si="100"/>
        <v>203.35476578922339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0.47281334923858914</v>
      </c>
      <c r="EW127" s="21">
        <f>EXP(-LN(2)/25)*EW126+(1-EXP(-LN(2)/25))/(LN(2)/25)*Calculateur!ER127*Calculateur!ET127*VLOOKUP('Données projet'!$B$15,Paramètres!$A$1:$I$89,3,0)*0.475*44/12</f>
        <v>1.6965713605677419</v>
      </c>
      <c r="EX127" s="21">
        <f>EXP(-LN(2)/2)*EX126+(1-EXP(-LN(2)/2))/(LN(2)/2)*ER127*EU127*VLOOKUP('Données projet'!$B$15,Paramètres!$A$1:$I$89,3,0)*0.475*44/12</f>
        <v>1.4227798759299948E-13</v>
      </c>
      <c r="EY127" s="22">
        <f t="shared" si="75"/>
        <v>2.1693847098064731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3.4106051316484809E-13</v>
      </c>
      <c r="FF127" s="17">
        <f>FE127*VLOOKUP('Données projet'!$B$16,Paramètres!$A$1:$I$89,3,0)*VLOOKUP('Données projet'!$B$16,Paramètres!$A$1:$I$89,5,0)</f>
        <v>1.8621904018800707E-13</v>
      </c>
      <c r="FG127" s="13">
        <f t="shared" si="101"/>
        <v>2.6022279988572714E-12</v>
      </c>
      <c r="FH127" s="20">
        <f t="shared" si="76"/>
        <v>4.8565452596705266E-12</v>
      </c>
      <c r="FI127" s="59">
        <f t="shared" si="77"/>
        <v>293.33333333333815</v>
      </c>
      <c r="FJ127" s="59">
        <f ca="1">AVERAGE(OFFSET($FI$3,0,0,'Données projet'!$E$16+1,1))-AVERAGE(OFFSET($H$3,0,0,'Données projet'!$E$16+1,1))</f>
        <v>127.76128532861486</v>
      </c>
      <c r="FK127" s="59">
        <f t="shared" si="102"/>
        <v>157.52303491639736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>
        <f>EXP(-LN(2)/35)*FQ126+(1-EXP(-LN(2)/35))/(LN(2)/35)*FM127*FN127*VLOOKUP('Données projet'!$B$16,Paramètres!$A$1:$I$89,3,0)*0.475*44/12</f>
        <v>0.37825067939087137</v>
      </c>
      <c r="FR127" s="21">
        <f>EXP(-LN(2)/25)*FR126+(1-EXP(-LN(2)/25))/(LN(2)/25)*Calculateur!FM127*Calculateur!FO127*VLOOKUP('Données projet'!$B$16,Paramètres!$A$1:$I$89,3,0)*0.475*44/12</f>
        <v>1.2047062289569783</v>
      </c>
      <c r="FS127" s="21">
        <f>EXP(-LN(2)/2)*FS126+(1-EXP(-LN(2)/2))/(LN(2)/2)*FM127*FP127*VLOOKUP('Données projet'!$B$16,Paramètres!$A$1:$I$89,3,0)*0.475*44/12</f>
        <v>1.1295760346384943E-13</v>
      </c>
      <c r="FT127" s="22">
        <f t="shared" si="78"/>
        <v>1.5829569083479627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>
        <f>VLOOKUP(A128,'Données projet'!$A$35:$I$55,2,0)</f>
        <v>278.29487179487177</v>
      </c>
      <c r="L128" s="12">
        <f>VLOOKUP(A128,'Données projet'!$A$35:$I$55,9,0)</f>
        <v>5.3066239316239274</v>
      </c>
      <c r="M128" s="12">
        <f t="array" ref="M128">INDEX(L:L,MIN(IF(ISNUMBER(L128:L324),ROW(L128:L324),"")))</f>
        <v>5.3066239316239274</v>
      </c>
      <c r="N128" s="13">
        <f>IF('Données projet'!$A$36&gt;35,N127+M128-V127,IF(A128&lt;'Données projet'!$A$36,$K$205^A128,IF(A128='Données projet'!$A$36,'Données projet'!$B$36,N127+M128-V127)))</f>
        <v>278.29487179487131</v>
      </c>
      <c r="O128" s="13">
        <f>N128*VLOOKUP('Données projet'!$B$9,Paramètres!$A$1:$I$89,3,0)*VLOOKUP('Données projet'!$B$9,Paramètres!$A$1:$I$89,5,0)</f>
        <v>251.80119999999957</v>
      </c>
      <c r="P128" s="13">
        <f t="shared" si="87"/>
        <v>60.971479423668242</v>
      </c>
      <c r="Q128" s="20">
        <f t="shared" si="107"/>
        <v>544.74574999622132</v>
      </c>
      <c r="R128" s="59">
        <f t="shared" si="55"/>
        <v>838.07908332955458</v>
      </c>
      <c r="S128" s="59">
        <f ca="1">AVERAGE(OFFSET($R$3,0,0,'Données projet'!$E$9+1,1))-AVERAGE(OFFSET($H$3,0,0,'Données projet'!$E$9+1,1))</f>
        <v>153.45079678708987</v>
      </c>
      <c r="T128" s="59">
        <f t="shared" si="88"/>
        <v>115.4217868409637</v>
      </c>
      <c r="U128" s="15">
        <f>IF(ISNA(VLOOKUP(A128,'Données projet'!$A$35:$I$55,3,0)),0,VLOOKUP(A128,'Données projet'!$A$35:$I$55,3,0))</f>
        <v>10</v>
      </c>
      <c r="V128" s="15">
        <f>IF(ISNA(VLOOKUP(A128,'Données projet'!$A$35:$I$55,4,0)),0,VLOOKUP(A128,'Données projet'!$A$35:$I$55,4,0))</f>
        <v>48.160256410256409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0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4.8538461538461579</v>
      </c>
      <c r="AI128" s="13">
        <f>IF('Données projet'!$A$62&gt;35,AI127+AH128-AQ127,IF(A128&lt;'Données projet'!$A$62,$AF$205^A128,IF(A128='Données projet'!$A$62,'Données projet'!$B$62,AI127+AH128-AQ127)))</f>
        <v>204.15769230769234</v>
      </c>
      <c r="AJ128" s="13">
        <f>AI128*VLOOKUP('Données projet'!$B$10,Paramètres!$A$1:$I$89,3,0)*VLOOKUP('Données projet'!$B$10,Paramètres!$A$1:$I$89,5,0)</f>
        <v>184.72188000000003</v>
      </c>
      <c r="AK128" s="13">
        <f t="shared" si="89"/>
        <v>46.371129025083206</v>
      </c>
      <c r="AL128" s="20">
        <f t="shared" si="58"/>
        <v>402.48699071868663</v>
      </c>
      <c r="AM128" s="59">
        <f t="shared" si="59"/>
        <v>695.82032405201994</v>
      </c>
      <c r="AN128" s="59">
        <f ca="1">AVERAGE(OFFSET($AM$3,0,0,'Données projet'!$E$10+1,1))-AVERAGE(OFFSET($H$3,0,0,'Données projet'!$E$10+1,1))</f>
        <v>123.92486590666675</v>
      </c>
      <c r="AO128" s="59">
        <f t="shared" si="90"/>
        <v>54.404493017418986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0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1.1368683772161603E-13</v>
      </c>
      <c r="BE128" s="13">
        <f>BD128*VLOOKUP('Données projet'!$B$11,Paramètres!$A$1:$I$89,3,0)*VLOOKUP('Données projet'!$B$11,Paramètres!$A$1:$I$89,5,0)</f>
        <v>6.3550942286383367E-14</v>
      </c>
      <c r="BF128" s="13">
        <f t="shared" si="91"/>
        <v>1.0064464192543978E-12</v>
      </c>
      <c r="BG128" s="20">
        <f t="shared" si="61"/>
        <v>1.8635787380168604E-12</v>
      </c>
      <c r="BH128" s="59">
        <f t="shared" si="62"/>
        <v>293.33333333333519</v>
      </c>
      <c r="BI128" s="59">
        <f ca="1">AVERAGE(OFFSET($BH$3,0,0,'Données projet'!$E$11+1,1))-AVERAGE(OFFSET($H$3,0,0,'Données projet'!$E$11+1,1))</f>
        <v>224.7049802939942</v>
      </c>
      <c r="BJ128" s="59">
        <f t="shared" si="92"/>
        <v>203.48513862195352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0.33997689094385258</v>
      </c>
      <c r="BQ128" s="21">
        <f>EXP(-LN(2)/25)*BQ127+(1-EXP(-LN(2)/25))/(LN(2)/25)*Calculateur!BL128*Calculateur!BN128*VLOOKUP('Données projet'!$B$11,Paramètres!$A$1:$I$89,3,0)*0.475*44/12</f>
        <v>1.4017370415134049</v>
      </c>
      <c r="BR128" s="21">
        <f>EXP(-LN(2)/2)*BR127+(1-EXP(-LN(2)/2))/(LN(2)/2)*BL128*BO128*VLOOKUP('Données projet'!$B$11,Paramètres!$A$1:$I$89,3,0)*0.475*44/12</f>
        <v>4.5020768814253304E-14</v>
      </c>
      <c r="BS128" s="22">
        <f t="shared" si="63"/>
        <v>1.7417139324573025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6.2527760746888816E-13</v>
      </c>
      <c r="BZ128" s="13">
        <f>BY128*VLOOKUP('Données projet'!$B$12,Paramètres!$A$1:$I$89,3,0)*VLOOKUP('Données projet'!$B$12,Paramètres!$A$1:$I$89,5,0)</f>
        <v>3.4953018257510848E-13</v>
      </c>
      <c r="CA128" s="13">
        <f t="shared" si="93"/>
        <v>4.5391562386470354E-12</v>
      </c>
      <c r="CB128" s="20">
        <f t="shared" si="64"/>
        <v>8.5144621836285662E-12</v>
      </c>
      <c r="CC128" s="59">
        <f t="shared" si="65"/>
        <v>293.33333333334184</v>
      </c>
      <c r="CD128" s="59">
        <f ca="1">AVERAGE(OFFSET($CC$3,0,0,'Données projet'!$E$12+1,1))-AVERAGE(OFFSET($H$3,0,0,'Données projet'!$E$12+1,1))</f>
        <v>190.08613104982993</v>
      </c>
      <c r="CE128" s="59">
        <f t="shared" si="94"/>
        <v>180.55054525447781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0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497</v>
      </c>
      <c r="CU128" s="17">
        <f>CT128*VLOOKUP('Données projet'!$B$13,Paramètres!$A$1:$I$89,3,0)*VLOOKUP('Données projet'!$B$13,Paramètres!$A$1:$I$89,5,0)</f>
        <v>297.20600000000002</v>
      </c>
      <c r="CV128" s="13">
        <f t="shared" si="95"/>
        <v>70.590415164571112</v>
      </c>
      <c r="CW128" s="20">
        <f t="shared" si="67"/>
        <v>640.57875641162809</v>
      </c>
      <c r="CX128" s="59">
        <f t="shared" si="68"/>
        <v>933.91208974496135</v>
      </c>
      <c r="CY128" s="59">
        <f ca="1">AVERAGE(OFFSET($CX$3,0,0,'Données projet'!$E$13+1,1))-AVERAGE(OFFSET($H$3,0,0,'Données projet'!$E$13+1,1))</f>
        <v>270.30888762640245</v>
      </c>
      <c r="CZ128" s="59">
        <f t="shared" si="96"/>
        <v>202.23783851977691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0.32637124470908629</v>
      </c>
      <c r="DG128" s="21">
        <f>EXP(-LN(2)/25)*DG127+(1-EXP(-LN(2)/25))/(LN(2)/25)*Calculateur!DB128*Calculateur!DD128*VLOOKUP('Données projet'!$B$13,Paramètres!$A$1:$I$89,3,0)*0.475*44/12</f>
        <v>0.8827178376124406</v>
      </c>
      <c r="DH128" s="21">
        <f>EXP(-LN(2)/2)*DH127+(1-EXP(-LN(2)/2))/(LN(2)/2)*DB128*DE128*VLOOKUP('Données projet'!$B$13,Paramètres!$A$1:$I$89,3,0)*0.475*44/12</f>
        <v>9.2912336905586332E-14</v>
      </c>
      <c r="DI128" s="22">
        <f t="shared" si="69"/>
        <v>1.2090890823216198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433.00000000000011</v>
      </c>
      <c r="DP128" s="17">
        <f>DO128*VLOOKUP('Données projet'!$B$14,Paramètres!$A$1:$I$89,3,0)*VLOOKUP('Données projet'!$B$14,Paramètres!$A$1:$I$89,5,0)</f>
        <v>258.93400000000008</v>
      </c>
      <c r="DQ128" s="13">
        <f t="shared" si="97"/>
        <v>62.495095530116075</v>
      </c>
      <c r="DR128" s="20">
        <f t="shared" si="70"/>
        <v>559.82234138161891</v>
      </c>
      <c r="DS128" s="59">
        <f t="shared" si="71"/>
        <v>853.15567471495228</v>
      </c>
      <c r="DT128" s="59">
        <f ca="1">AVERAGE(OFFSET($DS$3,0,0,'Données projet'!$E$14+1,1))-AVERAGE(OFFSET($H$3,0,0,'Données projet'!$E$14+1,1))</f>
        <v>221.14988592347311</v>
      </c>
      <c r="DU128" s="59">
        <f t="shared" si="98"/>
        <v>179.09262081171607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0.34812932768969201</v>
      </c>
      <c r="EB128" s="21">
        <f>EXP(-LN(2)/25)*EB127+(1-EXP(-LN(2)/25))/(LN(2)/25)*Calculateur!DW128*Calculateur!DY128*VLOOKUP('Données projet'!$B$14,Paramètres!$A$1:$I$89,3,0)*0.475*44/12</f>
        <v>0.73520288111130894</v>
      </c>
      <c r="EC128" s="21">
        <f>EXP(-LN(2)/2)*EC127+(1-EXP(-LN(2)/2))/(LN(2)/2)*DW128*DZ128*VLOOKUP('Données projet'!$B$14,Paramètres!$A$1:$I$89,3,0)*0.475*44/12</f>
        <v>9.7972551135226965E-14</v>
      </c>
      <c r="ED128" s="22">
        <f t="shared" si="72"/>
        <v>1.0833322088010988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2.2737367544323206E-13</v>
      </c>
      <c r="EK128" s="17">
        <f>EJ128*VLOOKUP('Données projet'!$B$15,Paramètres!$A$1:$I$89,3,0)*VLOOKUP('Données projet'!$B$15,Paramètres!$A$1:$I$89,5,0)</f>
        <v>1.2414602679200471E-13</v>
      </c>
      <c r="EL128" s="13">
        <f t="shared" si="99"/>
        <v>1.8186582995804361E-12</v>
      </c>
      <c r="EM128" s="20">
        <f t="shared" si="73"/>
        <v>3.3837175350986671E-12</v>
      </c>
      <c r="EN128" s="59">
        <f t="shared" si="74"/>
        <v>293.33333333333672</v>
      </c>
      <c r="EO128" s="59">
        <f ca="1">AVERAGE(OFFSET($EN$3,0,0,'Données projet'!$E$15+1,1))-AVERAGE(OFFSET($H$3,0,0,'Données projet'!$E$15+1,1))</f>
        <v>168.72306536277267</v>
      </c>
      <c r="EP128" s="59">
        <f t="shared" si="100"/>
        <v>203.35476578922339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0.46354176784768752</v>
      </c>
      <c r="EW128" s="21">
        <f>EXP(-LN(2)/25)*EW127+(1-EXP(-LN(2)/25))/(LN(2)/25)*Calculateur!ER128*Calculateur!ET128*VLOOKUP('Données projet'!$B$15,Paramètres!$A$1:$I$89,3,0)*0.475*44/12</f>
        <v>1.6501785274942067</v>
      </c>
      <c r="EX128" s="21">
        <f>EXP(-LN(2)/2)*EX127+(1-EXP(-LN(2)/2))/(LN(2)/2)*ER128*EU128*VLOOKUP('Données projet'!$B$15,Paramètres!$A$1:$I$89,3,0)*0.475*44/12</f>
        <v>1.0060572984058541E-13</v>
      </c>
      <c r="EY128" s="22">
        <f t="shared" si="75"/>
        <v>2.1137202953419951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3.4106051316484809E-13</v>
      </c>
      <c r="FF128" s="17">
        <f>FE128*VLOOKUP('Données projet'!$B$16,Paramètres!$A$1:$I$89,3,0)*VLOOKUP('Données projet'!$B$16,Paramètres!$A$1:$I$89,5,0)</f>
        <v>1.8621904018800707E-13</v>
      </c>
      <c r="FG128" s="13">
        <f t="shared" si="101"/>
        <v>2.6022279988572714E-12</v>
      </c>
      <c r="FH128" s="20">
        <f t="shared" si="76"/>
        <v>4.8565452596705266E-12</v>
      </c>
      <c r="FI128" s="59">
        <f t="shared" si="77"/>
        <v>293.33333333333815</v>
      </c>
      <c r="FJ128" s="59">
        <f ca="1">AVERAGE(OFFSET($FI$3,0,0,'Données projet'!$E$16+1,1))-AVERAGE(OFFSET($H$3,0,0,'Données projet'!$E$16+1,1))</f>
        <v>127.76128532861486</v>
      </c>
      <c r="FK128" s="59">
        <f t="shared" si="102"/>
        <v>157.52303491639736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>
        <f>EXP(-LN(2)/35)*FQ127+(1-EXP(-LN(2)/35))/(LN(2)/35)*FM128*FN128*VLOOKUP('Données projet'!$B$16,Paramètres!$A$1:$I$89,3,0)*0.475*44/12</f>
        <v>0.37083341427815009</v>
      </c>
      <c r="FR128" s="21">
        <f>EXP(-LN(2)/25)*FR127+(1-EXP(-LN(2)/25))/(LN(2)/25)*Calculateur!FM128*Calculateur!FO128*VLOOKUP('Données projet'!$B$16,Paramètres!$A$1:$I$89,3,0)*0.475*44/12</f>
        <v>1.1717634737734026</v>
      </c>
      <c r="FS128" s="21">
        <f>EXP(-LN(2)/2)*FS127+(1-EXP(-LN(2)/2))/(LN(2)/2)*FM128*FP128*VLOOKUP('Données projet'!$B$16,Paramètres!$A$1:$I$89,3,0)*0.475*44/12</f>
        <v>7.9873087395868992E-14</v>
      </c>
      <c r="FT128" s="22">
        <f t="shared" si="78"/>
        <v>1.5425968880516328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5.2446581196581219</v>
      </c>
      <c r="N129" s="13">
        <f>IF('Données projet'!$A$36&gt;35,N128+M129-V128,IF(A129&lt;'Données projet'!$A$36,$K$205^A129,IF(A129='Données projet'!$A$36,'Données projet'!$B$36,N128+M129-V128)))</f>
        <v>235.37927350427304</v>
      </c>
      <c r="O129" s="13">
        <f>N129*VLOOKUP('Données projet'!$B$9,Paramètres!$A$1:$I$89,3,0)*VLOOKUP('Données projet'!$B$9,Paramètres!$A$1:$I$89,5,0)</f>
        <v>212.97116666666628</v>
      </c>
      <c r="P129" s="13">
        <f t="shared" si="87"/>
        <v>52.584328525271125</v>
      </c>
      <c r="Q129" s="20">
        <f t="shared" si="107"/>
        <v>462.50915412595759</v>
      </c>
      <c r="R129" s="59">
        <f t="shared" si="55"/>
        <v>755.84248745929085</v>
      </c>
      <c r="S129" s="59">
        <f ca="1">AVERAGE(OFFSET($R$3,0,0,'Données projet'!$E$9+1,1))-AVERAGE(OFFSET($H$3,0,0,'Données projet'!$E$9+1,1))</f>
        <v>153.45079678708987</v>
      </c>
      <c r="T129" s="59">
        <f t="shared" si="88"/>
        <v>115.4217868409637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0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4.8538461538461579</v>
      </c>
      <c r="AI129" s="13">
        <f>IF('Données projet'!$A$62&gt;35,AI128+AH129-AQ128,IF(A129&lt;'Données projet'!$A$62,$AF$205^A129,IF(A129='Données projet'!$A$62,'Données projet'!$B$62,AI128+AH129-AQ128)))</f>
        <v>209.01153846153849</v>
      </c>
      <c r="AJ129" s="13">
        <f>AI129*VLOOKUP('Données projet'!$B$10,Paramètres!$A$1:$I$89,3,0)*VLOOKUP('Données projet'!$B$10,Paramètres!$A$1:$I$89,5,0)</f>
        <v>189.11364000000003</v>
      </c>
      <c r="AK129" s="13">
        <f t="shared" si="89"/>
        <v>47.34393794259811</v>
      </c>
      <c r="AL129" s="20">
        <f t="shared" si="58"/>
        <v>411.83028158335838</v>
      </c>
      <c r="AM129" s="59">
        <f t="shared" si="59"/>
        <v>705.1636149166917</v>
      </c>
      <c r="AN129" s="59">
        <f ca="1">AVERAGE(OFFSET($AM$3,0,0,'Données projet'!$E$10+1,1))-AVERAGE(OFFSET($H$3,0,0,'Données projet'!$E$10+1,1))</f>
        <v>123.92486590666675</v>
      </c>
      <c r="AO129" s="59">
        <f t="shared" si="90"/>
        <v>54.404493017418986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0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1.1368683772161603E-13</v>
      </c>
      <c r="BE129" s="13">
        <f>BD129*VLOOKUP('Données projet'!$B$11,Paramètres!$A$1:$I$89,3,0)*VLOOKUP('Données projet'!$B$11,Paramètres!$A$1:$I$89,5,0)</f>
        <v>6.3550942286383367E-14</v>
      </c>
      <c r="BF129" s="13">
        <f t="shared" si="91"/>
        <v>1.0064464192543978E-12</v>
      </c>
      <c r="BG129" s="20">
        <f t="shared" si="61"/>
        <v>1.8635787380168604E-12</v>
      </c>
      <c r="BH129" s="59">
        <f t="shared" si="62"/>
        <v>293.33333333333519</v>
      </c>
      <c r="BI129" s="59">
        <f ca="1">AVERAGE(OFFSET($BH$3,0,0,'Données projet'!$E$11+1,1))-AVERAGE(OFFSET($H$3,0,0,'Données projet'!$E$11+1,1))</f>
        <v>224.7049802939942</v>
      </c>
      <c r="BJ129" s="59">
        <f t="shared" si="92"/>
        <v>203.48513862195352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0.33331015147787146</v>
      </c>
      <c r="BQ129" s="21">
        <f>EXP(-LN(2)/25)*BQ128+(1-EXP(-LN(2)/25))/(LN(2)/25)*Calculateur!BL129*Calculateur!BN129*VLOOKUP('Données projet'!$B$11,Paramètres!$A$1:$I$89,3,0)*0.475*44/12</f>
        <v>1.3634064683990736</v>
      </c>
      <c r="BR129" s="21">
        <f>EXP(-LN(2)/2)*BR128+(1-EXP(-LN(2)/2))/(LN(2)/2)*BL129*BO129*VLOOKUP('Données projet'!$B$11,Paramètres!$A$1:$I$89,3,0)*0.475*44/12</f>
        <v>3.1834490922790353E-14</v>
      </c>
      <c r="BS129" s="22">
        <f t="shared" si="63"/>
        <v>1.696716619876977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6.2527760746888816E-13</v>
      </c>
      <c r="BZ129" s="13">
        <f>BY129*VLOOKUP('Données projet'!$B$12,Paramètres!$A$1:$I$89,3,0)*VLOOKUP('Données projet'!$B$12,Paramètres!$A$1:$I$89,5,0)</f>
        <v>3.4953018257510848E-13</v>
      </c>
      <c r="CA129" s="13">
        <f t="shared" si="93"/>
        <v>4.5391562386470354E-12</v>
      </c>
      <c r="CB129" s="20">
        <f t="shared" si="64"/>
        <v>8.5144621836285662E-12</v>
      </c>
      <c r="CC129" s="59">
        <f t="shared" si="65"/>
        <v>293.33333333334184</v>
      </c>
      <c r="CD129" s="59">
        <f ca="1">AVERAGE(OFFSET($CC$3,0,0,'Données projet'!$E$12+1,1))-AVERAGE(OFFSET($H$3,0,0,'Données projet'!$E$12+1,1))</f>
        <v>190.08613104982993</v>
      </c>
      <c r="CE129" s="59">
        <f t="shared" si="94"/>
        <v>180.55054525447781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0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497</v>
      </c>
      <c r="CU129" s="17">
        <f>CT129*VLOOKUP('Données projet'!$B$13,Paramètres!$A$1:$I$89,3,0)*VLOOKUP('Données projet'!$B$13,Paramètres!$A$1:$I$89,5,0)</f>
        <v>297.20600000000002</v>
      </c>
      <c r="CV129" s="13">
        <f t="shared" si="95"/>
        <v>70.590415164571112</v>
      </c>
      <c r="CW129" s="20">
        <f t="shared" si="67"/>
        <v>640.57875641162809</v>
      </c>
      <c r="CX129" s="59">
        <f t="shared" si="68"/>
        <v>933.91208974496135</v>
      </c>
      <c r="CY129" s="59">
        <f ca="1">AVERAGE(OFFSET($CX$3,0,0,'Données projet'!$E$13+1,1))-AVERAGE(OFFSET($H$3,0,0,'Données projet'!$E$13+1,1))</f>
        <v>270.30888762640245</v>
      </c>
      <c r="CZ129" s="59">
        <f t="shared" si="96"/>
        <v>202.23783851977691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0.31997130366714416</v>
      </c>
      <c r="DG129" s="21">
        <f>EXP(-LN(2)/25)*DG128+(1-EXP(-LN(2)/25))/(LN(2)/25)*Calculateur!DB129*Calculateur!DD129*VLOOKUP('Données projet'!$B$13,Paramètres!$A$1:$I$89,3,0)*0.475*44/12</f>
        <v>0.85857987192281482</v>
      </c>
      <c r="DH129" s="21">
        <f>EXP(-LN(2)/2)*DH128+(1-EXP(-LN(2)/2))/(LN(2)/2)*DB129*DE129*VLOOKUP('Données projet'!$B$13,Paramètres!$A$1:$I$89,3,0)*0.475*44/12</f>
        <v>6.5698943481829218E-14</v>
      </c>
      <c r="DI129" s="22">
        <f t="shared" si="69"/>
        <v>1.1785511755900246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433.00000000000011</v>
      </c>
      <c r="DP129" s="17">
        <f>DO129*VLOOKUP('Données projet'!$B$14,Paramètres!$A$1:$I$89,3,0)*VLOOKUP('Données projet'!$B$14,Paramètres!$A$1:$I$89,5,0)</f>
        <v>258.93400000000008</v>
      </c>
      <c r="DQ129" s="13">
        <f t="shared" si="97"/>
        <v>62.495095530116075</v>
      </c>
      <c r="DR129" s="20">
        <f t="shared" si="70"/>
        <v>559.82234138161891</v>
      </c>
      <c r="DS129" s="59">
        <f t="shared" si="71"/>
        <v>853.15567471495228</v>
      </c>
      <c r="DT129" s="59">
        <f ca="1">AVERAGE(OFFSET($DS$3,0,0,'Données projet'!$E$14+1,1))-AVERAGE(OFFSET($H$3,0,0,'Données projet'!$E$14+1,1))</f>
        <v>221.14988592347311</v>
      </c>
      <c r="DU129" s="59">
        <f t="shared" si="98"/>
        <v>179.09262081171607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0.34130272391162042</v>
      </c>
      <c r="EB129" s="21">
        <f>EXP(-LN(2)/25)*EB128+(1-EXP(-LN(2)/25))/(LN(2)/25)*Calculateur!DW129*Calculateur!DY129*VLOOKUP('Données projet'!$B$14,Paramètres!$A$1:$I$89,3,0)*0.475*44/12</f>
        <v>0.71509871966468097</v>
      </c>
      <c r="EC129" s="21">
        <f>EXP(-LN(2)/2)*EC128+(1-EXP(-LN(2)/2))/(LN(2)/2)*DW129*DZ129*VLOOKUP('Données projet'!$B$14,Paramètres!$A$1:$I$89,3,0)*0.475*44/12</f>
        <v>6.9277055277864771E-14</v>
      </c>
      <c r="ED129" s="22">
        <f t="shared" si="72"/>
        <v>1.0564014435763707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2.2737367544323206E-13</v>
      </c>
      <c r="EK129" s="17">
        <f>EJ129*VLOOKUP('Données projet'!$B$15,Paramètres!$A$1:$I$89,3,0)*VLOOKUP('Données projet'!$B$15,Paramètres!$A$1:$I$89,5,0)</f>
        <v>1.2414602679200471E-13</v>
      </c>
      <c r="EL129" s="13">
        <f t="shared" si="99"/>
        <v>1.8186582995804361E-12</v>
      </c>
      <c r="EM129" s="20">
        <f t="shared" si="73"/>
        <v>3.3837175350986671E-12</v>
      </c>
      <c r="EN129" s="59">
        <f t="shared" si="74"/>
        <v>293.33333333333672</v>
      </c>
      <c r="EO129" s="59">
        <f ca="1">AVERAGE(OFFSET($EN$3,0,0,'Données projet'!$E$15+1,1))-AVERAGE(OFFSET($H$3,0,0,'Données projet'!$E$15+1,1))</f>
        <v>168.72306536277267</v>
      </c>
      <c r="EP129" s="59">
        <f t="shared" si="100"/>
        <v>203.35476578922339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0.45445199651275525</v>
      </c>
      <c r="EW129" s="21">
        <f>EXP(-LN(2)/25)*EW128+(1-EXP(-LN(2)/25))/(LN(2)/25)*Calculateur!ER129*Calculateur!ET129*VLOOKUP('Données projet'!$B$15,Paramètres!$A$1:$I$89,3,0)*0.475*44/12</f>
        <v>1.6050543088807603</v>
      </c>
      <c r="EX129" s="21">
        <f>EXP(-LN(2)/2)*EX128+(1-EXP(-LN(2)/2))/(LN(2)/2)*ER129*EU129*VLOOKUP('Données projet'!$B$15,Paramètres!$A$1:$I$89,3,0)*0.475*44/12</f>
        <v>7.1138993796499741E-14</v>
      </c>
      <c r="EY129" s="22">
        <f t="shared" si="75"/>
        <v>2.0595063053935867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3.4106051316484809E-13</v>
      </c>
      <c r="FF129" s="17">
        <f>FE129*VLOOKUP('Données projet'!$B$16,Paramètres!$A$1:$I$89,3,0)*VLOOKUP('Données projet'!$B$16,Paramètres!$A$1:$I$89,5,0)</f>
        <v>1.8621904018800707E-13</v>
      </c>
      <c r="FG129" s="13">
        <f t="shared" si="101"/>
        <v>2.6022279988572714E-12</v>
      </c>
      <c r="FH129" s="20">
        <f t="shared" si="76"/>
        <v>4.8565452596705266E-12</v>
      </c>
      <c r="FI129" s="59">
        <f t="shared" si="77"/>
        <v>293.33333333333815</v>
      </c>
      <c r="FJ129" s="59">
        <f ca="1">AVERAGE(OFFSET($FI$3,0,0,'Données projet'!$E$16+1,1))-AVERAGE(OFFSET($H$3,0,0,'Données projet'!$E$16+1,1))</f>
        <v>127.76128532861486</v>
      </c>
      <c r="FK129" s="59">
        <f t="shared" si="102"/>
        <v>157.52303491639736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>
        <f>EXP(-LN(2)/35)*FQ128+(1-EXP(-LN(2)/35))/(LN(2)/35)*FM129*FN129*VLOOKUP('Données projet'!$B$16,Paramètres!$A$1:$I$89,3,0)*0.475*44/12</f>
        <v>0.36356159721020426</v>
      </c>
      <c r="FR129" s="21">
        <f>EXP(-LN(2)/25)*FR128+(1-EXP(-LN(2)/25))/(LN(2)/25)*Calculateur!FM129*Calculateur!FO129*VLOOKUP('Données projet'!$B$16,Paramètres!$A$1:$I$89,3,0)*0.475*44/12</f>
        <v>1.1397215399627059</v>
      </c>
      <c r="FS129" s="21">
        <f>EXP(-LN(2)/2)*FS128+(1-EXP(-LN(2)/2))/(LN(2)/2)*FM129*FP129*VLOOKUP('Données projet'!$B$16,Paramètres!$A$1:$I$89,3,0)*0.475*44/12</f>
        <v>5.6478801731924728E-14</v>
      </c>
      <c r="FT129" s="22">
        <f t="shared" si="78"/>
        <v>1.5032831371729665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5.2446581196581219</v>
      </c>
      <c r="N130" s="13">
        <f>IF('Données projet'!$A$36&gt;35,N129+M130-V129,IF(A130&lt;'Données projet'!$A$36,$K$205^A130,IF(A130='Données projet'!$A$36,'Données projet'!$B$36,N129+M130-V129)))</f>
        <v>240.62393162393116</v>
      </c>
      <c r="O130" s="13">
        <f>N130*VLOOKUP('Données projet'!$B$9,Paramètres!$A$1:$I$89,3,0)*VLOOKUP('Données projet'!$B$9,Paramètres!$A$1:$I$89,5,0)</f>
        <v>217.7165333333329</v>
      </c>
      <c r="P130" s="13">
        <f t="shared" si="87"/>
        <v>53.618284552972121</v>
      </c>
      <c r="Q130" s="20">
        <f t="shared" si="107"/>
        <v>472.57480781864791</v>
      </c>
      <c r="R130" s="59">
        <f t="shared" si="55"/>
        <v>765.90814115198123</v>
      </c>
      <c r="S130" s="59">
        <f ca="1">AVERAGE(OFFSET($R$3,0,0,'Données projet'!$E$9+1,1))-AVERAGE(OFFSET($H$3,0,0,'Données projet'!$E$9+1,1))</f>
        <v>153.45079678708987</v>
      </c>
      <c r="T130" s="59">
        <f t="shared" si="88"/>
        <v>115.4217868409637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0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4.8538461538461579</v>
      </c>
      <c r="AI130" s="13">
        <f>IF('Données projet'!$A$62&gt;35,AI129+AH130-AQ129,IF(A130&lt;'Données projet'!$A$62,$AF$205^A130,IF(A130='Données projet'!$A$62,'Données projet'!$B$62,AI129+AH130-AQ129)))</f>
        <v>213.86538461538464</v>
      </c>
      <c r="AJ130" s="13">
        <f>AI130*VLOOKUP('Données projet'!$B$10,Paramètres!$A$1:$I$89,3,0)*VLOOKUP('Données projet'!$B$10,Paramètres!$A$1:$I$89,5,0)</f>
        <v>193.50540000000001</v>
      </c>
      <c r="AK130" s="13">
        <f t="shared" si="89"/>
        <v>48.314120521733066</v>
      </c>
      <c r="AL130" s="20">
        <f t="shared" si="58"/>
        <v>421.16899824201846</v>
      </c>
      <c r="AM130" s="59">
        <f t="shared" si="59"/>
        <v>714.50233157535172</v>
      </c>
      <c r="AN130" s="59">
        <f ca="1">AVERAGE(OFFSET($AM$3,0,0,'Données projet'!$E$10+1,1))-AVERAGE(OFFSET($H$3,0,0,'Données projet'!$E$10+1,1))</f>
        <v>123.92486590666675</v>
      </c>
      <c r="AO130" s="59">
        <f t="shared" si="90"/>
        <v>54.404493017418986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0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1.1368683772161603E-13</v>
      </c>
      <c r="BE130" s="13">
        <f>BD130*VLOOKUP('Données projet'!$B$11,Paramètres!$A$1:$I$89,3,0)*VLOOKUP('Données projet'!$B$11,Paramètres!$A$1:$I$89,5,0)</f>
        <v>6.3550942286383367E-14</v>
      </c>
      <c r="BF130" s="13">
        <f t="shared" si="91"/>
        <v>1.0064464192543978E-12</v>
      </c>
      <c r="BG130" s="20">
        <f t="shared" si="61"/>
        <v>1.8635787380168604E-12</v>
      </c>
      <c r="BH130" s="59">
        <f t="shared" si="62"/>
        <v>293.33333333333519</v>
      </c>
      <c r="BI130" s="59">
        <f ca="1">AVERAGE(OFFSET($BH$3,0,0,'Données projet'!$E$11+1,1))-AVERAGE(OFFSET($H$3,0,0,'Données projet'!$E$11+1,1))</f>
        <v>224.7049802939942</v>
      </c>
      <c r="BJ130" s="59">
        <f t="shared" si="92"/>
        <v>203.48513862195352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0.32677414270650867</v>
      </c>
      <c r="BQ130" s="21">
        <f>EXP(-LN(2)/25)*BQ129+(1-EXP(-LN(2)/25))/(LN(2)/25)*Calculateur!BL130*Calculateur!BN130*VLOOKUP('Données projet'!$B$11,Paramètres!$A$1:$I$89,3,0)*0.475*44/12</f>
        <v>1.3261240468222708</v>
      </c>
      <c r="BR130" s="21">
        <f>EXP(-LN(2)/2)*BR129+(1-EXP(-LN(2)/2))/(LN(2)/2)*BL130*BO130*VLOOKUP('Données projet'!$B$11,Paramètres!$A$1:$I$89,3,0)*0.475*44/12</f>
        <v>2.2510384407126652E-14</v>
      </c>
      <c r="BS130" s="22">
        <f t="shared" si="63"/>
        <v>1.652898189528802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6.2527760746888816E-13</v>
      </c>
      <c r="BZ130" s="13">
        <f>BY130*VLOOKUP('Données projet'!$B$12,Paramètres!$A$1:$I$89,3,0)*VLOOKUP('Données projet'!$B$12,Paramètres!$A$1:$I$89,5,0)</f>
        <v>3.4953018257510848E-13</v>
      </c>
      <c r="CA130" s="13">
        <f t="shared" si="93"/>
        <v>4.5391562386470354E-12</v>
      </c>
      <c r="CB130" s="20">
        <f t="shared" si="64"/>
        <v>8.5144621836285662E-12</v>
      </c>
      <c r="CC130" s="59">
        <f t="shared" si="65"/>
        <v>293.33333333334184</v>
      </c>
      <c r="CD130" s="59">
        <f ca="1">AVERAGE(OFFSET($CC$3,0,0,'Données projet'!$E$12+1,1))-AVERAGE(OFFSET($H$3,0,0,'Données projet'!$E$12+1,1))</f>
        <v>190.08613104982993</v>
      </c>
      <c r="CE130" s="59">
        <f t="shared" si="94"/>
        <v>180.55054525447781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0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497</v>
      </c>
      <c r="CU130" s="17">
        <f>CT130*VLOOKUP('Données projet'!$B$13,Paramètres!$A$1:$I$89,3,0)*VLOOKUP('Données projet'!$B$13,Paramètres!$A$1:$I$89,5,0)</f>
        <v>297.20600000000002</v>
      </c>
      <c r="CV130" s="13">
        <f t="shared" si="95"/>
        <v>70.590415164571112</v>
      </c>
      <c r="CW130" s="20">
        <f t="shared" si="67"/>
        <v>640.57875641162809</v>
      </c>
      <c r="CX130" s="59">
        <f t="shared" si="68"/>
        <v>933.91208974496135</v>
      </c>
      <c r="CY130" s="59">
        <f ca="1">AVERAGE(OFFSET($CX$3,0,0,'Données projet'!$E$13+1,1))-AVERAGE(OFFSET($H$3,0,0,'Données projet'!$E$13+1,1))</f>
        <v>270.30888762640245</v>
      </c>
      <c r="CZ130" s="59">
        <f t="shared" si="96"/>
        <v>202.23783851977691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0.31369686156545595</v>
      </c>
      <c r="DG130" s="21">
        <f>EXP(-LN(2)/25)*DG129+(1-EXP(-LN(2)/25))/(LN(2)/25)*Calculateur!DB130*Calculateur!DD130*VLOOKUP('Données projet'!$B$13,Paramètres!$A$1:$I$89,3,0)*0.475*44/12</f>
        <v>0.83510196017433225</v>
      </c>
      <c r="DH130" s="21">
        <f>EXP(-LN(2)/2)*DH129+(1-EXP(-LN(2)/2))/(LN(2)/2)*DB130*DE130*VLOOKUP('Données projet'!$B$13,Paramètres!$A$1:$I$89,3,0)*0.475*44/12</f>
        <v>4.6456168452793166E-14</v>
      </c>
      <c r="DI130" s="22">
        <f t="shared" si="69"/>
        <v>1.1487988217398346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433.00000000000011</v>
      </c>
      <c r="DP130" s="17">
        <f>DO130*VLOOKUP('Données projet'!$B$14,Paramètres!$A$1:$I$89,3,0)*VLOOKUP('Données projet'!$B$14,Paramètres!$A$1:$I$89,5,0)</f>
        <v>258.93400000000008</v>
      </c>
      <c r="DQ130" s="13">
        <f t="shared" si="97"/>
        <v>62.495095530116075</v>
      </c>
      <c r="DR130" s="20">
        <f t="shared" si="70"/>
        <v>559.82234138161891</v>
      </c>
      <c r="DS130" s="59">
        <f t="shared" si="71"/>
        <v>853.15567471495228</v>
      </c>
      <c r="DT130" s="59">
        <f ca="1">AVERAGE(OFFSET($DS$3,0,0,'Données projet'!$E$14+1,1))-AVERAGE(OFFSET($H$3,0,0,'Données projet'!$E$14+1,1))</f>
        <v>221.14988592347311</v>
      </c>
      <c r="DU130" s="59">
        <f t="shared" si="98"/>
        <v>179.09262081171607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0.33460998566981964</v>
      </c>
      <c r="EB130" s="21">
        <f>EXP(-LN(2)/25)*EB129+(1-EXP(-LN(2)/25))/(LN(2)/25)*Calculateur!DW130*Calculateur!DY130*VLOOKUP('Données projet'!$B$14,Paramètres!$A$1:$I$89,3,0)*0.475*44/12</f>
        <v>0.69554430757004293</v>
      </c>
      <c r="EC130" s="21">
        <f>EXP(-LN(2)/2)*EC129+(1-EXP(-LN(2)/2))/(LN(2)/2)*DW130*DZ130*VLOOKUP('Données projet'!$B$14,Paramètres!$A$1:$I$89,3,0)*0.475*44/12</f>
        <v>4.8986275567613482E-14</v>
      </c>
      <c r="ED130" s="22">
        <f t="shared" si="72"/>
        <v>1.0301542932399117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2.2737367544323206E-13</v>
      </c>
      <c r="EK130" s="17">
        <f>EJ130*VLOOKUP('Données projet'!$B$15,Paramètres!$A$1:$I$89,3,0)*VLOOKUP('Données projet'!$B$15,Paramètres!$A$1:$I$89,5,0)</f>
        <v>1.2414602679200471E-13</v>
      </c>
      <c r="EL130" s="13">
        <f t="shared" si="99"/>
        <v>1.8186582995804361E-12</v>
      </c>
      <c r="EM130" s="20">
        <f t="shared" si="73"/>
        <v>3.3837175350986671E-12</v>
      </c>
      <c r="EN130" s="59">
        <f t="shared" si="74"/>
        <v>293.33333333333672</v>
      </c>
      <c r="EO130" s="59">
        <f ca="1">AVERAGE(OFFSET($EN$3,0,0,'Données projet'!$E$15+1,1))-AVERAGE(OFFSET($H$3,0,0,'Données projet'!$E$15+1,1))</f>
        <v>168.72306536277267</v>
      </c>
      <c r="EP130" s="59">
        <f t="shared" si="100"/>
        <v>203.35476578922339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0.44554047004948794</v>
      </c>
      <c r="EW130" s="21">
        <f>EXP(-LN(2)/25)*EW129+(1-EXP(-LN(2)/25))/(LN(2)/25)*Calculateur!ER130*Calculateur!ET130*VLOOKUP('Données projet'!$B$15,Paramètres!$A$1:$I$89,3,0)*0.475*44/12</f>
        <v>1.5611640143982781</v>
      </c>
      <c r="EX130" s="21">
        <f>EXP(-LN(2)/2)*EX129+(1-EXP(-LN(2)/2))/(LN(2)/2)*ER130*EU130*VLOOKUP('Données projet'!$B$15,Paramètres!$A$1:$I$89,3,0)*0.475*44/12</f>
        <v>5.0302864920292705E-14</v>
      </c>
      <c r="EY130" s="22">
        <f t="shared" si="75"/>
        <v>2.0067044844478161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3.4106051316484809E-13</v>
      </c>
      <c r="FF130" s="17">
        <f>FE130*VLOOKUP('Données projet'!$B$16,Paramètres!$A$1:$I$89,3,0)*VLOOKUP('Données projet'!$B$16,Paramètres!$A$1:$I$89,5,0)</f>
        <v>1.8621904018800707E-13</v>
      </c>
      <c r="FG130" s="13">
        <f t="shared" si="101"/>
        <v>2.6022279988572714E-12</v>
      </c>
      <c r="FH130" s="20">
        <f t="shared" si="76"/>
        <v>4.8565452596705266E-12</v>
      </c>
      <c r="FI130" s="59">
        <f t="shared" si="77"/>
        <v>293.33333333333815</v>
      </c>
      <c r="FJ130" s="59">
        <f ca="1">AVERAGE(OFFSET($FI$3,0,0,'Données projet'!$E$16+1,1))-AVERAGE(OFFSET($H$3,0,0,'Données projet'!$E$16+1,1))</f>
        <v>127.76128532861486</v>
      </c>
      <c r="FK130" s="59">
        <f t="shared" si="102"/>
        <v>157.52303491639736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>
        <f>EXP(-LN(2)/35)*FQ129+(1-EXP(-LN(2)/35))/(LN(2)/35)*FM130*FN130*VLOOKUP('Données projet'!$B$16,Paramètres!$A$1:$I$89,3,0)*0.475*44/12</f>
        <v>0.35643237603959038</v>
      </c>
      <c r="FR130" s="21">
        <f>EXP(-LN(2)/25)*FR129+(1-EXP(-LN(2)/25))/(LN(2)/25)*Calculateur!FM130*Calculateur!FO130*VLOOKUP('Données projet'!$B$16,Paramètres!$A$1:$I$89,3,0)*0.475*44/12</f>
        <v>1.1085557945170748</v>
      </c>
      <c r="FS130" s="21">
        <f>EXP(-LN(2)/2)*FS129+(1-EXP(-LN(2)/2))/(LN(2)/2)*FM130*FP130*VLOOKUP('Données projet'!$B$16,Paramètres!$A$1:$I$89,3,0)*0.475*44/12</f>
        <v>3.9936543697934502E-14</v>
      </c>
      <c r="FT130" s="22">
        <f t="shared" si="78"/>
        <v>1.4649881705567052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5.2446581196581219</v>
      </c>
      <c r="N131" s="13">
        <f>IF('Données projet'!$A$36&gt;35,N130+M131-V130,IF(A131&lt;'Données projet'!$A$36,$K$205^A131,IF(A131='Données projet'!$A$36,'Données projet'!$B$36,N130+M131-V130)))</f>
        <v>245.86858974358927</v>
      </c>
      <c r="O131" s="13">
        <f>N131*VLOOKUP('Données projet'!$B$9,Paramètres!$A$1:$I$89,3,0)*VLOOKUP('Données projet'!$B$9,Paramètres!$A$1:$I$89,5,0)</f>
        <v>222.46189999999956</v>
      </c>
      <c r="P131" s="13">
        <f t="shared" si="87"/>
        <v>54.649620474067063</v>
      </c>
      <c r="Q131" s="20">
        <f t="shared" ref="Q131:Q153" si="108">(O131+P131)*0.475*44/12</f>
        <v>482.6358981589994</v>
      </c>
      <c r="R131" s="59">
        <f t="shared" ref="R131:R194" si="109">Q131+(I131+J131)*44/12</f>
        <v>775.96923149233271</v>
      </c>
      <c r="S131" s="59">
        <f ca="1">AVERAGE(OFFSET($R$3,0,0,'Données projet'!$E$9+1,1))-AVERAGE(OFFSET($H$3,0,0,'Données projet'!$E$9+1,1))</f>
        <v>153.45079678708987</v>
      </c>
      <c r="T131" s="59">
        <f t="shared" si="88"/>
        <v>115.4217868409637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0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4.8538461538461579</v>
      </c>
      <c r="AI131" s="13">
        <f>IF('Données projet'!$A$62&gt;35,AI130+AH131-AQ130,IF(A131&lt;'Données projet'!$A$62,$AF$205^A131,IF(A131='Données projet'!$A$62,'Données projet'!$B$62,AI130+AH131-AQ130)))</f>
        <v>218.71923076923079</v>
      </c>
      <c r="AJ131" s="13">
        <f>AI131*VLOOKUP('Données projet'!$B$10,Paramètres!$A$1:$I$89,3,0)*VLOOKUP('Données projet'!$B$10,Paramètres!$A$1:$I$89,5,0)</f>
        <v>197.89716000000001</v>
      </c>
      <c r="AK131" s="13">
        <f t="shared" si="89"/>
        <v>49.281743231287912</v>
      </c>
      <c r="AL131" s="20">
        <f t="shared" si="58"/>
        <v>430.50325646115976</v>
      </c>
      <c r="AM131" s="59">
        <f t="shared" si="59"/>
        <v>723.83658979449308</v>
      </c>
      <c r="AN131" s="59">
        <f ca="1">AVERAGE(OFFSET($AM$3,0,0,'Données projet'!$E$10+1,1))-AVERAGE(OFFSET($H$3,0,0,'Données projet'!$E$10+1,1))</f>
        <v>123.92486590666675</v>
      </c>
      <c r="AO131" s="59">
        <f t="shared" si="90"/>
        <v>54.404493017418986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0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1.1368683772161603E-13</v>
      </c>
      <c r="BE131" s="13">
        <f>BD131*VLOOKUP('Données projet'!$B$11,Paramètres!$A$1:$I$89,3,0)*VLOOKUP('Données projet'!$B$11,Paramètres!$A$1:$I$89,5,0)</f>
        <v>6.3550942286383367E-14</v>
      </c>
      <c r="BF131" s="13">
        <f t="shared" si="91"/>
        <v>1.0064464192543978E-12</v>
      </c>
      <c r="BG131" s="20">
        <f t="shared" si="61"/>
        <v>1.8635787380168604E-12</v>
      </c>
      <c r="BH131" s="59">
        <f t="shared" si="62"/>
        <v>293.33333333333519</v>
      </c>
      <c r="BI131" s="59">
        <f ca="1">AVERAGE(OFFSET($BH$3,0,0,'Données projet'!$E$11+1,1))-AVERAGE(OFFSET($H$3,0,0,'Données projet'!$E$11+1,1))</f>
        <v>224.7049802939942</v>
      </c>
      <c r="BJ131" s="59">
        <f t="shared" si="92"/>
        <v>203.48513862195352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0.32036630108058062</v>
      </c>
      <c r="BQ131" s="21">
        <f>EXP(-LN(2)/25)*BQ130+(1-EXP(-LN(2)/25))/(LN(2)/25)*Calculateur!BL131*Calculateur!BN131*VLOOKUP('Données projet'!$B$11,Paramètres!$A$1:$I$89,3,0)*0.475*44/12</f>
        <v>1.2898611150240831</v>
      </c>
      <c r="BR131" s="21">
        <f>EXP(-LN(2)/2)*BR130+(1-EXP(-LN(2)/2))/(LN(2)/2)*BL131*BO131*VLOOKUP('Données projet'!$B$11,Paramètres!$A$1:$I$89,3,0)*0.475*44/12</f>
        <v>1.5917245461395177E-14</v>
      </c>
      <c r="BS131" s="22">
        <f t="shared" si="63"/>
        <v>1.6102274161046797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6.2527760746888816E-13</v>
      </c>
      <c r="BZ131" s="13">
        <f>BY131*VLOOKUP('Données projet'!$B$12,Paramètres!$A$1:$I$89,3,0)*VLOOKUP('Données projet'!$B$12,Paramètres!$A$1:$I$89,5,0)</f>
        <v>3.4953018257510848E-13</v>
      </c>
      <c r="CA131" s="13">
        <f t="shared" si="93"/>
        <v>4.5391562386470354E-12</v>
      </c>
      <c r="CB131" s="20">
        <f t="shared" si="64"/>
        <v>8.5144621836285662E-12</v>
      </c>
      <c r="CC131" s="59">
        <f t="shared" si="65"/>
        <v>293.33333333334184</v>
      </c>
      <c r="CD131" s="59">
        <f ca="1">AVERAGE(OFFSET($CC$3,0,0,'Données projet'!$E$12+1,1))-AVERAGE(OFFSET($H$3,0,0,'Données projet'!$E$12+1,1))</f>
        <v>190.08613104982993</v>
      </c>
      <c r="CE131" s="59">
        <f t="shared" si="94"/>
        <v>180.55054525447781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0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497</v>
      </c>
      <c r="CU131" s="17">
        <f>CT131*VLOOKUP('Données projet'!$B$13,Paramètres!$A$1:$I$89,3,0)*VLOOKUP('Données projet'!$B$13,Paramètres!$A$1:$I$89,5,0)</f>
        <v>297.20600000000002</v>
      </c>
      <c r="CV131" s="13">
        <f t="shared" si="95"/>
        <v>70.590415164571112</v>
      </c>
      <c r="CW131" s="20">
        <f t="shared" si="67"/>
        <v>640.57875641162809</v>
      </c>
      <c r="CX131" s="59">
        <f t="shared" si="68"/>
        <v>933.91208974496135</v>
      </c>
      <c r="CY131" s="59">
        <f ca="1">AVERAGE(OFFSET($CX$3,0,0,'Données projet'!$E$13+1,1))-AVERAGE(OFFSET($H$3,0,0,'Données projet'!$E$13+1,1))</f>
        <v>270.30888762640245</v>
      </c>
      <c r="CZ131" s="59">
        <f t="shared" si="96"/>
        <v>202.23783851977691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0.30754545744635003</v>
      </c>
      <c r="DG131" s="21">
        <f>EXP(-LN(2)/25)*DG130+(1-EXP(-LN(2)/25))/(LN(2)/25)*Calculateur!DB131*Calculateur!DD131*VLOOKUP('Données projet'!$B$13,Paramètres!$A$1:$I$89,3,0)*0.475*44/12</f>
        <v>0.81226605315726175</v>
      </c>
      <c r="DH131" s="21">
        <f>EXP(-LN(2)/2)*DH130+(1-EXP(-LN(2)/2))/(LN(2)/2)*DB131*DE131*VLOOKUP('Données projet'!$B$13,Paramètres!$A$1:$I$89,3,0)*0.475*44/12</f>
        <v>3.2849471740914609E-14</v>
      </c>
      <c r="DI131" s="22">
        <f t="shared" si="69"/>
        <v>1.1198115106036446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433.00000000000011</v>
      </c>
      <c r="DP131" s="17">
        <f>DO131*VLOOKUP('Données projet'!$B$14,Paramètres!$A$1:$I$89,3,0)*VLOOKUP('Données projet'!$B$14,Paramètres!$A$1:$I$89,5,0)</f>
        <v>258.93400000000008</v>
      </c>
      <c r="DQ131" s="13">
        <f t="shared" si="97"/>
        <v>62.495095530116075</v>
      </c>
      <c r="DR131" s="20">
        <f t="shared" si="70"/>
        <v>559.82234138161891</v>
      </c>
      <c r="DS131" s="59">
        <f t="shared" si="71"/>
        <v>853.15567471495228</v>
      </c>
      <c r="DT131" s="59">
        <f ca="1">AVERAGE(OFFSET($DS$3,0,0,'Données projet'!$E$14+1,1))-AVERAGE(OFFSET($H$3,0,0,'Données projet'!$E$14+1,1))</f>
        <v>221.14988592347311</v>
      </c>
      <c r="DU131" s="59">
        <f t="shared" si="98"/>
        <v>179.09262081171607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0.32804848794277336</v>
      </c>
      <c r="EB131" s="21">
        <f>EXP(-LN(2)/25)*EB130+(1-EXP(-LN(2)/25))/(LN(2)/25)*Calculateur!DW131*Calculateur!DY131*VLOOKUP('Données projet'!$B$14,Paramètres!$A$1:$I$89,3,0)*0.475*44/12</f>
        <v>0.67652461190245461</v>
      </c>
      <c r="EC131" s="21">
        <f>EXP(-LN(2)/2)*EC130+(1-EXP(-LN(2)/2))/(LN(2)/2)*DW131*DZ131*VLOOKUP('Données projet'!$B$14,Paramètres!$A$1:$I$89,3,0)*0.475*44/12</f>
        <v>3.4638527638932385E-14</v>
      </c>
      <c r="ED131" s="22">
        <f t="shared" si="72"/>
        <v>1.0045730998452627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2.2737367544323206E-13</v>
      </c>
      <c r="EK131" s="17">
        <f>EJ131*VLOOKUP('Données projet'!$B$15,Paramètres!$A$1:$I$89,3,0)*VLOOKUP('Données projet'!$B$15,Paramètres!$A$1:$I$89,5,0)</f>
        <v>1.2414602679200471E-13</v>
      </c>
      <c r="EL131" s="13">
        <f t="shared" si="99"/>
        <v>1.8186582995804361E-12</v>
      </c>
      <c r="EM131" s="20">
        <f t="shared" si="73"/>
        <v>3.3837175350986671E-12</v>
      </c>
      <c r="EN131" s="59">
        <f t="shared" si="74"/>
        <v>293.33333333333672</v>
      </c>
      <c r="EO131" s="59">
        <f ca="1">AVERAGE(OFFSET($EN$3,0,0,'Données projet'!$E$15+1,1))-AVERAGE(OFFSET($H$3,0,0,'Données projet'!$E$15+1,1))</f>
        <v>168.72306536277267</v>
      </c>
      <c r="EP131" s="59">
        <f t="shared" si="100"/>
        <v>203.35476578922339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0.43680369318467083</v>
      </c>
      <c r="EW131" s="21">
        <f>EXP(-LN(2)/25)*EW130+(1-EXP(-LN(2)/25))/(LN(2)/25)*Calculateur!ER131*Calculateur!ET131*VLOOKUP('Données projet'!$B$15,Paramètres!$A$1:$I$89,3,0)*0.475*44/12</f>
        <v>1.5184739023265097</v>
      </c>
      <c r="EX131" s="21">
        <f>EXP(-LN(2)/2)*EX130+(1-EXP(-LN(2)/2))/(LN(2)/2)*ER131*EU131*VLOOKUP('Données projet'!$B$15,Paramètres!$A$1:$I$89,3,0)*0.475*44/12</f>
        <v>3.556949689824987E-14</v>
      </c>
      <c r="EY131" s="22">
        <f t="shared" si="75"/>
        <v>1.955277595511216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3.4106051316484809E-13</v>
      </c>
      <c r="FF131" s="17">
        <f>FE131*VLOOKUP('Données projet'!$B$16,Paramètres!$A$1:$I$89,3,0)*VLOOKUP('Données projet'!$B$16,Paramètres!$A$1:$I$89,5,0)</f>
        <v>1.8621904018800707E-13</v>
      </c>
      <c r="FG131" s="13">
        <f t="shared" si="101"/>
        <v>2.6022279988572714E-12</v>
      </c>
      <c r="FH131" s="20">
        <f t="shared" si="76"/>
        <v>4.8565452596705266E-12</v>
      </c>
      <c r="FI131" s="59">
        <f t="shared" si="77"/>
        <v>293.33333333333815</v>
      </c>
      <c r="FJ131" s="59">
        <f ca="1">AVERAGE(OFFSET($FI$3,0,0,'Données projet'!$E$16+1,1))-AVERAGE(OFFSET($H$3,0,0,'Données projet'!$E$16+1,1))</f>
        <v>127.76128532861486</v>
      </c>
      <c r="FK131" s="59">
        <f t="shared" si="102"/>
        <v>157.52303491639736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>
        <f>EXP(-LN(2)/35)*FQ130+(1-EXP(-LN(2)/35))/(LN(2)/35)*FM131*FN131*VLOOKUP('Données projet'!$B$16,Paramètres!$A$1:$I$89,3,0)*0.475*44/12</f>
        <v>0.34944295454773672</v>
      </c>
      <c r="FR131" s="21">
        <f>EXP(-LN(2)/25)*FR130+(1-EXP(-LN(2)/25))/(LN(2)/25)*Calculateur!FM131*Calculateur!FO131*VLOOKUP('Données projet'!$B$16,Paramètres!$A$1:$I$89,3,0)*0.475*44/12</f>
        <v>1.0782422780195897</v>
      </c>
      <c r="FS131" s="21">
        <f>EXP(-LN(2)/2)*FS130+(1-EXP(-LN(2)/2))/(LN(2)/2)*FM131*FP131*VLOOKUP('Données projet'!$B$16,Paramètres!$A$1:$I$89,3,0)*0.475*44/12</f>
        <v>2.8239400865962367E-14</v>
      </c>
      <c r="FT131" s="22">
        <f t="shared" si="78"/>
        <v>1.4276852325673546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5.2446581196581219</v>
      </c>
      <c r="N132" s="13">
        <f>IF('Données projet'!$A$36&gt;35,N131+M132-V131,IF(A132&lt;'Données projet'!$A$36,$K$205^A132,IF(A132='Données projet'!$A$36,'Données projet'!$B$36,N131+M132-V131)))</f>
        <v>251.11324786324738</v>
      </c>
      <c r="O132" s="13">
        <f>N132*VLOOKUP('Données projet'!$B$9,Paramètres!$A$1:$I$89,3,0)*VLOOKUP('Données projet'!$B$9,Paramètres!$A$1:$I$89,5,0)</f>
        <v>227.20726666666624</v>
      </c>
      <c r="P132" s="13">
        <f t="shared" si="87"/>
        <v>55.678398616153615</v>
      </c>
      <c r="Q132" s="20">
        <f t="shared" si="108"/>
        <v>492.69253370091127</v>
      </c>
      <c r="R132" s="59">
        <f t="shared" si="109"/>
        <v>786.02586703424458</v>
      </c>
      <c r="S132" s="59">
        <f ca="1">AVERAGE(OFFSET($R$3,0,0,'Données projet'!$E$9+1,1))-AVERAGE(OFFSET($H$3,0,0,'Données projet'!$E$9+1,1))</f>
        <v>153.45079678708987</v>
      </c>
      <c r="T132" s="59">
        <f t="shared" si="88"/>
        <v>115.4217868409637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0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4.8538461538461579</v>
      </c>
      <c r="AI132" s="13">
        <f>IF('Données projet'!$A$62&gt;35,AI131+AH132-AQ131,IF(A132&lt;'Données projet'!$A$62,$AF$205^A132,IF(A132='Données projet'!$A$62,'Données projet'!$B$62,AI131+AH132-AQ131)))</f>
        <v>223.57307692307694</v>
      </c>
      <c r="AJ132" s="13">
        <f>AI132*VLOOKUP('Données projet'!$B$10,Paramètres!$A$1:$I$89,3,0)*VLOOKUP('Données projet'!$B$10,Paramètres!$A$1:$I$89,5,0)</f>
        <v>202.28892000000002</v>
      </c>
      <c r="AK132" s="13">
        <f t="shared" si="89"/>
        <v>50.246869421453127</v>
      </c>
      <c r="AL132" s="20">
        <f t="shared" ref="AL132:AL153" si="112">(AJ132+AK132)*0.475*44/12</f>
        <v>439.83316657569753</v>
      </c>
      <c r="AM132" s="59">
        <f t="shared" ref="AM132:AM195" si="113">AL132+(AD132+AE132)*44/12</f>
        <v>733.16649990903079</v>
      </c>
      <c r="AN132" s="59">
        <f ca="1">AVERAGE(OFFSET($AM$3,0,0,'Données projet'!$E$10+1,1))-AVERAGE(OFFSET($H$3,0,0,'Données projet'!$E$10+1,1))</f>
        <v>123.92486590666675</v>
      </c>
      <c r="AO132" s="59">
        <f t="shared" si="90"/>
        <v>54.404493017418986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0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1.1368683772161603E-13</v>
      </c>
      <c r="BE132" s="13">
        <f>BD132*VLOOKUP('Données projet'!$B$11,Paramètres!$A$1:$I$89,3,0)*VLOOKUP('Données projet'!$B$11,Paramètres!$A$1:$I$89,5,0)</f>
        <v>6.3550942286383367E-14</v>
      </c>
      <c r="BF132" s="13">
        <f t="shared" si="91"/>
        <v>1.0064464192543978E-12</v>
      </c>
      <c r="BG132" s="20">
        <f t="shared" ref="BG132:BG153" si="115">(BE132+BF132)*0.475*44/12</f>
        <v>1.8635787380168604E-12</v>
      </c>
      <c r="BH132" s="59">
        <f t="shared" ref="BH132:BH195" si="116">BG132+(AY132+AZ132)*44/12</f>
        <v>293.33333333333519</v>
      </c>
      <c r="BI132" s="59">
        <f ca="1">AVERAGE(OFFSET($BH$3,0,0,'Données projet'!$E$11+1,1))-AVERAGE(OFFSET($H$3,0,0,'Données projet'!$E$11+1,1))</f>
        <v>224.7049802939942</v>
      </c>
      <c r="BJ132" s="59">
        <f t="shared" si="92"/>
        <v>203.48513862195352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0.31408411332053954</v>
      </c>
      <c r="BQ132" s="21">
        <f>EXP(-LN(2)/25)*BQ131+(1-EXP(-LN(2)/25))/(LN(2)/25)*Calculateur!BL132*Calculateur!BN132*VLOOKUP('Données projet'!$B$11,Paramètres!$A$1:$I$89,3,0)*0.475*44/12</f>
        <v>1.2545897950029015</v>
      </c>
      <c r="BR132" s="21">
        <f>EXP(-LN(2)/2)*BR131+(1-EXP(-LN(2)/2))/(LN(2)/2)*BL132*BO132*VLOOKUP('Données projet'!$B$11,Paramètres!$A$1:$I$89,3,0)*0.475*44/12</f>
        <v>1.1255192203563326E-14</v>
      </c>
      <c r="BS132" s="22">
        <f t="shared" ref="BS132:BS153" si="117">SUM(BP132:BR132)</f>
        <v>1.5686739083234522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6.2527760746888816E-13</v>
      </c>
      <c r="BZ132" s="13">
        <f>BY132*VLOOKUP('Données projet'!$B$12,Paramètres!$A$1:$I$89,3,0)*VLOOKUP('Données projet'!$B$12,Paramètres!$A$1:$I$89,5,0)</f>
        <v>3.4953018257510848E-13</v>
      </c>
      <c r="CA132" s="13">
        <f t="shared" si="93"/>
        <v>4.5391562386470354E-12</v>
      </c>
      <c r="CB132" s="20">
        <f t="shared" ref="CB132:CB153" si="118">(BZ132+CA132)*0.475*44/12</f>
        <v>8.5144621836285662E-12</v>
      </c>
      <c r="CC132" s="59">
        <f t="shared" ref="CC132:CC195" si="119">CB132+(BT132+BU132)*44/12</f>
        <v>293.33333333334184</v>
      </c>
      <c r="CD132" s="59">
        <f ca="1">AVERAGE(OFFSET($CC$3,0,0,'Données projet'!$E$12+1,1))-AVERAGE(OFFSET($H$3,0,0,'Données projet'!$E$12+1,1))</f>
        <v>190.08613104982993</v>
      </c>
      <c r="CE132" s="59">
        <f t="shared" si="94"/>
        <v>180.55054525447781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0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497</v>
      </c>
      <c r="CU132" s="17">
        <f>CT132*VLOOKUP('Données projet'!$B$13,Paramètres!$A$1:$I$89,3,0)*VLOOKUP('Données projet'!$B$13,Paramètres!$A$1:$I$89,5,0)</f>
        <v>297.20600000000002</v>
      </c>
      <c r="CV132" s="13">
        <f t="shared" si="95"/>
        <v>70.590415164571112</v>
      </c>
      <c r="CW132" s="20">
        <f t="shared" ref="CW132:CW153" si="121">(CU132+CV132)*0.475*44/12</f>
        <v>640.57875641162809</v>
      </c>
      <c r="CX132" s="59">
        <f t="shared" ref="CX132:CX195" si="122">CW132+(CO132+CP132)*44/12</f>
        <v>933.91208974496135</v>
      </c>
      <c r="CY132" s="59">
        <f ca="1">AVERAGE(OFFSET($CX$3,0,0,'Données projet'!$E$13+1,1))-AVERAGE(OFFSET($H$3,0,0,'Données projet'!$E$13+1,1))</f>
        <v>270.30888762640245</v>
      </c>
      <c r="CZ132" s="59">
        <f t="shared" si="96"/>
        <v>202.23783851977691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0.30151467861003373</v>
      </c>
      <c r="DG132" s="21">
        <f>EXP(-LN(2)/25)*DG131+(1-EXP(-LN(2)/25))/(LN(2)/25)*Calculateur!DB132*Calculateur!DD132*VLOOKUP('Données projet'!$B$13,Paramètres!$A$1:$I$89,3,0)*0.475*44/12</f>
        <v>0.79005459521846111</v>
      </c>
      <c r="DH132" s="21">
        <f>EXP(-LN(2)/2)*DH131+(1-EXP(-LN(2)/2))/(LN(2)/2)*DB132*DE132*VLOOKUP('Données projet'!$B$13,Paramètres!$A$1:$I$89,3,0)*0.475*44/12</f>
        <v>2.3228084226396583E-14</v>
      </c>
      <c r="DI132" s="22">
        <f t="shared" ref="DI132:DI153" si="123">SUM(DF132:DH132)</f>
        <v>1.0915692738285181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433.00000000000011</v>
      </c>
      <c r="DP132" s="17">
        <f>DO132*VLOOKUP('Données projet'!$B$14,Paramètres!$A$1:$I$89,3,0)*VLOOKUP('Données projet'!$B$14,Paramètres!$A$1:$I$89,5,0)</f>
        <v>258.93400000000008</v>
      </c>
      <c r="DQ132" s="13">
        <f t="shared" si="97"/>
        <v>62.495095530116075</v>
      </c>
      <c r="DR132" s="20">
        <f t="shared" ref="DR132:DR153" si="124">(DP132+DQ132)*0.475*44/12</f>
        <v>559.82234138161891</v>
      </c>
      <c r="DS132" s="59">
        <f t="shared" ref="DS132:DS195" si="125">DR132+(DJ132+DK132)*44/12</f>
        <v>853.15567471495228</v>
      </c>
      <c r="DT132" s="59">
        <f ca="1">AVERAGE(OFFSET($DS$3,0,0,'Données projet'!$E$14+1,1))-AVERAGE(OFFSET($H$3,0,0,'Données projet'!$E$14+1,1))</f>
        <v>221.14988592347311</v>
      </c>
      <c r="DU132" s="59">
        <f t="shared" si="98"/>
        <v>179.09262081171607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0.32161565718403601</v>
      </c>
      <c r="EB132" s="21">
        <f>EXP(-LN(2)/25)*EB131+(1-EXP(-LN(2)/25))/(LN(2)/25)*Calculateur!DW132*Calculateur!DY132*VLOOKUP('Données projet'!$B$14,Paramètres!$A$1:$I$89,3,0)*0.475*44/12</f>
        <v>0.65802501081309883</v>
      </c>
      <c r="EC132" s="21">
        <f>EXP(-LN(2)/2)*EC131+(1-EXP(-LN(2)/2))/(LN(2)/2)*DW132*DZ132*VLOOKUP('Données projet'!$B$14,Paramètres!$A$1:$I$89,3,0)*0.475*44/12</f>
        <v>2.4493137783806741E-14</v>
      </c>
      <c r="ED132" s="22">
        <f t="shared" ref="ED132:ED153" si="126">SUM(EA132:EC132)</f>
        <v>0.97964066799715932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2.2737367544323206E-13</v>
      </c>
      <c r="EK132" s="17">
        <f>EJ132*VLOOKUP('Données projet'!$B$15,Paramètres!$A$1:$I$89,3,0)*VLOOKUP('Données projet'!$B$15,Paramètres!$A$1:$I$89,5,0)</f>
        <v>1.2414602679200471E-13</v>
      </c>
      <c r="EL132" s="13">
        <f t="shared" si="99"/>
        <v>1.8186582995804361E-12</v>
      </c>
      <c r="EM132" s="20">
        <f t="shared" ref="EM132:EM153" si="127">(EK132+EL132)*0.475*44/12</f>
        <v>3.3837175350986671E-12</v>
      </c>
      <c r="EN132" s="59">
        <f t="shared" ref="EN132:EN195" si="128">EM132+(EE132+EF132)*44/12</f>
        <v>293.33333333333672</v>
      </c>
      <c r="EO132" s="59">
        <f ca="1">AVERAGE(OFFSET($EN$3,0,0,'Données projet'!$E$15+1,1))-AVERAGE(OFFSET($H$3,0,0,'Données projet'!$E$15+1,1))</f>
        <v>168.72306536277267</v>
      </c>
      <c r="EP132" s="59">
        <f t="shared" si="100"/>
        <v>203.35476578922339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0.4282382391852651</v>
      </c>
      <c r="EW132" s="21">
        <f>EXP(-LN(2)/25)*EW131+(1-EXP(-LN(2)/25))/(LN(2)/25)*Calculateur!ER132*Calculateur!ET132*VLOOKUP('Données projet'!$B$15,Paramètres!$A$1:$I$89,3,0)*0.475*44/12</f>
        <v>1.4769511536143194</v>
      </c>
      <c r="EX132" s="21">
        <f>EXP(-LN(2)/2)*EX131+(1-EXP(-LN(2)/2))/(LN(2)/2)*ER132*EU132*VLOOKUP('Données projet'!$B$15,Paramètres!$A$1:$I$89,3,0)*0.475*44/12</f>
        <v>2.5151432460146352E-14</v>
      </c>
      <c r="EY132" s="22">
        <f t="shared" ref="EY132:EY153" si="129">SUM(EV132:EX132)</f>
        <v>1.9051893927996095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3.4106051316484809E-13</v>
      </c>
      <c r="FF132" s="17">
        <f>FE132*VLOOKUP('Données projet'!$B$16,Paramètres!$A$1:$I$89,3,0)*VLOOKUP('Données projet'!$B$16,Paramètres!$A$1:$I$89,5,0)</f>
        <v>1.8621904018800707E-13</v>
      </c>
      <c r="FG132" s="13">
        <f t="shared" si="101"/>
        <v>2.6022279988572714E-12</v>
      </c>
      <c r="FH132" s="20">
        <f t="shared" ref="FH132:FH153" si="130">(FF132+FG132)*0.475*44/12</f>
        <v>4.8565452596705266E-12</v>
      </c>
      <c r="FI132" s="59">
        <f t="shared" ref="FI132:FI195" si="131">FH132+(EZ132+FA132)*44/12</f>
        <v>293.33333333333815</v>
      </c>
      <c r="FJ132" s="59">
        <f ca="1">AVERAGE(OFFSET($FI$3,0,0,'Données projet'!$E$16+1,1))-AVERAGE(OFFSET($H$3,0,0,'Données projet'!$E$16+1,1))</f>
        <v>127.76128532861486</v>
      </c>
      <c r="FK132" s="59">
        <f t="shared" si="102"/>
        <v>157.52303491639736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>
        <f>EXP(-LN(2)/35)*FQ131+(1-EXP(-LN(2)/35))/(LN(2)/35)*FM132*FN132*VLOOKUP('Données projet'!$B$16,Paramètres!$A$1:$I$89,3,0)*0.475*44/12</f>
        <v>0.34259059134821213</v>
      </c>
      <c r="FR132" s="21">
        <f>EXP(-LN(2)/25)*FR131+(1-EXP(-LN(2)/25))/(LN(2)/25)*Calculateur!FM132*Calculateur!FO132*VLOOKUP('Données projet'!$B$16,Paramètres!$A$1:$I$89,3,0)*0.475*44/12</f>
        <v>1.0487576862248469</v>
      </c>
      <c r="FS132" s="21">
        <f>EXP(-LN(2)/2)*FS131+(1-EXP(-LN(2)/2))/(LN(2)/2)*FM132*FP132*VLOOKUP('Données projet'!$B$16,Paramètres!$A$1:$I$89,3,0)*0.475*44/12</f>
        <v>1.9968271848967254E-14</v>
      </c>
      <c r="FT132" s="22">
        <f t="shared" ref="FT132:FT153" si="132">SUM(FQ132:FS132)</f>
        <v>1.391348277573079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5.2446581196581219</v>
      </c>
      <c r="N133" s="13">
        <f>IF('Données projet'!$A$36&gt;35,N132+M133-V132,IF(A133&lt;'Données projet'!$A$36,$K$205^A133,IF(A133='Données projet'!$A$36,'Données projet'!$B$36,N132+M133-V132)))</f>
        <v>256.35790598290549</v>
      </c>
      <c r="O133" s="13">
        <f>N133*VLOOKUP('Données projet'!$B$9,Paramètres!$A$1:$I$89,3,0)*VLOOKUP('Données projet'!$B$9,Paramètres!$A$1:$I$89,5,0)</f>
        <v>231.95263333333287</v>
      </c>
      <c r="P133" s="13">
        <f t="shared" ref="P133:P196" si="141">EXP(-1.0587+0.8836*LN(O133)+0.284)</f>
        <v>56.704678554548856</v>
      </c>
      <c r="Q133" s="20">
        <f t="shared" si="108"/>
        <v>502.74481820472732</v>
      </c>
      <c r="R133" s="59">
        <f t="shared" si="109"/>
        <v>796.07815153806064</v>
      </c>
      <c r="S133" s="59">
        <f ca="1">AVERAGE(OFFSET($R$3,0,0,'Données projet'!$E$9+1,1))-AVERAGE(OFFSET($H$3,0,0,'Données projet'!$E$9+1,1))</f>
        <v>153.45079678708987</v>
      </c>
      <c r="T133" s="59">
        <f t="shared" ref="T133:T196" si="142">$T$3</f>
        <v>115.4217868409637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0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4.8538461538461579</v>
      </c>
      <c r="AI133" s="13">
        <f>IF('Données projet'!$A$62&gt;35,AI132+AH133-AQ132,IF(A133&lt;'Données projet'!$A$62,$AF$205^A133,IF(A133='Données projet'!$A$62,'Données projet'!$B$62,AI132+AH133-AQ132)))</f>
        <v>228.42692307692309</v>
      </c>
      <c r="AJ133" s="13">
        <f>AI133*VLOOKUP('Données projet'!$B$10,Paramètres!$A$1:$I$89,3,0)*VLOOKUP('Données projet'!$B$10,Paramètres!$A$1:$I$89,5,0)</f>
        <v>206.68068000000002</v>
      </c>
      <c r="AK133" s="13">
        <f t="shared" ref="AK133:AK153" si="143">EXP(-1.0587+0.8836*LN(AJ133)+0.284)</f>
        <v>51.209559534608594</v>
      </c>
      <c r="AL133" s="20">
        <f t="shared" si="112"/>
        <v>449.15883385610999</v>
      </c>
      <c r="AM133" s="59">
        <f t="shared" si="113"/>
        <v>742.49216718944331</v>
      </c>
      <c r="AN133" s="59">
        <f ca="1">AVERAGE(OFFSET($AM$3,0,0,'Données projet'!$E$10+1,1))-AVERAGE(OFFSET($H$3,0,0,'Données projet'!$E$10+1,1))</f>
        <v>123.92486590666675</v>
      </c>
      <c r="AO133" s="59">
        <f t="shared" ref="AO133:AO196" si="144">$AO$3</f>
        <v>54.404493017418986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0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1.1368683772161603E-13</v>
      </c>
      <c r="BE133" s="13">
        <f>BD133*VLOOKUP('Données projet'!$B$11,Paramètres!$A$1:$I$89,3,0)*VLOOKUP('Données projet'!$B$11,Paramètres!$A$1:$I$89,5,0)</f>
        <v>6.3550942286383367E-14</v>
      </c>
      <c r="BF133" s="13">
        <f t="shared" ref="BF133:BF153" si="145">EXP(-1.0587+0.8836*LN(BE133)+0.284)</f>
        <v>1.0064464192543978E-12</v>
      </c>
      <c r="BG133" s="20">
        <f t="shared" si="115"/>
        <v>1.8635787380168604E-12</v>
      </c>
      <c r="BH133" s="59">
        <f t="shared" si="116"/>
        <v>293.33333333333519</v>
      </c>
      <c r="BI133" s="59">
        <f ca="1">AVERAGE(OFFSET($BH$3,0,0,'Données projet'!$E$11+1,1))-AVERAGE(OFFSET($H$3,0,0,'Données projet'!$E$11+1,1))</f>
        <v>224.7049802939942</v>
      </c>
      <c r="BJ133" s="59">
        <f t="shared" ref="BJ133:BJ196" si="146">$BJ$3</f>
        <v>203.48513862195352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0.30792511543071666</v>
      </c>
      <c r="BQ133" s="21">
        <f>EXP(-LN(2)/25)*BQ132+(1-EXP(-LN(2)/25))/(LN(2)/25)*Calculateur!BL133*Calculateur!BN133*VLOOKUP('Données projet'!$B$11,Paramètres!$A$1:$I$89,3,0)*0.475*44/12</f>
        <v>1.2202829710825371</v>
      </c>
      <c r="BR133" s="21">
        <f>EXP(-LN(2)/2)*BR132+(1-EXP(-LN(2)/2))/(LN(2)/2)*BL133*BO133*VLOOKUP('Données projet'!$B$11,Paramètres!$A$1:$I$89,3,0)*0.475*44/12</f>
        <v>7.9586227306975884E-15</v>
      </c>
      <c r="BS133" s="22">
        <f t="shared" si="117"/>
        <v>1.5282080865132617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6.2527760746888816E-13</v>
      </c>
      <c r="BZ133" s="13">
        <f>BY133*VLOOKUP('Données projet'!$B$12,Paramètres!$A$1:$I$89,3,0)*VLOOKUP('Données projet'!$B$12,Paramètres!$A$1:$I$89,5,0)</f>
        <v>3.4953018257510848E-13</v>
      </c>
      <c r="CA133" s="13">
        <f t="shared" ref="CA133:CA153" si="147">EXP(-1.0587+0.8836*LN(BZ133)+0.284)</f>
        <v>4.5391562386470354E-12</v>
      </c>
      <c r="CB133" s="20">
        <f t="shared" si="118"/>
        <v>8.5144621836285662E-12</v>
      </c>
      <c r="CC133" s="59">
        <f t="shared" si="119"/>
        <v>293.33333333334184</v>
      </c>
      <c r="CD133" s="59">
        <f ca="1">AVERAGE(OFFSET($CC$3,0,0,'Données projet'!$E$12+1,1))-AVERAGE(OFFSET($H$3,0,0,'Données projet'!$E$12+1,1))</f>
        <v>190.08613104982993</v>
      </c>
      <c r="CE133" s="59">
        <f t="shared" ref="CE133:CE196" si="148">$CE$3</f>
        <v>180.55054525447781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0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497</v>
      </c>
      <c r="CU133" s="17">
        <f>CT133*VLOOKUP('Données projet'!$B$13,Paramètres!$A$1:$I$89,3,0)*VLOOKUP('Données projet'!$B$13,Paramètres!$A$1:$I$89,5,0)</f>
        <v>297.20600000000002</v>
      </c>
      <c r="CV133" s="13">
        <f t="shared" ref="CV133:CV153" si="149">EXP(-1.0587+0.8836*LN(CU133)+0.284)</f>
        <v>70.590415164571112</v>
      </c>
      <c r="CW133" s="20">
        <f t="shared" si="121"/>
        <v>640.57875641162809</v>
      </c>
      <c r="CX133" s="59">
        <f t="shared" si="122"/>
        <v>933.91208974496135</v>
      </c>
      <c r="CY133" s="59">
        <f ca="1">AVERAGE(OFFSET($CX$3,0,0,'Données projet'!$E$13+1,1))-AVERAGE(OFFSET($H$3,0,0,'Données projet'!$E$13+1,1))</f>
        <v>270.30888762640245</v>
      </c>
      <c r="CZ133" s="59">
        <f t="shared" ref="CZ133:CZ196" si="150">$CZ$3</f>
        <v>202.23783851977691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0.29560215966828574</v>
      </c>
      <c r="DG133" s="21">
        <f>EXP(-LN(2)/25)*DG132+(1-EXP(-LN(2)/25))/(LN(2)/25)*Calculateur!DB133*Calculateur!DD133*VLOOKUP('Données projet'!$B$13,Paramètres!$A$1:$I$89,3,0)*0.475*44/12</f>
        <v>0.76845051076504678</v>
      </c>
      <c r="DH133" s="21">
        <f>EXP(-LN(2)/2)*DH132+(1-EXP(-LN(2)/2))/(LN(2)/2)*DB133*DE133*VLOOKUP('Données projet'!$B$13,Paramètres!$A$1:$I$89,3,0)*0.475*44/12</f>
        <v>1.6424735870457305E-14</v>
      </c>
      <c r="DI133" s="22">
        <f t="shared" si="123"/>
        <v>1.0640526704333491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433.00000000000011</v>
      </c>
      <c r="DP133" s="17">
        <f>DO133*VLOOKUP('Données projet'!$B$14,Paramètres!$A$1:$I$89,3,0)*VLOOKUP('Données projet'!$B$14,Paramètres!$A$1:$I$89,5,0)</f>
        <v>258.93400000000008</v>
      </c>
      <c r="DQ133" s="13">
        <f t="shared" ref="DQ133:DQ153" si="151">EXP(-1.0587+0.8836*LN(DP133)+0.284)</f>
        <v>62.495095530116075</v>
      </c>
      <c r="DR133" s="20">
        <f t="shared" si="124"/>
        <v>559.82234138161891</v>
      </c>
      <c r="DS133" s="59">
        <f t="shared" si="125"/>
        <v>853.15567471495228</v>
      </c>
      <c r="DT133" s="59">
        <f ca="1">AVERAGE(OFFSET($DS$3,0,0,'Données projet'!$E$14+1,1))-AVERAGE(OFFSET($H$3,0,0,'Données projet'!$E$14+1,1))</f>
        <v>221.14988592347311</v>
      </c>
      <c r="DU133" s="59">
        <f t="shared" ref="DU133:DU196" si="152">$DU$3</f>
        <v>179.09262081171607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0.31530897031283817</v>
      </c>
      <c r="EB133" s="21">
        <f>EXP(-LN(2)/25)*EB132+(1-EXP(-LN(2)/25))/(LN(2)/25)*Calculateur!DW133*Calculateur!DY133*VLOOKUP('Données projet'!$B$14,Paramètres!$A$1:$I$89,3,0)*0.475*44/12</f>
        <v>0.64003128228838324</v>
      </c>
      <c r="EC133" s="21">
        <f>EXP(-LN(2)/2)*EC132+(1-EXP(-LN(2)/2))/(LN(2)/2)*DW133*DZ133*VLOOKUP('Données projet'!$B$14,Paramètres!$A$1:$I$89,3,0)*0.475*44/12</f>
        <v>1.7319263819466193E-14</v>
      </c>
      <c r="ED133" s="22">
        <f t="shared" si="126"/>
        <v>0.95534025260123867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2.2737367544323206E-13</v>
      </c>
      <c r="EK133" s="17">
        <f>EJ133*VLOOKUP('Données projet'!$B$15,Paramètres!$A$1:$I$89,3,0)*VLOOKUP('Données projet'!$B$15,Paramètres!$A$1:$I$89,5,0)</f>
        <v>1.2414602679200471E-13</v>
      </c>
      <c r="EL133" s="13">
        <f t="shared" ref="EL133:EL153" si="153">EXP(-1.0587+0.8836*LN(EK133)+0.284)</f>
        <v>1.8186582995804361E-12</v>
      </c>
      <c r="EM133" s="20">
        <f t="shared" si="127"/>
        <v>3.3837175350986671E-12</v>
      </c>
      <c r="EN133" s="59">
        <f t="shared" si="128"/>
        <v>293.33333333333672</v>
      </c>
      <c r="EO133" s="59">
        <f ca="1">AVERAGE(OFFSET($EN$3,0,0,'Données projet'!$E$15+1,1))-AVERAGE(OFFSET($H$3,0,0,'Données projet'!$E$15+1,1))</f>
        <v>168.72306536277267</v>
      </c>
      <c r="EP133" s="59">
        <f t="shared" ref="EP133:EP196" si="154">$EP$3</f>
        <v>203.35476578922339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0.41984074851437664</v>
      </c>
      <c r="EW133" s="21">
        <f>EXP(-LN(2)/25)*EW132+(1-EXP(-LN(2)/25))/(LN(2)/25)*Calculateur!ER133*Calculateur!ET133*VLOOKUP('Données projet'!$B$15,Paramètres!$A$1:$I$89,3,0)*0.475*44/12</f>
        <v>1.4365638466492503</v>
      </c>
      <c r="EX133" s="21">
        <f>EXP(-LN(2)/2)*EX132+(1-EXP(-LN(2)/2))/(LN(2)/2)*ER133*EU133*VLOOKUP('Données projet'!$B$15,Paramètres!$A$1:$I$89,3,0)*0.475*44/12</f>
        <v>1.7784748449124935E-14</v>
      </c>
      <c r="EY133" s="22">
        <f t="shared" si="129"/>
        <v>1.8564045951636448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3.4106051316484809E-13</v>
      </c>
      <c r="FF133" s="17">
        <f>FE133*VLOOKUP('Données projet'!$B$16,Paramètres!$A$1:$I$89,3,0)*VLOOKUP('Données projet'!$B$16,Paramètres!$A$1:$I$89,5,0)</f>
        <v>1.8621904018800707E-13</v>
      </c>
      <c r="FG133" s="13">
        <f t="shared" ref="FG133:FG153" si="155">EXP(-1.0587+0.8836*LN(FF133)+0.284)</f>
        <v>2.6022279988572714E-12</v>
      </c>
      <c r="FH133" s="20">
        <f t="shared" si="130"/>
        <v>4.8565452596705266E-12</v>
      </c>
      <c r="FI133" s="59">
        <f t="shared" si="131"/>
        <v>293.33333333333815</v>
      </c>
      <c r="FJ133" s="59">
        <f ca="1">AVERAGE(OFFSET($FI$3,0,0,'Données projet'!$E$16+1,1))-AVERAGE(OFFSET($H$3,0,0,'Données projet'!$E$16+1,1))</f>
        <v>127.76128532861486</v>
      </c>
      <c r="FK133" s="59">
        <f t="shared" ref="FK133:FK196" si="156">$FK$3</f>
        <v>157.52303491639736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>
        <f>EXP(-LN(2)/35)*FQ132+(1-EXP(-LN(2)/35))/(LN(2)/35)*FM133*FN133*VLOOKUP('Données projet'!$B$16,Paramètres!$A$1:$I$89,3,0)*0.475*44/12</f>
        <v>0.33587259881150133</v>
      </c>
      <c r="FR133" s="21">
        <f>EXP(-LN(2)/25)*FR132+(1-EXP(-LN(2)/25))/(LN(2)/25)*Calculateur!FM133*Calculateur!FO133*VLOOKUP('Données projet'!$B$16,Paramètres!$A$1:$I$89,3,0)*0.475*44/12</f>
        <v>1.0200793521432587</v>
      </c>
      <c r="FS133" s="21">
        <f>EXP(-LN(2)/2)*FS132+(1-EXP(-LN(2)/2))/(LN(2)/2)*FM133*FP133*VLOOKUP('Données projet'!$B$16,Paramètres!$A$1:$I$89,3,0)*0.475*44/12</f>
        <v>1.4119700432981185E-14</v>
      </c>
      <c r="FT133" s="22">
        <f t="shared" si="132"/>
        <v>1.3559519509547742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5.2446581196581219</v>
      </c>
      <c r="N134" s="13">
        <f>IF('Données projet'!$A$36&gt;35,N133+M134-V133,IF(A134&lt;'Données projet'!$A$36,$K$205^A134,IF(A134='Données projet'!$A$36,'Données projet'!$B$36,N133+M134-V133)))</f>
        <v>261.60256410256363</v>
      </c>
      <c r="O134" s="13">
        <f>N134*VLOOKUP('Données projet'!$B$9,Paramètres!$A$1:$I$89,3,0)*VLOOKUP('Données projet'!$B$9,Paramètres!$A$1:$I$89,5,0)</f>
        <v>236.69799999999958</v>
      </c>
      <c r="P134" s="13">
        <f t="shared" si="141"/>
        <v>57.728517287605179</v>
      </c>
      <c r="Q134" s="20">
        <f t="shared" si="108"/>
        <v>512.7928509425783</v>
      </c>
      <c r="R134" s="59">
        <f t="shared" si="109"/>
        <v>806.12618427591156</v>
      </c>
      <c r="S134" s="59">
        <f ca="1">AVERAGE(OFFSET($R$3,0,0,'Données projet'!$E$9+1,1))-AVERAGE(OFFSET($H$3,0,0,'Données projet'!$E$9+1,1))</f>
        <v>153.45079678708987</v>
      </c>
      <c r="T134" s="59">
        <f t="shared" si="142"/>
        <v>115.4217868409637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0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4.8538461538461579</v>
      </c>
      <c r="AI134" s="13">
        <f>IF('Données projet'!$A$62&gt;35,AI133+AH134-AQ133,IF(A134&lt;'Données projet'!$A$62,$AF$205^A134,IF(A134='Données projet'!$A$62,'Données projet'!$B$62,AI133+AH134-AQ133)))</f>
        <v>233.28076923076924</v>
      </c>
      <c r="AJ134" s="13">
        <f>AI134*VLOOKUP('Données projet'!$B$10,Paramètres!$A$1:$I$89,3,0)*VLOOKUP('Données projet'!$B$10,Paramètres!$A$1:$I$89,5,0)</f>
        <v>211.07244000000003</v>
      </c>
      <c r="AK134" s="13">
        <f t="shared" si="143"/>
        <v>52.169871297700773</v>
      </c>
      <c r="AL134" s="20">
        <f t="shared" si="112"/>
        <v>458.48035884349548</v>
      </c>
      <c r="AM134" s="59">
        <f t="shared" si="113"/>
        <v>751.81369217682879</v>
      </c>
      <c r="AN134" s="59">
        <f ca="1">AVERAGE(OFFSET($AM$3,0,0,'Données projet'!$E$10+1,1))-AVERAGE(OFFSET($H$3,0,0,'Données projet'!$E$10+1,1))</f>
        <v>123.92486590666675</v>
      </c>
      <c r="AO134" s="59">
        <f t="shared" si="144"/>
        <v>54.404493017418986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0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1.1368683772161603E-13</v>
      </c>
      <c r="BE134" s="13">
        <f>BD134*VLOOKUP('Données projet'!$B$11,Paramètres!$A$1:$I$89,3,0)*VLOOKUP('Données projet'!$B$11,Paramètres!$A$1:$I$89,5,0)</f>
        <v>6.3550942286383367E-14</v>
      </c>
      <c r="BF134" s="13">
        <f t="shared" si="145"/>
        <v>1.0064464192543978E-12</v>
      </c>
      <c r="BG134" s="20">
        <f t="shared" si="115"/>
        <v>1.8635787380168604E-12</v>
      </c>
      <c r="BH134" s="59">
        <f t="shared" si="116"/>
        <v>293.33333333333519</v>
      </c>
      <c r="BI134" s="59">
        <f ca="1">AVERAGE(OFFSET($BH$3,0,0,'Données projet'!$E$11+1,1))-AVERAGE(OFFSET($H$3,0,0,'Données projet'!$E$11+1,1))</f>
        <v>224.7049802939942</v>
      </c>
      <c r="BJ134" s="59">
        <f t="shared" si="146"/>
        <v>203.48513862195352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0.30188689173289546</v>
      </c>
      <c r="BQ134" s="21">
        <f>EXP(-LN(2)/25)*BQ133+(1-EXP(-LN(2)/25))/(LN(2)/25)*Calculateur!BL134*Calculateur!BN134*VLOOKUP('Données projet'!$B$11,Paramètres!$A$1:$I$89,3,0)*0.475*44/12</f>
        <v>1.1869142690663927</v>
      </c>
      <c r="BR134" s="21">
        <f>EXP(-LN(2)/2)*BR133+(1-EXP(-LN(2)/2))/(LN(2)/2)*BL134*BO134*VLOOKUP('Données projet'!$B$11,Paramètres!$A$1:$I$89,3,0)*0.475*44/12</f>
        <v>5.627596101781663E-15</v>
      </c>
      <c r="BS134" s="22">
        <f t="shared" si="117"/>
        <v>1.4888011607992937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6.2527760746888816E-13</v>
      </c>
      <c r="BZ134" s="13">
        <f>BY134*VLOOKUP('Données projet'!$B$12,Paramètres!$A$1:$I$89,3,0)*VLOOKUP('Données projet'!$B$12,Paramètres!$A$1:$I$89,5,0)</f>
        <v>3.4953018257510848E-13</v>
      </c>
      <c r="CA134" s="13">
        <f t="shared" si="147"/>
        <v>4.5391562386470354E-12</v>
      </c>
      <c r="CB134" s="20">
        <f t="shared" si="118"/>
        <v>8.5144621836285662E-12</v>
      </c>
      <c r="CC134" s="59">
        <f t="shared" si="119"/>
        <v>293.33333333334184</v>
      </c>
      <c r="CD134" s="59">
        <f ca="1">AVERAGE(OFFSET($CC$3,0,0,'Données projet'!$E$12+1,1))-AVERAGE(OFFSET($H$3,0,0,'Données projet'!$E$12+1,1))</f>
        <v>190.08613104982993</v>
      </c>
      <c r="CE134" s="59">
        <f t="shared" si="148"/>
        <v>180.55054525447781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0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497</v>
      </c>
      <c r="CU134" s="17">
        <f>CT134*VLOOKUP('Données projet'!$B$13,Paramètres!$A$1:$I$89,3,0)*VLOOKUP('Données projet'!$B$13,Paramètres!$A$1:$I$89,5,0)</f>
        <v>297.20600000000002</v>
      </c>
      <c r="CV134" s="13">
        <f t="shared" si="149"/>
        <v>70.590415164571112</v>
      </c>
      <c r="CW134" s="20">
        <f t="shared" si="121"/>
        <v>640.57875641162809</v>
      </c>
      <c r="CX134" s="59">
        <f t="shared" si="122"/>
        <v>933.91208974496135</v>
      </c>
      <c r="CY134" s="59">
        <f ca="1">AVERAGE(OFFSET($CX$3,0,0,'Données projet'!$E$13+1,1))-AVERAGE(OFFSET($H$3,0,0,'Données projet'!$E$13+1,1))</f>
        <v>270.30888762640245</v>
      </c>
      <c r="CZ134" s="59">
        <f t="shared" si="150"/>
        <v>202.23783851977691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0.28980558161670494</v>
      </c>
      <c r="DG134" s="21">
        <f>EXP(-LN(2)/25)*DG133+(1-EXP(-LN(2)/25))/(LN(2)/25)*Calculateur!DB134*Calculateur!DD134*VLOOKUP('Données projet'!$B$13,Paramètres!$A$1:$I$89,3,0)*0.475*44/12</f>
        <v>0.74743719113712048</v>
      </c>
      <c r="DH134" s="21">
        <f>EXP(-LN(2)/2)*DH133+(1-EXP(-LN(2)/2))/(LN(2)/2)*DB134*DE134*VLOOKUP('Données projet'!$B$13,Paramètres!$A$1:$I$89,3,0)*0.475*44/12</f>
        <v>1.1614042113198291E-14</v>
      </c>
      <c r="DI134" s="22">
        <f t="shared" si="123"/>
        <v>1.0372427727538369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433.00000000000011</v>
      </c>
      <c r="DP134" s="17">
        <f>DO134*VLOOKUP('Données projet'!$B$14,Paramètres!$A$1:$I$89,3,0)*VLOOKUP('Données projet'!$B$14,Paramètres!$A$1:$I$89,5,0)</f>
        <v>258.93400000000008</v>
      </c>
      <c r="DQ134" s="13">
        <f t="shared" si="151"/>
        <v>62.495095530116075</v>
      </c>
      <c r="DR134" s="20">
        <f t="shared" si="124"/>
        <v>559.82234138161891</v>
      </c>
      <c r="DS134" s="59">
        <f t="shared" si="125"/>
        <v>853.15567471495228</v>
      </c>
      <c r="DT134" s="59">
        <f ca="1">AVERAGE(OFFSET($DS$3,0,0,'Données projet'!$E$14+1,1))-AVERAGE(OFFSET($H$3,0,0,'Données projet'!$E$14+1,1))</f>
        <v>221.14988592347311</v>
      </c>
      <c r="DU134" s="59">
        <f t="shared" si="152"/>
        <v>179.09262081171607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0.30912595372448531</v>
      </c>
      <c r="EB134" s="21">
        <f>EXP(-LN(2)/25)*EB133+(1-EXP(-LN(2)/25))/(LN(2)/25)*Calculateur!DW134*Calculateur!DY134*VLOOKUP('Données projet'!$B$14,Paramètres!$A$1:$I$89,3,0)*0.475*44/12</f>
        <v>0.62252959321642509</v>
      </c>
      <c r="EC134" s="21">
        <f>EXP(-LN(2)/2)*EC133+(1-EXP(-LN(2)/2))/(LN(2)/2)*DW134*DZ134*VLOOKUP('Données projet'!$B$14,Paramètres!$A$1:$I$89,3,0)*0.475*44/12</f>
        <v>1.2246568891903371E-14</v>
      </c>
      <c r="ED134" s="22">
        <f t="shared" si="126"/>
        <v>0.93165554694092267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2.2737367544323206E-13</v>
      </c>
      <c r="EK134" s="17">
        <f>EJ134*VLOOKUP('Données projet'!$B$15,Paramètres!$A$1:$I$89,3,0)*VLOOKUP('Données projet'!$B$15,Paramètres!$A$1:$I$89,5,0)</f>
        <v>1.2414602679200471E-13</v>
      </c>
      <c r="EL134" s="13">
        <f t="shared" si="153"/>
        <v>1.8186582995804361E-12</v>
      </c>
      <c r="EM134" s="20">
        <f t="shared" si="127"/>
        <v>3.3837175350986671E-12</v>
      </c>
      <c r="EN134" s="59">
        <f t="shared" si="128"/>
        <v>293.33333333333672</v>
      </c>
      <c r="EO134" s="59">
        <f ca="1">AVERAGE(OFFSET($EN$3,0,0,'Données projet'!$E$15+1,1))-AVERAGE(OFFSET($H$3,0,0,'Données projet'!$E$15+1,1))</f>
        <v>168.72306536277267</v>
      </c>
      <c r="EP134" s="59">
        <f t="shared" si="154"/>
        <v>203.35476578922339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0.41160792751358077</v>
      </c>
      <c r="EW134" s="21">
        <f>EXP(-LN(2)/25)*EW133+(1-EXP(-LN(2)/25))/(LN(2)/25)*Calculateur!ER134*Calculateur!ET134*VLOOKUP('Données projet'!$B$15,Paramètres!$A$1:$I$89,3,0)*0.475*44/12</f>
        <v>1.3972809327170173</v>
      </c>
      <c r="EX134" s="21">
        <f>EXP(-LN(2)/2)*EX133+(1-EXP(-LN(2)/2))/(LN(2)/2)*ER134*EU134*VLOOKUP('Données projet'!$B$15,Paramètres!$A$1:$I$89,3,0)*0.475*44/12</f>
        <v>1.2575716230073176E-14</v>
      </c>
      <c r="EY134" s="22">
        <f t="shared" si="129"/>
        <v>1.8088888602306106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3.4106051316484809E-13</v>
      </c>
      <c r="FF134" s="17">
        <f>FE134*VLOOKUP('Données projet'!$B$16,Paramètres!$A$1:$I$89,3,0)*VLOOKUP('Données projet'!$B$16,Paramètres!$A$1:$I$89,5,0)</f>
        <v>1.8621904018800707E-13</v>
      </c>
      <c r="FG134" s="13">
        <f t="shared" si="155"/>
        <v>2.6022279988572714E-12</v>
      </c>
      <c r="FH134" s="20">
        <f t="shared" si="130"/>
        <v>4.8565452596705266E-12</v>
      </c>
      <c r="FI134" s="59">
        <f t="shared" si="131"/>
        <v>293.33333333333815</v>
      </c>
      <c r="FJ134" s="59">
        <f ca="1">AVERAGE(OFFSET($FI$3,0,0,'Données projet'!$E$16+1,1))-AVERAGE(OFFSET($H$3,0,0,'Données projet'!$E$16+1,1))</f>
        <v>127.76128532861486</v>
      </c>
      <c r="FK134" s="59">
        <f t="shared" si="156"/>
        <v>157.52303491639736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>
        <f>EXP(-LN(2)/35)*FQ133+(1-EXP(-LN(2)/35))/(LN(2)/35)*FM134*FN134*VLOOKUP('Données projet'!$B$16,Paramètres!$A$1:$I$89,3,0)*0.475*44/12</f>
        <v>0.3292863420108646</v>
      </c>
      <c r="FR134" s="21">
        <f>EXP(-LN(2)/25)*FR133+(1-EXP(-LN(2)/25))/(LN(2)/25)*Calculateur!FM134*Calculateur!FO134*VLOOKUP('Données projet'!$B$16,Paramètres!$A$1:$I$89,3,0)*0.475*44/12</f>
        <v>0.9921852286152596</v>
      </c>
      <c r="FS134" s="21">
        <f>EXP(-LN(2)/2)*FS133+(1-EXP(-LN(2)/2))/(LN(2)/2)*FM134*FP134*VLOOKUP('Données projet'!$B$16,Paramètres!$A$1:$I$89,3,0)*0.475*44/12</f>
        <v>9.9841359244836287E-15</v>
      </c>
      <c r="FT134" s="22">
        <f t="shared" si="132"/>
        <v>1.3214715706261342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5.2446581196581219</v>
      </c>
      <c r="N135" s="13">
        <f>IF('Données projet'!$A$36&gt;35,N134+M135-V134,IF(A135&lt;'Données projet'!$A$36,$K$205^A135,IF(A135='Données projet'!$A$36,'Données projet'!$B$36,N134+M135-V134)))</f>
        <v>266.84722222222177</v>
      </c>
      <c r="O135" s="13">
        <f>N135*VLOOKUP('Données projet'!$B$9,Paramètres!$A$1:$I$89,3,0)*VLOOKUP('Données projet'!$B$9,Paramètres!$A$1:$I$89,5,0)</f>
        <v>241.44336666666626</v>
      </c>
      <c r="P135" s="13">
        <f t="shared" si="141"/>
        <v>58.749969397569316</v>
      </c>
      <c r="Q135" s="20">
        <f t="shared" si="108"/>
        <v>522.83672697854365</v>
      </c>
      <c r="R135" s="59">
        <f t="shared" si="109"/>
        <v>816.17006031187702</v>
      </c>
      <c r="S135" s="59">
        <f ca="1">AVERAGE(OFFSET($R$3,0,0,'Données projet'!$E$9+1,1))-AVERAGE(OFFSET($H$3,0,0,'Données projet'!$E$9+1,1))</f>
        <v>153.45079678708987</v>
      </c>
      <c r="T135" s="59">
        <f t="shared" si="142"/>
        <v>115.4217868409637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0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>
        <f>VLOOKUP(A135,'Données projet'!$A$61:$I$81,2,0)</f>
        <v>238.13461538461539</v>
      </c>
      <c r="AG135" s="12">
        <f>VLOOKUP(A135,'Données projet'!$A$61:$I$81,9,0)</f>
        <v>4.8538461538461579</v>
      </c>
      <c r="AH135" s="12">
        <f t="array" ref="AH135">INDEX(AG:AG,MIN(IF(ISNUMBER(AG135:AG331),ROW(AG135:AG331),"")))</f>
        <v>4.8538461538461579</v>
      </c>
      <c r="AI135" s="13">
        <f>IF('Données projet'!$A$62&gt;35,AI134+AH135-AQ134,IF(A135&lt;'Données projet'!$A$62,$AF$205^A135,IF(A135='Données projet'!$A$62,'Données projet'!$B$62,AI134+AH135-AQ134)))</f>
        <v>238.13461538461539</v>
      </c>
      <c r="AJ135" s="13">
        <f>AI135*VLOOKUP('Données projet'!$B$10,Paramètres!$A$1:$I$89,3,0)*VLOOKUP('Données projet'!$B$10,Paramètres!$A$1:$I$89,5,0)</f>
        <v>215.46420000000001</v>
      </c>
      <c r="AK135" s="13">
        <f t="shared" si="143"/>
        <v>53.127859898155648</v>
      </c>
      <c r="AL135" s="20">
        <f t="shared" si="112"/>
        <v>467.79783765595442</v>
      </c>
      <c r="AM135" s="59">
        <f t="shared" si="113"/>
        <v>761.13117098928774</v>
      </c>
      <c r="AN135" s="59">
        <f ca="1">AVERAGE(OFFSET($AM$3,0,0,'Données projet'!$E$10+1,1))-AVERAGE(OFFSET($H$3,0,0,'Données projet'!$E$10+1,1))</f>
        <v>123.92486590666675</v>
      </c>
      <c r="AO135" s="59">
        <f t="shared" si="144"/>
        <v>54.404493017418986</v>
      </c>
      <c r="AP135" s="15">
        <f>IF(ISNA(VLOOKUP(A135,'Données projet'!$A$61:$I$81,3,0)),0,VLOOKUP(A135,'Données projet'!$A$61:$I$81,3,0))</f>
        <v>9</v>
      </c>
      <c r="AQ135" s="15">
        <f>IF(ISNA(VLOOKUP(A135,'Données projet'!$A$61:$I$81,4,0)),0,VLOOKUP(A135,'Données projet'!$A$61:$I$81,4,0))</f>
        <v>34.128205128205131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0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1.1368683772161603E-13</v>
      </c>
      <c r="BE135" s="13">
        <f>BD135*VLOOKUP('Données projet'!$B$11,Paramètres!$A$1:$I$89,3,0)*VLOOKUP('Données projet'!$B$11,Paramètres!$A$1:$I$89,5,0)</f>
        <v>6.3550942286383367E-14</v>
      </c>
      <c r="BF135" s="13">
        <f t="shared" si="145"/>
        <v>1.0064464192543978E-12</v>
      </c>
      <c r="BG135" s="20">
        <f t="shared" si="115"/>
        <v>1.8635787380168604E-12</v>
      </c>
      <c r="BH135" s="59">
        <f t="shared" si="116"/>
        <v>293.33333333333519</v>
      </c>
      <c r="BI135" s="59">
        <f ca="1">AVERAGE(OFFSET($BH$3,0,0,'Données projet'!$E$11+1,1))-AVERAGE(OFFSET($H$3,0,0,'Données projet'!$E$11+1,1))</f>
        <v>224.7049802939942</v>
      </c>
      <c r="BJ135" s="59">
        <f t="shared" si="146"/>
        <v>203.48513862195352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0.29596707391883575</v>
      </c>
      <c r="BQ135" s="21">
        <f>EXP(-LN(2)/25)*BQ134+(1-EXP(-LN(2)/25))/(LN(2)/25)*Calculateur!BL135*Calculateur!BN135*VLOOKUP('Données projet'!$B$11,Paramètres!$A$1:$I$89,3,0)*0.475*44/12</f>
        <v>1.1544580359616636</v>
      </c>
      <c r="BR135" s="21">
        <f>EXP(-LN(2)/2)*BR134+(1-EXP(-LN(2)/2))/(LN(2)/2)*BL135*BO135*VLOOKUP('Données projet'!$B$11,Paramètres!$A$1:$I$89,3,0)*0.475*44/12</f>
        <v>3.9793113653487942E-15</v>
      </c>
      <c r="BS135" s="22">
        <f t="shared" si="117"/>
        <v>1.4504251098805034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6.2527760746888816E-13</v>
      </c>
      <c r="BZ135" s="13">
        <f>BY135*VLOOKUP('Données projet'!$B$12,Paramètres!$A$1:$I$89,3,0)*VLOOKUP('Données projet'!$B$12,Paramètres!$A$1:$I$89,5,0)</f>
        <v>3.4953018257510848E-13</v>
      </c>
      <c r="CA135" s="13">
        <f t="shared" si="147"/>
        <v>4.5391562386470354E-12</v>
      </c>
      <c r="CB135" s="20">
        <f t="shared" si="118"/>
        <v>8.5144621836285662E-12</v>
      </c>
      <c r="CC135" s="59">
        <f t="shared" si="119"/>
        <v>293.33333333334184</v>
      </c>
      <c r="CD135" s="59">
        <f ca="1">AVERAGE(OFFSET($CC$3,0,0,'Données projet'!$E$12+1,1))-AVERAGE(OFFSET($H$3,0,0,'Données projet'!$E$12+1,1))</f>
        <v>190.08613104982993</v>
      </c>
      <c r="CE135" s="59">
        <f t="shared" si="148"/>
        <v>180.55054525447781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0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497</v>
      </c>
      <c r="CU135" s="17">
        <f>CT135*VLOOKUP('Données projet'!$B$13,Paramètres!$A$1:$I$89,3,0)*VLOOKUP('Données projet'!$B$13,Paramètres!$A$1:$I$89,5,0)</f>
        <v>297.20600000000002</v>
      </c>
      <c r="CV135" s="13">
        <f t="shared" si="149"/>
        <v>70.590415164571112</v>
      </c>
      <c r="CW135" s="20">
        <f t="shared" si="121"/>
        <v>640.57875641162809</v>
      </c>
      <c r="CX135" s="59">
        <f t="shared" si="122"/>
        <v>933.91208974496135</v>
      </c>
      <c r="CY135" s="59">
        <f ca="1">AVERAGE(OFFSET($CX$3,0,0,'Données projet'!$E$13+1,1))-AVERAGE(OFFSET($H$3,0,0,'Données projet'!$E$13+1,1))</f>
        <v>270.30888762640245</v>
      </c>
      <c r="CZ135" s="59">
        <f t="shared" si="150"/>
        <v>202.23783851977691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0.28412267092515214</v>
      </c>
      <c r="DG135" s="21">
        <f>EXP(-LN(2)/25)*DG134+(1-EXP(-LN(2)/25))/(LN(2)/25)*Calculateur!DB135*Calculateur!DD135*VLOOKUP('Données projet'!$B$13,Paramètres!$A$1:$I$89,3,0)*0.475*44/12</f>
        <v>0.72699848183946236</v>
      </c>
      <c r="DH135" s="21">
        <f>EXP(-LN(2)/2)*DH134+(1-EXP(-LN(2)/2))/(LN(2)/2)*DB135*DE135*VLOOKUP('Données projet'!$B$13,Paramètres!$A$1:$I$89,3,0)*0.475*44/12</f>
        <v>8.2123679352286523E-15</v>
      </c>
      <c r="DI135" s="22">
        <f t="shared" si="123"/>
        <v>1.0111211527646227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433.00000000000011</v>
      </c>
      <c r="DP135" s="17">
        <f>DO135*VLOOKUP('Données projet'!$B$14,Paramètres!$A$1:$I$89,3,0)*VLOOKUP('Données projet'!$B$14,Paramètres!$A$1:$I$89,5,0)</f>
        <v>258.93400000000008</v>
      </c>
      <c r="DQ135" s="13">
        <f t="shared" si="151"/>
        <v>62.495095530116075</v>
      </c>
      <c r="DR135" s="20">
        <f t="shared" si="124"/>
        <v>559.82234138161891</v>
      </c>
      <c r="DS135" s="59">
        <f t="shared" si="125"/>
        <v>853.15567471495228</v>
      </c>
      <c r="DT135" s="59">
        <f ca="1">AVERAGE(OFFSET($DS$3,0,0,'Données projet'!$E$14+1,1))-AVERAGE(OFFSET($H$3,0,0,'Données projet'!$E$14+1,1))</f>
        <v>221.14988592347311</v>
      </c>
      <c r="DU135" s="59">
        <f t="shared" si="152"/>
        <v>179.09262081171607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0.30306418232016236</v>
      </c>
      <c r="EB135" s="21">
        <f>EXP(-LN(2)/25)*EB134+(1-EXP(-LN(2)/25))/(LN(2)/25)*Calculateur!DW135*Calculateur!DY135*VLOOKUP('Données projet'!$B$14,Paramètres!$A$1:$I$89,3,0)*0.475*44/12</f>
        <v>0.60550648875251345</v>
      </c>
      <c r="EC135" s="21">
        <f>EXP(-LN(2)/2)*EC134+(1-EXP(-LN(2)/2))/(LN(2)/2)*DW135*DZ135*VLOOKUP('Données projet'!$B$14,Paramètres!$A$1:$I$89,3,0)*0.475*44/12</f>
        <v>8.6596319097330963E-15</v>
      </c>
      <c r="ED135" s="22">
        <f t="shared" si="126"/>
        <v>0.90857067107268441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2.2737367544323206E-13</v>
      </c>
      <c r="EK135" s="17">
        <f>EJ135*VLOOKUP('Données projet'!$B$15,Paramètres!$A$1:$I$89,3,0)*VLOOKUP('Données projet'!$B$15,Paramètres!$A$1:$I$89,5,0)</f>
        <v>1.2414602679200471E-13</v>
      </c>
      <c r="EL135" s="13">
        <f t="shared" si="153"/>
        <v>1.8186582995804361E-12</v>
      </c>
      <c r="EM135" s="20">
        <f t="shared" si="127"/>
        <v>3.3837175350986671E-12</v>
      </c>
      <c r="EN135" s="59">
        <f t="shared" si="128"/>
        <v>293.33333333333672</v>
      </c>
      <c r="EO135" s="59">
        <f ca="1">AVERAGE(OFFSET($EN$3,0,0,'Données projet'!$E$15+1,1))-AVERAGE(OFFSET($H$3,0,0,'Données projet'!$E$15+1,1))</f>
        <v>168.72306536277267</v>
      </c>
      <c r="EP135" s="59">
        <f t="shared" si="154"/>
        <v>203.35476578922339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0.4035365471110855</v>
      </c>
      <c r="EW135" s="21">
        <f>EXP(-LN(2)/25)*EW134+(1-EXP(-LN(2)/25))/(LN(2)/25)*Calculateur!ER135*Calculateur!ET135*VLOOKUP('Données projet'!$B$15,Paramètres!$A$1:$I$89,3,0)*0.475*44/12</f>
        <v>1.3590722121320598</v>
      </c>
      <c r="EX135" s="21">
        <f>EXP(-LN(2)/2)*EX134+(1-EXP(-LN(2)/2))/(LN(2)/2)*ER135*EU135*VLOOKUP('Données projet'!$B$15,Paramètres!$A$1:$I$89,3,0)*0.475*44/12</f>
        <v>8.8923742245624676E-15</v>
      </c>
      <c r="EY135" s="22">
        <f t="shared" si="129"/>
        <v>1.7626087592431541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3.4106051316484809E-13</v>
      </c>
      <c r="FF135" s="17">
        <f>FE135*VLOOKUP('Données projet'!$B$16,Paramètres!$A$1:$I$89,3,0)*VLOOKUP('Données projet'!$B$16,Paramètres!$A$1:$I$89,5,0)</f>
        <v>1.8621904018800707E-13</v>
      </c>
      <c r="FG135" s="13">
        <f t="shared" si="155"/>
        <v>2.6022279988572714E-12</v>
      </c>
      <c r="FH135" s="20">
        <f t="shared" si="130"/>
        <v>4.8565452596705266E-12</v>
      </c>
      <c r="FI135" s="59">
        <f t="shared" si="131"/>
        <v>293.33333333333815</v>
      </c>
      <c r="FJ135" s="59">
        <f ca="1">AVERAGE(OFFSET($FI$3,0,0,'Données projet'!$E$16+1,1))-AVERAGE(OFFSET($H$3,0,0,'Données projet'!$E$16+1,1))</f>
        <v>127.76128532861486</v>
      </c>
      <c r="FK135" s="59">
        <f t="shared" si="156"/>
        <v>157.52303491639736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>
        <f>EXP(-LN(2)/35)*FQ134+(1-EXP(-LN(2)/35))/(LN(2)/35)*FM135*FN135*VLOOKUP('Données projet'!$B$16,Paramètres!$A$1:$I$89,3,0)*0.475*44/12</f>
        <v>0.3228292376888684</v>
      </c>
      <c r="FR135" s="21">
        <f>EXP(-LN(2)/25)*FR134+(1-EXP(-LN(2)/25))/(LN(2)/25)*Calculateur!FM135*Calculateur!FO135*VLOOKUP('Données projet'!$B$16,Paramètres!$A$1:$I$89,3,0)*0.475*44/12</f>
        <v>0.96505387136202181</v>
      </c>
      <c r="FS135" s="21">
        <f>EXP(-LN(2)/2)*FS134+(1-EXP(-LN(2)/2))/(LN(2)/2)*FM135*FP135*VLOOKUP('Données projet'!$B$16,Paramètres!$A$1:$I$89,3,0)*0.475*44/12</f>
        <v>7.0598502164905942E-15</v>
      </c>
      <c r="FT135" s="22">
        <f t="shared" si="132"/>
        <v>1.2878831090508973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5.2446581196581219</v>
      </c>
      <c r="N136" s="13">
        <f>IF('Données projet'!$A$36&gt;35,N135+M136-V135,IF(A136&lt;'Données projet'!$A$36,$K$205^A136,IF(A136='Données projet'!$A$36,'Données projet'!$B$36,N135+M136-V135)))</f>
        <v>272.09188034187991</v>
      </c>
      <c r="O136" s="13">
        <f>N136*VLOOKUP('Données projet'!$B$9,Paramètres!$A$1:$I$89,3,0)*VLOOKUP('Données projet'!$B$9,Paramètres!$A$1:$I$89,5,0)</f>
        <v>246.18873333333292</v>
      </c>
      <c r="P136" s="13">
        <f t="shared" si="141"/>
        <v>59.769087198438612</v>
      </c>
      <c r="Q136" s="20">
        <f t="shared" si="108"/>
        <v>532.87653742616862</v>
      </c>
      <c r="R136" s="59">
        <f t="shared" si="109"/>
        <v>826.20987075950188</v>
      </c>
      <c r="S136" s="59">
        <f ca="1">AVERAGE(OFFSET($R$3,0,0,'Données projet'!$E$9+1,1))-AVERAGE(OFFSET($H$3,0,0,'Données projet'!$E$9+1,1))</f>
        <v>153.45079678708987</v>
      </c>
      <c r="T136" s="59">
        <f t="shared" si="142"/>
        <v>115.4217868409637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0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4.9871794871794863</v>
      </c>
      <c r="AI136" s="13">
        <f>IF('Données projet'!$A$62&gt;35,AI135+AH136-AQ135,IF(A136&lt;'Données projet'!$A$62,$AF$205^A136,IF(A136='Données projet'!$A$62,'Données projet'!$B$62,AI135+AH136-AQ135)))</f>
        <v>208.99358974358972</v>
      </c>
      <c r="AJ136" s="13">
        <f>AI136*VLOOKUP('Données projet'!$B$10,Paramètres!$A$1:$I$89,3,0)*VLOOKUP('Données projet'!$B$10,Paramètres!$A$1:$I$89,5,0)</f>
        <v>189.09739999999999</v>
      </c>
      <c r="AK136" s="13">
        <f t="shared" si="143"/>
        <v>47.340345536479596</v>
      </c>
      <c r="AL136" s="20">
        <f t="shared" si="112"/>
        <v>411.79574014270196</v>
      </c>
      <c r="AM136" s="59">
        <f t="shared" si="113"/>
        <v>705.12907347603527</v>
      </c>
      <c r="AN136" s="59">
        <f ca="1">AVERAGE(OFFSET($AM$3,0,0,'Données projet'!$E$10+1,1))-AVERAGE(OFFSET($H$3,0,0,'Données projet'!$E$10+1,1))</f>
        <v>123.92486590666675</v>
      </c>
      <c r="AO136" s="59">
        <f t="shared" si="144"/>
        <v>54.404493017418986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0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1.1368683772161603E-13</v>
      </c>
      <c r="BE136" s="13">
        <f>BD136*VLOOKUP('Données projet'!$B$11,Paramètres!$A$1:$I$89,3,0)*VLOOKUP('Données projet'!$B$11,Paramètres!$A$1:$I$89,5,0)</f>
        <v>6.3550942286383367E-14</v>
      </c>
      <c r="BF136" s="13">
        <f t="shared" si="145"/>
        <v>1.0064464192543978E-12</v>
      </c>
      <c r="BG136" s="20">
        <f t="shared" si="115"/>
        <v>1.8635787380168604E-12</v>
      </c>
      <c r="BH136" s="59">
        <f t="shared" si="116"/>
        <v>293.33333333333519</v>
      </c>
      <c r="BI136" s="59">
        <f ca="1">AVERAGE(OFFSET($BH$3,0,0,'Données projet'!$E$11+1,1))-AVERAGE(OFFSET($H$3,0,0,'Données projet'!$E$11+1,1))</f>
        <v>224.7049802939942</v>
      </c>
      <c r="BJ136" s="59">
        <f t="shared" si="146"/>
        <v>203.48513862195352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0.2901633401213774</v>
      </c>
      <c r="BQ136" s="21">
        <f>EXP(-LN(2)/25)*BQ135+(1-EXP(-LN(2)/25))/(LN(2)/25)*Calculateur!BL136*Calculateur!BN136*VLOOKUP('Données projet'!$B$11,Paramètres!$A$1:$I$89,3,0)*0.475*44/12</f>
        <v>1.1228893202579824</v>
      </c>
      <c r="BR136" s="21">
        <f>EXP(-LN(2)/2)*BR135+(1-EXP(-LN(2)/2))/(LN(2)/2)*BL136*BO136*VLOOKUP('Données projet'!$B$11,Paramètres!$A$1:$I$89,3,0)*0.475*44/12</f>
        <v>2.8137980508908315E-15</v>
      </c>
      <c r="BS136" s="22">
        <f t="shared" si="117"/>
        <v>1.4130526603793627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6.2527760746888816E-13</v>
      </c>
      <c r="BZ136" s="13">
        <f>BY136*VLOOKUP('Données projet'!$B$12,Paramètres!$A$1:$I$89,3,0)*VLOOKUP('Données projet'!$B$12,Paramètres!$A$1:$I$89,5,0)</f>
        <v>3.4953018257510848E-13</v>
      </c>
      <c r="CA136" s="13">
        <f t="shared" si="147"/>
        <v>4.5391562386470354E-12</v>
      </c>
      <c r="CB136" s="20">
        <f t="shared" si="118"/>
        <v>8.5144621836285662E-12</v>
      </c>
      <c r="CC136" s="59">
        <f t="shared" si="119"/>
        <v>293.33333333334184</v>
      </c>
      <c r="CD136" s="59">
        <f ca="1">AVERAGE(OFFSET($CC$3,0,0,'Données projet'!$E$12+1,1))-AVERAGE(OFFSET($H$3,0,0,'Données projet'!$E$12+1,1))</f>
        <v>190.08613104982993</v>
      </c>
      <c r="CE136" s="59">
        <f t="shared" si="148"/>
        <v>180.55054525447781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0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497</v>
      </c>
      <c r="CU136" s="17">
        <f>CT136*VLOOKUP('Données projet'!$B$13,Paramètres!$A$1:$I$89,3,0)*VLOOKUP('Données projet'!$B$13,Paramètres!$A$1:$I$89,5,0)</f>
        <v>297.20600000000002</v>
      </c>
      <c r="CV136" s="13">
        <f t="shared" si="149"/>
        <v>70.590415164571112</v>
      </c>
      <c r="CW136" s="20">
        <f t="shared" si="121"/>
        <v>640.57875641162809</v>
      </c>
      <c r="CX136" s="59">
        <f t="shared" si="122"/>
        <v>933.91208974496135</v>
      </c>
      <c r="CY136" s="59">
        <f ca="1">AVERAGE(OFFSET($CX$3,0,0,'Données projet'!$E$13+1,1))-AVERAGE(OFFSET($H$3,0,0,'Données projet'!$E$13+1,1))</f>
        <v>270.30888762640245</v>
      </c>
      <c r="CZ136" s="59">
        <f t="shared" si="150"/>
        <v>202.23783851977691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0.27855119864602745</v>
      </c>
      <c r="DG136" s="21">
        <f>EXP(-LN(2)/25)*DG135+(1-EXP(-LN(2)/25))/(LN(2)/25)*Calculateur!DB136*Calculateur!DD136*VLOOKUP('Données projet'!$B$13,Paramètres!$A$1:$I$89,3,0)*0.475*44/12</f>
        <v>0.70711867012237373</v>
      </c>
      <c r="DH136" s="21">
        <f>EXP(-LN(2)/2)*DH135+(1-EXP(-LN(2)/2))/(LN(2)/2)*DB136*DE136*VLOOKUP('Données projet'!$B$13,Paramètres!$A$1:$I$89,3,0)*0.475*44/12</f>
        <v>5.8070210565991457E-15</v>
      </c>
      <c r="DI136" s="22">
        <f t="shared" si="123"/>
        <v>0.9856698687684069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433.00000000000011</v>
      </c>
      <c r="DP136" s="17">
        <f>DO136*VLOOKUP('Données projet'!$B$14,Paramètres!$A$1:$I$89,3,0)*VLOOKUP('Données projet'!$B$14,Paramètres!$A$1:$I$89,5,0)</f>
        <v>258.93400000000008</v>
      </c>
      <c r="DQ136" s="13">
        <f t="shared" si="151"/>
        <v>62.495095530116075</v>
      </c>
      <c r="DR136" s="20">
        <f t="shared" si="124"/>
        <v>559.82234138161891</v>
      </c>
      <c r="DS136" s="59">
        <f t="shared" si="125"/>
        <v>853.15567471495228</v>
      </c>
      <c r="DT136" s="59">
        <f ca="1">AVERAGE(OFFSET($DS$3,0,0,'Données projet'!$E$14+1,1))-AVERAGE(OFFSET($H$3,0,0,'Données projet'!$E$14+1,1))</f>
        <v>221.14988592347311</v>
      </c>
      <c r="DU136" s="59">
        <f t="shared" si="152"/>
        <v>179.09262081171607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0.2971212785557627</v>
      </c>
      <c r="EB136" s="21">
        <f>EXP(-LN(2)/25)*EB135+(1-EXP(-LN(2)/25))/(LN(2)/25)*Calculateur!DW136*Calculateur!DY136*VLOOKUP('Données projet'!$B$14,Paramètres!$A$1:$I$89,3,0)*0.475*44/12</f>
        <v>0.58894888197537365</v>
      </c>
      <c r="EC136" s="21">
        <f>EXP(-LN(2)/2)*EC135+(1-EXP(-LN(2)/2))/(LN(2)/2)*DW136*DZ136*VLOOKUP('Données projet'!$B$14,Paramètres!$A$1:$I$89,3,0)*0.475*44/12</f>
        <v>6.1232844459516853E-15</v>
      </c>
      <c r="ED136" s="22">
        <f t="shared" si="126"/>
        <v>0.8860701605311424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2.2737367544323206E-13</v>
      </c>
      <c r="EK136" s="17">
        <f>EJ136*VLOOKUP('Données projet'!$B$15,Paramètres!$A$1:$I$89,3,0)*VLOOKUP('Données projet'!$B$15,Paramètres!$A$1:$I$89,5,0)</f>
        <v>1.2414602679200471E-13</v>
      </c>
      <c r="EL136" s="13">
        <f t="shared" si="153"/>
        <v>1.8186582995804361E-12</v>
      </c>
      <c r="EM136" s="20">
        <f t="shared" si="127"/>
        <v>3.3837175350986671E-12</v>
      </c>
      <c r="EN136" s="59">
        <f t="shared" si="128"/>
        <v>293.33333333333672</v>
      </c>
      <c r="EO136" s="59">
        <f ca="1">AVERAGE(OFFSET($EN$3,0,0,'Données projet'!$E$15+1,1))-AVERAGE(OFFSET($H$3,0,0,'Données projet'!$E$15+1,1))</f>
        <v>168.72306536277267</v>
      </c>
      <c r="EP136" s="59">
        <f t="shared" si="154"/>
        <v>203.35476578922339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0.39562344155522722</v>
      </c>
      <c r="EW136" s="21">
        <f>EXP(-LN(2)/25)*EW135+(1-EXP(-LN(2)/25))/(LN(2)/25)*Calculateur!ER136*Calculateur!ET136*VLOOKUP('Données projet'!$B$15,Paramètres!$A$1:$I$89,3,0)*0.475*44/12</f>
        <v>1.3219083110208072</v>
      </c>
      <c r="EX136" s="21">
        <f>EXP(-LN(2)/2)*EX135+(1-EXP(-LN(2)/2))/(LN(2)/2)*ER136*EU136*VLOOKUP('Données projet'!$B$15,Paramètres!$A$1:$I$89,3,0)*0.475*44/12</f>
        <v>6.2878581150365881E-15</v>
      </c>
      <c r="EY136" s="22">
        <f t="shared" si="129"/>
        <v>1.7175317525760407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3.4106051316484809E-13</v>
      </c>
      <c r="FF136" s="17">
        <f>FE136*VLOOKUP('Données projet'!$B$16,Paramètres!$A$1:$I$89,3,0)*VLOOKUP('Données projet'!$B$16,Paramètres!$A$1:$I$89,5,0)</f>
        <v>1.8621904018800707E-13</v>
      </c>
      <c r="FG136" s="13">
        <f t="shared" si="155"/>
        <v>2.6022279988572714E-12</v>
      </c>
      <c r="FH136" s="20">
        <f t="shared" si="130"/>
        <v>4.8565452596705266E-12</v>
      </c>
      <c r="FI136" s="59">
        <f t="shared" si="131"/>
        <v>293.33333333333815</v>
      </c>
      <c r="FJ136" s="59">
        <f ca="1">AVERAGE(OFFSET($FI$3,0,0,'Données projet'!$E$16+1,1))-AVERAGE(OFFSET($H$3,0,0,'Données projet'!$E$16+1,1))</f>
        <v>127.76128532861486</v>
      </c>
      <c r="FK136" s="59">
        <f t="shared" si="156"/>
        <v>157.52303491639736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>
        <f>EXP(-LN(2)/35)*FQ135+(1-EXP(-LN(2)/35))/(LN(2)/35)*FM136*FN136*VLOOKUP('Données projet'!$B$16,Paramètres!$A$1:$I$89,3,0)*0.475*44/12</f>
        <v>0.31649875324418181</v>
      </c>
      <c r="FR136" s="21">
        <f>EXP(-LN(2)/25)*FR135+(1-EXP(-LN(2)/25))/(LN(2)/25)*Calculateur!FM136*Calculateur!FO136*VLOOKUP('Données projet'!$B$16,Paramètres!$A$1:$I$89,3,0)*0.475*44/12</f>
        <v>0.93866442249964988</v>
      </c>
      <c r="FS136" s="21">
        <f>EXP(-LN(2)/2)*FS135+(1-EXP(-LN(2)/2))/(LN(2)/2)*FM136*FP136*VLOOKUP('Données projet'!$B$16,Paramètres!$A$1:$I$89,3,0)*0.475*44/12</f>
        <v>4.9920679622418151E-15</v>
      </c>
      <c r="FT136" s="22">
        <f t="shared" si="132"/>
        <v>1.2551631757438366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5.2446581196581219</v>
      </c>
      <c r="N137" s="13">
        <f>IF('Données projet'!$A$36&gt;35,N136+M137-V136,IF(A137&lt;'Données projet'!$A$36,$K$205^A137,IF(A137='Données projet'!$A$36,'Données projet'!$B$36,N136+M137-V136)))</f>
        <v>277.33653846153805</v>
      </c>
      <c r="O137" s="13">
        <f>N137*VLOOKUP('Données projet'!$B$9,Paramètres!$A$1:$I$89,3,0)*VLOOKUP('Données projet'!$B$9,Paramètres!$A$1:$I$89,5,0)</f>
        <v>250.9340999999996</v>
      </c>
      <c r="P137" s="13">
        <f t="shared" si="141"/>
        <v>60.785920872094742</v>
      </c>
      <c r="Q137" s="20">
        <f t="shared" si="108"/>
        <v>542.91236968556427</v>
      </c>
      <c r="R137" s="59">
        <f t="shared" si="109"/>
        <v>836.24570301889753</v>
      </c>
      <c r="S137" s="59">
        <f ca="1">AVERAGE(OFFSET($R$3,0,0,'Données projet'!$E$9+1,1))-AVERAGE(OFFSET($H$3,0,0,'Données projet'!$E$9+1,1))</f>
        <v>153.45079678708987</v>
      </c>
      <c r="T137" s="59">
        <f t="shared" si="142"/>
        <v>115.4217868409637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0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4.9871794871794863</v>
      </c>
      <c r="AI137" s="13">
        <f>IF('Données projet'!$A$62&gt;35,AI136+AH137-AQ136,IF(A137&lt;'Données projet'!$A$62,$AF$205^A137,IF(A137='Données projet'!$A$62,'Données projet'!$B$62,AI136+AH137-AQ136)))</f>
        <v>213.9807692307692</v>
      </c>
      <c r="AJ137" s="13">
        <f>AI137*VLOOKUP('Données projet'!$B$10,Paramètres!$A$1:$I$89,3,0)*VLOOKUP('Données projet'!$B$10,Paramètres!$A$1:$I$89,5,0)</f>
        <v>193.60979999999998</v>
      </c>
      <c r="AK137" s="13">
        <f t="shared" si="143"/>
        <v>48.337152092643549</v>
      </c>
      <c r="AL137" s="20">
        <f t="shared" si="112"/>
        <v>421.39094156135411</v>
      </c>
      <c r="AM137" s="59">
        <f t="shared" si="113"/>
        <v>714.72427489468737</v>
      </c>
      <c r="AN137" s="59">
        <f ca="1">AVERAGE(OFFSET($AM$3,0,0,'Données projet'!$E$10+1,1))-AVERAGE(OFFSET($H$3,0,0,'Données projet'!$E$10+1,1))</f>
        <v>123.92486590666675</v>
      </c>
      <c r="AO137" s="59">
        <f t="shared" si="144"/>
        <v>54.404493017418986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0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1.1368683772161603E-13</v>
      </c>
      <c r="BE137" s="13">
        <f>BD137*VLOOKUP('Données projet'!$B$11,Paramètres!$A$1:$I$89,3,0)*VLOOKUP('Données projet'!$B$11,Paramètres!$A$1:$I$89,5,0)</f>
        <v>6.3550942286383367E-14</v>
      </c>
      <c r="BF137" s="13">
        <f t="shared" si="145"/>
        <v>1.0064464192543978E-12</v>
      </c>
      <c r="BG137" s="20">
        <f t="shared" si="115"/>
        <v>1.8635787380168604E-12</v>
      </c>
      <c r="BH137" s="59">
        <f t="shared" si="116"/>
        <v>293.33333333333519</v>
      </c>
      <c r="BI137" s="59">
        <f ca="1">AVERAGE(OFFSET($BH$3,0,0,'Données projet'!$E$11+1,1))-AVERAGE(OFFSET($H$3,0,0,'Données projet'!$E$11+1,1))</f>
        <v>224.7049802939942</v>
      </c>
      <c r="BJ137" s="59">
        <f t="shared" si="146"/>
        <v>203.48513862195352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0.28447341400375914</v>
      </c>
      <c r="BQ137" s="21">
        <f>EXP(-LN(2)/25)*BQ136+(1-EXP(-LN(2)/25))/(LN(2)/25)*Calculateur!BL137*Calculateur!BN137*VLOOKUP('Données projet'!$B$11,Paramètres!$A$1:$I$89,3,0)*0.475*44/12</f>
        <v>1.0921838527453449</v>
      </c>
      <c r="BR137" s="21">
        <f>EXP(-LN(2)/2)*BR136+(1-EXP(-LN(2)/2))/(LN(2)/2)*BL137*BO137*VLOOKUP('Données projet'!$B$11,Paramètres!$A$1:$I$89,3,0)*0.475*44/12</f>
        <v>1.9896556826743971E-15</v>
      </c>
      <c r="BS137" s="22">
        <f t="shared" si="117"/>
        <v>1.3766572667491059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6.2527760746888816E-13</v>
      </c>
      <c r="BZ137" s="13">
        <f>BY137*VLOOKUP('Données projet'!$B$12,Paramètres!$A$1:$I$89,3,0)*VLOOKUP('Données projet'!$B$12,Paramètres!$A$1:$I$89,5,0)</f>
        <v>3.4953018257510848E-13</v>
      </c>
      <c r="CA137" s="13">
        <f t="shared" si="147"/>
        <v>4.5391562386470354E-12</v>
      </c>
      <c r="CB137" s="20">
        <f t="shared" si="118"/>
        <v>8.5144621836285662E-12</v>
      </c>
      <c r="CC137" s="59">
        <f t="shared" si="119"/>
        <v>293.33333333334184</v>
      </c>
      <c r="CD137" s="59">
        <f ca="1">AVERAGE(OFFSET($CC$3,0,0,'Données projet'!$E$12+1,1))-AVERAGE(OFFSET($H$3,0,0,'Données projet'!$E$12+1,1))</f>
        <v>190.08613104982993</v>
      </c>
      <c r="CE137" s="59">
        <f t="shared" si="148"/>
        <v>180.55054525447781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0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497</v>
      </c>
      <c r="CU137" s="17">
        <f>CT137*VLOOKUP('Données projet'!$B$13,Paramètres!$A$1:$I$89,3,0)*VLOOKUP('Données projet'!$B$13,Paramètres!$A$1:$I$89,5,0)</f>
        <v>297.20600000000002</v>
      </c>
      <c r="CV137" s="13">
        <f t="shared" si="149"/>
        <v>70.590415164571112</v>
      </c>
      <c r="CW137" s="20">
        <f t="shared" si="121"/>
        <v>640.57875641162809</v>
      </c>
      <c r="CX137" s="59">
        <f t="shared" si="122"/>
        <v>933.91208974496135</v>
      </c>
      <c r="CY137" s="59">
        <f ca="1">AVERAGE(OFFSET($CX$3,0,0,'Données projet'!$E$13+1,1))-AVERAGE(OFFSET($H$3,0,0,'Données projet'!$E$13+1,1))</f>
        <v>270.30888762640245</v>
      </c>
      <c r="CZ137" s="59">
        <f t="shared" si="150"/>
        <v>202.23783851977691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0.27308897954003386</v>
      </c>
      <c r="DG137" s="21">
        <f>EXP(-LN(2)/25)*DG136+(1-EXP(-LN(2)/25))/(LN(2)/25)*Calculateur!DB137*Calculateur!DD137*VLOOKUP('Données projet'!$B$13,Paramètres!$A$1:$I$89,3,0)*0.475*44/12</f>
        <v>0.68778247290212269</v>
      </c>
      <c r="DH137" s="21">
        <f>EXP(-LN(2)/2)*DH136+(1-EXP(-LN(2)/2))/(LN(2)/2)*DB137*DE137*VLOOKUP('Données projet'!$B$13,Paramètres!$A$1:$I$89,3,0)*0.475*44/12</f>
        <v>4.1061839676143261E-15</v>
      </c>
      <c r="DI137" s="22">
        <f t="shared" si="123"/>
        <v>0.96087145244216066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433.00000000000011</v>
      </c>
      <c r="DP137" s="17">
        <f>DO137*VLOOKUP('Données projet'!$B$14,Paramètres!$A$1:$I$89,3,0)*VLOOKUP('Données projet'!$B$14,Paramètres!$A$1:$I$89,5,0)</f>
        <v>258.93400000000008</v>
      </c>
      <c r="DQ137" s="13">
        <f t="shared" si="151"/>
        <v>62.495095530116075</v>
      </c>
      <c r="DR137" s="20">
        <f t="shared" si="124"/>
        <v>559.82234138161891</v>
      </c>
      <c r="DS137" s="59">
        <f t="shared" si="125"/>
        <v>853.15567471495228</v>
      </c>
      <c r="DT137" s="59">
        <f ca="1">AVERAGE(OFFSET($DS$3,0,0,'Données projet'!$E$14+1,1))-AVERAGE(OFFSET($H$3,0,0,'Données projet'!$E$14+1,1))</f>
        <v>221.14988592347311</v>
      </c>
      <c r="DU137" s="59">
        <f t="shared" si="152"/>
        <v>179.09262081171607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0.29129491150936954</v>
      </c>
      <c r="EB137" s="21">
        <f>EXP(-LN(2)/25)*EB136+(1-EXP(-LN(2)/25))/(LN(2)/25)*Calculateur!DW137*Calculateur!DY137*VLOOKUP('Données projet'!$B$14,Paramètres!$A$1:$I$89,3,0)*0.475*44/12</f>
        <v>0.5728440438262814</v>
      </c>
      <c r="EC137" s="21">
        <f>EXP(-LN(2)/2)*EC136+(1-EXP(-LN(2)/2))/(LN(2)/2)*DW137*DZ137*VLOOKUP('Données projet'!$B$14,Paramètres!$A$1:$I$89,3,0)*0.475*44/12</f>
        <v>4.3298159548665482E-15</v>
      </c>
      <c r="ED137" s="22">
        <f t="shared" si="126"/>
        <v>0.86413895533565521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2.2737367544323206E-13</v>
      </c>
      <c r="EK137" s="17">
        <f>EJ137*VLOOKUP('Données projet'!$B$15,Paramètres!$A$1:$I$89,3,0)*VLOOKUP('Données projet'!$B$15,Paramètres!$A$1:$I$89,5,0)</f>
        <v>1.2414602679200471E-13</v>
      </c>
      <c r="EL137" s="13">
        <f t="shared" si="153"/>
        <v>1.8186582995804361E-12</v>
      </c>
      <c r="EM137" s="20">
        <f t="shared" si="127"/>
        <v>3.3837175350986671E-12</v>
      </c>
      <c r="EN137" s="59">
        <f t="shared" si="128"/>
        <v>293.33333333333672</v>
      </c>
      <c r="EO137" s="59">
        <f ca="1">AVERAGE(OFFSET($EN$3,0,0,'Données projet'!$E$15+1,1))-AVERAGE(OFFSET($H$3,0,0,'Données projet'!$E$15+1,1))</f>
        <v>168.72306536277267</v>
      </c>
      <c r="EP137" s="59">
        <f t="shared" si="154"/>
        <v>203.35476578922339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0.38786550717280155</v>
      </c>
      <c r="EW137" s="21">
        <f>EXP(-LN(2)/25)*EW136+(1-EXP(-LN(2)/25))/(LN(2)/25)*Calculateur!ER137*Calculateur!ET137*VLOOKUP('Données projet'!$B$15,Paramètres!$A$1:$I$89,3,0)*0.475*44/12</f>
        <v>1.2857606587398065</v>
      </c>
      <c r="EX137" s="21">
        <f>EXP(-LN(2)/2)*EX136+(1-EXP(-LN(2)/2))/(LN(2)/2)*ER137*EU137*VLOOKUP('Données projet'!$B$15,Paramètres!$A$1:$I$89,3,0)*0.475*44/12</f>
        <v>4.4461871122812338E-15</v>
      </c>
      <c r="EY137" s="22">
        <f t="shared" si="129"/>
        <v>1.6736261659126126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3.4106051316484809E-13</v>
      </c>
      <c r="FF137" s="17">
        <f>FE137*VLOOKUP('Données projet'!$B$16,Paramètres!$A$1:$I$89,3,0)*VLOOKUP('Données projet'!$B$16,Paramètres!$A$1:$I$89,5,0)</f>
        <v>1.8621904018800707E-13</v>
      </c>
      <c r="FG137" s="13">
        <f t="shared" si="155"/>
        <v>2.6022279988572714E-12</v>
      </c>
      <c r="FH137" s="20">
        <f t="shared" si="130"/>
        <v>4.8565452596705266E-12</v>
      </c>
      <c r="FI137" s="59">
        <f t="shared" si="131"/>
        <v>293.33333333333815</v>
      </c>
      <c r="FJ137" s="59">
        <f ca="1">AVERAGE(OFFSET($FI$3,0,0,'Données projet'!$E$16+1,1))-AVERAGE(OFFSET($H$3,0,0,'Données projet'!$E$16+1,1))</f>
        <v>127.76128532861486</v>
      </c>
      <c r="FK137" s="59">
        <f t="shared" si="156"/>
        <v>157.52303491639736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>
        <f>EXP(-LN(2)/35)*FQ136+(1-EXP(-LN(2)/35))/(LN(2)/35)*FM137*FN137*VLOOKUP('Données projet'!$B$16,Paramètres!$A$1:$I$89,3,0)*0.475*44/12</f>
        <v>0.31029240573824124</v>
      </c>
      <c r="FR137" s="21">
        <f>EXP(-LN(2)/25)*FR136+(1-EXP(-LN(2)/25))/(LN(2)/25)*Calculateur!FM137*Calculateur!FO137*VLOOKUP('Données projet'!$B$16,Paramètres!$A$1:$I$89,3,0)*0.475*44/12</f>
        <v>0.91299659450418036</v>
      </c>
      <c r="FS137" s="21">
        <f>EXP(-LN(2)/2)*FS136+(1-EXP(-LN(2)/2))/(LN(2)/2)*FM137*FP137*VLOOKUP('Données projet'!$B$16,Paramètres!$A$1:$I$89,3,0)*0.475*44/12</f>
        <v>3.5299251082452975E-15</v>
      </c>
      <c r="FT137" s="22">
        <f t="shared" si="132"/>
        <v>1.223289000242425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5.2446581196581219</v>
      </c>
      <c r="N138" s="13">
        <f>IF('Données projet'!$A$36&gt;35,N137+M138-V137,IF(A138&lt;'Données projet'!$A$36,$K$205^A138,IF(A138='Données projet'!$A$36,'Données projet'!$B$36,N137+M138-V137)))</f>
        <v>282.5811965811962</v>
      </c>
      <c r="O138" s="13">
        <f>N138*VLOOKUP('Données projet'!$B$9,Paramètres!$A$1:$I$89,3,0)*VLOOKUP('Données projet'!$B$9,Paramètres!$A$1:$I$89,5,0)</f>
        <v>255.67946666666631</v>
      </c>
      <c r="P138" s="13">
        <f t="shared" si="141"/>
        <v>61.800518593848722</v>
      </c>
      <c r="Q138" s="20">
        <f t="shared" si="108"/>
        <v>552.94430766206358</v>
      </c>
      <c r="R138" s="59">
        <f t="shared" si="109"/>
        <v>846.27764099539695</v>
      </c>
      <c r="S138" s="59">
        <f ca="1">AVERAGE(OFFSET($R$3,0,0,'Données projet'!$E$9+1,1))-AVERAGE(OFFSET($H$3,0,0,'Données projet'!$E$9+1,1))</f>
        <v>153.45079678708987</v>
      </c>
      <c r="T138" s="59">
        <f t="shared" si="142"/>
        <v>115.4217868409637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0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4.9871794871794863</v>
      </c>
      <c r="AI138" s="13">
        <f>IF('Données projet'!$A$62&gt;35,AI137+AH138-AQ137,IF(A138&lt;'Données projet'!$A$62,$AF$205^A138,IF(A138='Données projet'!$A$62,'Données projet'!$B$62,AI137+AH138-AQ137)))</f>
        <v>218.96794871794867</v>
      </c>
      <c r="AJ138" s="13">
        <f>AI138*VLOOKUP('Données projet'!$B$10,Paramètres!$A$1:$I$89,3,0)*VLOOKUP('Données projet'!$B$10,Paramètres!$A$1:$I$89,5,0)</f>
        <v>198.12219999999996</v>
      </c>
      <c r="AK138" s="13">
        <f t="shared" si="143"/>
        <v>49.331257822140536</v>
      </c>
      <c r="AL138" s="20">
        <f t="shared" si="112"/>
        <v>430.981439040228</v>
      </c>
      <c r="AM138" s="59">
        <f t="shared" si="113"/>
        <v>724.31477237356125</v>
      </c>
      <c r="AN138" s="59">
        <f ca="1">AVERAGE(OFFSET($AM$3,0,0,'Données projet'!$E$10+1,1))-AVERAGE(OFFSET($H$3,0,0,'Données projet'!$E$10+1,1))</f>
        <v>123.92486590666675</v>
      </c>
      <c r="AO138" s="59">
        <f t="shared" si="144"/>
        <v>54.404493017418986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0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1.1368683772161603E-13</v>
      </c>
      <c r="BE138" s="13">
        <f>BD138*VLOOKUP('Données projet'!$B$11,Paramètres!$A$1:$I$89,3,0)*VLOOKUP('Données projet'!$B$11,Paramètres!$A$1:$I$89,5,0)</f>
        <v>6.3550942286383367E-14</v>
      </c>
      <c r="BF138" s="13">
        <f t="shared" si="145"/>
        <v>1.0064464192543978E-12</v>
      </c>
      <c r="BG138" s="20">
        <f t="shared" si="115"/>
        <v>1.8635787380168604E-12</v>
      </c>
      <c r="BH138" s="59">
        <f t="shared" si="116"/>
        <v>293.33333333333519</v>
      </c>
      <c r="BI138" s="59">
        <f ca="1">AVERAGE(OFFSET($BH$3,0,0,'Données projet'!$E$11+1,1))-AVERAGE(OFFSET($H$3,0,0,'Données projet'!$E$11+1,1))</f>
        <v>224.7049802939942</v>
      </c>
      <c r="BJ138" s="59">
        <f t="shared" si="146"/>
        <v>203.48513862195352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0.27889506386679513</v>
      </c>
      <c r="BQ138" s="21">
        <f>EXP(-LN(2)/25)*BQ137+(1-EXP(-LN(2)/25))/(LN(2)/25)*Calculateur!BL138*Calculateur!BN138*VLOOKUP('Données projet'!$B$11,Paramètres!$A$1:$I$89,3,0)*0.475*44/12</f>
        <v>1.0623180278565709</v>
      </c>
      <c r="BR138" s="21">
        <f>EXP(-LN(2)/2)*BR137+(1-EXP(-LN(2)/2))/(LN(2)/2)*BL138*BO138*VLOOKUP('Données projet'!$B$11,Paramètres!$A$1:$I$89,3,0)*0.475*44/12</f>
        <v>1.4068990254454157E-15</v>
      </c>
      <c r="BS138" s="22">
        <f t="shared" si="117"/>
        <v>1.3412130917233673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6.2527760746888816E-13</v>
      </c>
      <c r="BZ138" s="13">
        <f>BY138*VLOOKUP('Données projet'!$B$12,Paramètres!$A$1:$I$89,3,0)*VLOOKUP('Données projet'!$B$12,Paramètres!$A$1:$I$89,5,0)</f>
        <v>3.4953018257510848E-13</v>
      </c>
      <c r="CA138" s="13">
        <f t="shared" si="147"/>
        <v>4.5391562386470354E-12</v>
      </c>
      <c r="CB138" s="20">
        <f t="shared" si="118"/>
        <v>8.5144621836285662E-12</v>
      </c>
      <c r="CC138" s="59">
        <f t="shared" si="119"/>
        <v>293.33333333334184</v>
      </c>
      <c r="CD138" s="59">
        <f ca="1">AVERAGE(OFFSET($CC$3,0,0,'Données projet'!$E$12+1,1))-AVERAGE(OFFSET($H$3,0,0,'Données projet'!$E$12+1,1))</f>
        <v>190.08613104982993</v>
      </c>
      <c r="CE138" s="59">
        <f t="shared" si="148"/>
        <v>180.55054525447781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0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497</v>
      </c>
      <c r="CU138" s="17">
        <f>CT138*VLOOKUP('Données projet'!$B$13,Paramètres!$A$1:$I$89,3,0)*VLOOKUP('Données projet'!$B$13,Paramètres!$A$1:$I$89,5,0)</f>
        <v>297.20600000000002</v>
      </c>
      <c r="CV138" s="13">
        <f t="shared" si="149"/>
        <v>70.590415164571112</v>
      </c>
      <c r="CW138" s="20">
        <f t="shared" si="121"/>
        <v>640.57875641162809</v>
      </c>
      <c r="CX138" s="59">
        <f t="shared" si="122"/>
        <v>933.91208974496135</v>
      </c>
      <c r="CY138" s="59">
        <f ca="1">AVERAGE(OFFSET($CX$3,0,0,'Données projet'!$E$13+1,1))-AVERAGE(OFFSET($H$3,0,0,'Données projet'!$E$13+1,1))</f>
        <v>270.30888762640245</v>
      </c>
      <c r="CZ138" s="59">
        <f t="shared" si="150"/>
        <v>202.23783851977691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0.2677338712190841</v>
      </c>
      <c r="DG138" s="21">
        <f>EXP(-LN(2)/25)*DG137+(1-EXP(-LN(2)/25))/(LN(2)/25)*Calculateur!DB138*Calculateur!DD138*VLOOKUP('Données projet'!$B$13,Paramètres!$A$1:$I$89,3,0)*0.475*44/12</f>
        <v>0.6689750250117058</v>
      </c>
      <c r="DH138" s="21">
        <f>EXP(-LN(2)/2)*DH137+(1-EXP(-LN(2)/2))/(LN(2)/2)*DB138*DE138*VLOOKUP('Données projet'!$B$13,Paramètres!$A$1:$I$89,3,0)*0.475*44/12</f>
        <v>2.9035105282995729E-15</v>
      </c>
      <c r="DI138" s="22">
        <f t="shared" si="123"/>
        <v>0.93670889623079279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433.00000000000011</v>
      </c>
      <c r="DP138" s="17">
        <f>DO138*VLOOKUP('Données projet'!$B$14,Paramètres!$A$1:$I$89,3,0)*VLOOKUP('Données projet'!$B$14,Paramètres!$A$1:$I$89,5,0)</f>
        <v>258.93400000000008</v>
      </c>
      <c r="DQ138" s="13">
        <f t="shared" si="151"/>
        <v>62.495095530116075</v>
      </c>
      <c r="DR138" s="20">
        <f t="shared" si="124"/>
        <v>559.82234138161891</v>
      </c>
      <c r="DS138" s="59">
        <f t="shared" si="125"/>
        <v>853.15567471495228</v>
      </c>
      <c r="DT138" s="59">
        <f ca="1">AVERAGE(OFFSET($DS$3,0,0,'Données projet'!$E$14+1,1))-AVERAGE(OFFSET($H$3,0,0,'Données projet'!$E$14+1,1))</f>
        <v>221.14988592347311</v>
      </c>
      <c r="DU138" s="59">
        <f t="shared" si="152"/>
        <v>179.09262081171607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0.28558279596702313</v>
      </c>
      <c r="EB138" s="21">
        <f>EXP(-LN(2)/25)*EB137+(1-EXP(-LN(2)/25))/(LN(2)/25)*Calculateur!DW138*Calculateur!DY138*VLOOKUP('Données projet'!$B$14,Paramètres!$A$1:$I$89,3,0)*0.475*44/12</f>
        <v>0.5571795933232927</v>
      </c>
      <c r="EC138" s="21">
        <f>EXP(-LN(2)/2)*EC137+(1-EXP(-LN(2)/2))/(LN(2)/2)*DW138*DZ138*VLOOKUP('Données projet'!$B$14,Paramètres!$A$1:$I$89,3,0)*0.475*44/12</f>
        <v>3.0616422229758427E-15</v>
      </c>
      <c r="ED138" s="22">
        <f t="shared" si="126"/>
        <v>0.84276238929031888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2.2737367544323206E-13</v>
      </c>
      <c r="EK138" s="17">
        <f>EJ138*VLOOKUP('Données projet'!$B$15,Paramètres!$A$1:$I$89,3,0)*VLOOKUP('Données projet'!$B$15,Paramètres!$A$1:$I$89,5,0)</f>
        <v>1.2414602679200471E-13</v>
      </c>
      <c r="EL138" s="13">
        <f t="shared" si="153"/>
        <v>1.8186582995804361E-12</v>
      </c>
      <c r="EM138" s="20">
        <f t="shared" si="127"/>
        <v>3.3837175350986671E-12</v>
      </c>
      <c r="EN138" s="59">
        <f t="shared" si="128"/>
        <v>293.33333333333672</v>
      </c>
      <c r="EO138" s="59">
        <f ca="1">AVERAGE(OFFSET($EN$3,0,0,'Données projet'!$E$15+1,1))-AVERAGE(OFFSET($H$3,0,0,'Données projet'!$E$15+1,1))</f>
        <v>168.72306536277267</v>
      </c>
      <c r="EP138" s="59">
        <f t="shared" si="154"/>
        <v>203.35476578922339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0.38025970115174246</v>
      </c>
      <c r="EW138" s="21">
        <f>EXP(-LN(2)/25)*EW137+(1-EXP(-LN(2)/25))/(LN(2)/25)*Calculateur!ER138*Calculateur!ET138*VLOOKUP('Données projet'!$B$15,Paramètres!$A$1:$I$89,3,0)*0.475*44/12</f>
        <v>1.250601465911352</v>
      </c>
      <c r="EX138" s="21">
        <f>EXP(-LN(2)/2)*EX137+(1-EXP(-LN(2)/2))/(LN(2)/2)*ER138*EU138*VLOOKUP('Données projet'!$B$15,Paramètres!$A$1:$I$89,3,0)*0.475*44/12</f>
        <v>3.143929057518294E-15</v>
      </c>
      <c r="EY138" s="22">
        <f t="shared" si="129"/>
        <v>1.6308611670630975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3.4106051316484809E-13</v>
      </c>
      <c r="FF138" s="17">
        <f>FE138*VLOOKUP('Données projet'!$B$16,Paramètres!$A$1:$I$89,3,0)*VLOOKUP('Données projet'!$B$16,Paramètres!$A$1:$I$89,5,0)</f>
        <v>1.8621904018800707E-13</v>
      </c>
      <c r="FG138" s="13">
        <f t="shared" si="155"/>
        <v>2.6022279988572714E-12</v>
      </c>
      <c r="FH138" s="20">
        <f t="shared" si="130"/>
        <v>4.8565452596705266E-12</v>
      </c>
      <c r="FI138" s="59">
        <f t="shared" si="131"/>
        <v>293.33333333333815</v>
      </c>
      <c r="FJ138" s="59">
        <f ca="1">AVERAGE(OFFSET($FI$3,0,0,'Données projet'!$E$16+1,1))-AVERAGE(OFFSET($H$3,0,0,'Données projet'!$E$16+1,1))</f>
        <v>127.76128532861486</v>
      </c>
      <c r="FK138" s="59">
        <f t="shared" si="156"/>
        <v>157.52303491639736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>
        <f>EXP(-LN(2)/35)*FQ137+(1-EXP(-LN(2)/35))/(LN(2)/35)*FM138*FN138*VLOOKUP('Données projet'!$B$16,Paramètres!$A$1:$I$89,3,0)*0.475*44/12</f>
        <v>0.30420776092139401</v>
      </c>
      <c r="FR138" s="21">
        <f>EXP(-LN(2)/25)*FR137+(1-EXP(-LN(2)/25))/(LN(2)/25)*Calculateur!FM138*Calculateur!FO138*VLOOKUP('Données projet'!$B$16,Paramètres!$A$1:$I$89,3,0)*0.475*44/12</f>
        <v>0.88803065461505937</v>
      </c>
      <c r="FS138" s="21">
        <f>EXP(-LN(2)/2)*FS137+(1-EXP(-LN(2)/2))/(LN(2)/2)*FM138*FP138*VLOOKUP('Données projet'!$B$16,Paramètres!$A$1:$I$89,3,0)*0.475*44/12</f>
        <v>2.496033981120908E-15</v>
      </c>
      <c r="FT138" s="22">
        <f t="shared" si="132"/>
        <v>1.1922384155364558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5.2446581196581219</v>
      </c>
      <c r="N139" s="13">
        <f>IF('Données projet'!$A$36&gt;35,N138+M139-V138,IF(A139&lt;'Données projet'!$A$36,$K$205^A139,IF(A139='Données projet'!$A$36,'Données projet'!$B$36,N138+M139-V138)))</f>
        <v>287.82585470085434</v>
      </c>
      <c r="O139" s="13">
        <f>N139*VLOOKUP('Données projet'!$B$9,Paramètres!$A$1:$I$89,3,0)*VLOOKUP('Données projet'!$B$9,Paramètres!$A$1:$I$89,5,0)</f>
        <v>260.42483333333297</v>
      </c>
      <c r="P139" s="13">
        <f t="shared" si="141"/>
        <v>62.81292664840214</v>
      </c>
      <c r="Q139" s="20">
        <f t="shared" si="108"/>
        <v>562.97243196818863</v>
      </c>
      <c r="R139" s="59">
        <f t="shared" si="109"/>
        <v>856.30576530152189</v>
      </c>
      <c r="S139" s="59">
        <f ca="1">AVERAGE(OFFSET($R$3,0,0,'Données projet'!$E$9+1,1))-AVERAGE(OFFSET($H$3,0,0,'Données projet'!$E$9+1,1))</f>
        <v>153.45079678708987</v>
      </c>
      <c r="T139" s="59">
        <f t="shared" si="142"/>
        <v>115.4217868409637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0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4.9871794871794863</v>
      </c>
      <c r="AI139" s="13">
        <f>IF('Données projet'!$A$62&gt;35,AI138+AH139-AQ138,IF(A139&lt;'Données projet'!$A$62,$AF$205^A139,IF(A139='Données projet'!$A$62,'Données projet'!$B$62,AI138+AH139-AQ138)))</f>
        <v>223.95512820512815</v>
      </c>
      <c r="AJ139" s="13">
        <f>AI139*VLOOKUP('Données projet'!$B$10,Paramètres!$A$1:$I$89,3,0)*VLOOKUP('Données projet'!$B$10,Paramètres!$A$1:$I$89,5,0)</f>
        <v>202.63459999999992</v>
      </c>
      <c r="AK139" s="13">
        <f t="shared" si="143"/>
        <v>50.322731319790712</v>
      </c>
      <c r="AL139" s="20">
        <f t="shared" si="112"/>
        <v>440.56735204863531</v>
      </c>
      <c r="AM139" s="59">
        <f t="shared" si="113"/>
        <v>733.90068538196863</v>
      </c>
      <c r="AN139" s="59">
        <f ca="1">AVERAGE(OFFSET($AM$3,0,0,'Données projet'!$E$10+1,1))-AVERAGE(OFFSET($H$3,0,0,'Données projet'!$E$10+1,1))</f>
        <v>123.92486590666675</v>
      </c>
      <c r="AO139" s="59">
        <f t="shared" si="144"/>
        <v>54.404493017418986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0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1.1368683772161603E-13</v>
      </c>
      <c r="BE139" s="13">
        <f>BD139*VLOOKUP('Données projet'!$B$11,Paramètres!$A$1:$I$89,3,0)*VLOOKUP('Données projet'!$B$11,Paramètres!$A$1:$I$89,5,0)</f>
        <v>6.3550942286383367E-14</v>
      </c>
      <c r="BF139" s="13">
        <f t="shared" si="145"/>
        <v>1.0064464192543978E-12</v>
      </c>
      <c r="BG139" s="20">
        <f t="shared" si="115"/>
        <v>1.8635787380168604E-12</v>
      </c>
      <c r="BH139" s="59">
        <f t="shared" si="116"/>
        <v>293.33333333333519</v>
      </c>
      <c r="BI139" s="59">
        <f ca="1">AVERAGE(OFFSET($BH$3,0,0,'Données projet'!$E$11+1,1))-AVERAGE(OFFSET($H$3,0,0,'Données projet'!$E$11+1,1))</f>
        <v>224.7049802939942</v>
      </c>
      <c r="BJ139" s="59">
        <f t="shared" si="146"/>
        <v>203.48513862195352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0.27342610177355936</v>
      </c>
      <c r="BQ139" s="21">
        <f>EXP(-LN(2)/25)*BQ138+(1-EXP(-LN(2)/25))/(LN(2)/25)*Calculateur!BL139*Calculateur!BN139*VLOOKUP('Données projet'!$B$11,Paramètres!$A$1:$I$89,3,0)*0.475*44/12</f>
        <v>1.0332688855199559</v>
      </c>
      <c r="BR139" s="21">
        <f>EXP(-LN(2)/2)*BR138+(1-EXP(-LN(2)/2))/(LN(2)/2)*BL139*BO139*VLOOKUP('Données projet'!$B$11,Paramètres!$A$1:$I$89,3,0)*0.475*44/12</f>
        <v>9.9482784133719854E-16</v>
      </c>
      <c r="BS139" s="22">
        <f t="shared" si="117"/>
        <v>1.3066949872935161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6.2527760746888816E-13</v>
      </c>
      <c r="BZ139" s="13">
        <f>BY139*VLOOKUP('Données projet'!$B$12,Paramètres!$A$1:$I$89,3,0)*VLOOKUP('Données projet'!$B$12,Paramètres!$A$1:$I$89,5,0)</f>
        <v>3.4953018257510848E-13</v>
      </c>
      <c r="CA139" s="13">
        <f t="shared" si="147"/>
        <v>4.5391562386470354E-12</v>
      </c>
      <c r="CB139" s="20">
        <f t="shared" si="118"/>
        <v>8.5144621836285662E-12</v>
      </c>
      <c r="CC139" s="59">
        <f t="shared" si="119"/>
        <v>293.33333333334184</v>
      </c>
      <c r="CD139" s="59">
        <f ca="1">AVERAGE(OFFSET($CC$3,0,0,'Données projet'!$E$12+1,1))-AVERAGE(OFFSET($H$3,0,0,'Données projet'!$E$12+1,1))</f>
        <v>190.08613104982993</v>
      </c>
      <c r="CE139" s="59">
        <f t="shared" si="148"/>
        <v>180.55054525447781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0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497</v>
      </c>
      <c r="CU139" s="17">
        <f>CT139*VLOOKUP('Données projet'!$B$13,Paramètres!$A$1:$I$89,3,0)*VLOOKUP('Données projet'!$B$13,Paramètres!$A$1:$I$89,5,0)</f>
        <v>297.20600000000002</v>
      </c>
      <c r="CV139" s="13">
        <f t="shared" si="149"/>
        <v>70.590415164571112</v>
      </c>
      <c r="CW139" s="20">
        <f t="shared" si="121"/>
        <v>640.57875641162809</v>
      </c>
      <c r="CX139" s="59">
        <f t="shared" si="122"/>
        <v>933.91208974496135</v>
      </c>
      <c r="CY139" s="59">
        <f ca="1">AVERAGE(OFFSET($CX$3,0,0,'Données projet'!$E$13+1,1))-AVERAGE(OFFSET($H$3,0,0,'Données projet'!$E$13+1,1))</f>
        <v>270.30888762640245</v>
      </c>
      <c r="CZ139" s="59">
        <f t="shared" si="150"/>
        <v>202.23783851977691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0.26248377330601463</v>
      </c>
      <c r="DG139" s="21">
        <f>EXP(-LN(2)/25)*DG138+(1-EXP(-LN(2)/25))/(LN(2)/25)*Calculateur!DB139*Calculateur!DD139*VLOOKUP('Données projet'!$B$13,Paramètres!$A$1:$I$89,3,0)*0.475*44/12</f>
        <v>0.65068186777289305</v>
      </c>
      <c r="DH139" s="21">
        <f>EXP(-LN(2)/2)*DH138+(1-EXP(-LN(2)/2))/(LN(2)/2)*DB139*DE139*VLOOKUP('Données projet'!$B$13,Paramètres!$A$1:$I$89,3,0)*0.475*44/12</f>
        <v>2.0530919838071631E-15</v>
      </c>
      <c r="DI139" s="22">
        <f t="shared" si="123"/>
        <v>0.91316564107890974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433.00000000000011</v>
      </c>
      <c r="DP139" s="17">
        <f>DO139*VLOOKUP('Données projet'!$B$14,Paramètres!$A$1:$I$89,3,0)*VLOOKUP('Données projet'!$B$14,Paramètres!$A$1:$I$89,5,0)</f>
        <v>258.93400000000008</v>
      </c>
      <c r="DQ139" s="13">
        <f t="shared" si="151"/>
        <v>62.495095530116075</v>
      </c>
      <c r="DR139" s="20">
        <f t="shared" si="124"/>
        <v>559.82234138161891</v>
      </c>
      <c r="DS139" s="59">
        <f t="shared" si="125"/>
        <v>853.15567471495228</v>
      </c>
      <c r="DT139" s="59">
        <f ca="1">AVERAGE(OFFSET($DS$3,0,0,'Données projet'!$E$14+1,1))-AVERAGE(OFFSET($H$3,0,0,'Données projet'!$E$14+1,1))</f>
        <v>221.14988592347311</v>
      </c>
      <c r="DU139" s="59">
        <f t="shared" si="152"/>
        <v>179.09262081171607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0.27998269152641569</v>
      </c>
      <c r="EB139" s="21">
        <f>EXP(-LN(2)/25)*EB138+(1-EXP(-LN(2)/25))/(LN(2)/25)*Calculateur!DW139*Calculateur!DY139*VLOOKUP('Données projet'!$B$14,Paramètres!$A$1:$I$89,3,0)*0.475*44/12</f>
        <v>0.54194348804306591</v>
      </c>
      <c r="EC139" s="21">
        <f>EXP(-LN(2)/2)*EC138+(1-EXP(-LN(2)/2))/(LN(2)/2)*DW139*DZ139*VLOOKUP('Données projet'!$B$14,Paramètres!$A$1:$I$89,3,0)*0.475*44/12</f>
        <v>2.1649079774332741E-15</v>
      </c>
      <c r="ED139" s="22">
        <f t="shared" si="126"/>
        <v>0.82192617956948388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2.2737367544323206E-13</v>
      </c>
      <c r="EK139" s="17">
        <f>EJ139*VLOOKUP('Données projet'!$B$15,Paramètres!$A$1:$I$89,3,0)*VLOOKUP('Données projet'!$B$15,Paramètres!$A$1:$I$89,5,0)</f>
        <v>1.2414602679200471E-13</v>
      </c>
      <c r="EL139" s="13">
        <f t="shared" si="153"/>
        <v>1.8186582995804361E-12</v>
      </c>
      <c r="EM139" s="20">
        <f t="shared" si="127"/>
        <v>3.3837175350986671E-12</v>
      </c>
      <c r="EN139" s="59">
        <f t="shared" si="128"/>
        <v>293.33333333333672</v>
      </c>
      <c r="EO139" s="59">
        <f ca="1">AVERAGE(OFFSET($EN$3,0,0,'Données projet'!$E$15+1,1))-AVERAGE(OFFSET($H$3,0,0,'Données projet'!$E$15+1,1))</f>
        <v>168.72306536277267</v>
      </c>
      <c r="EP139" s="59">
        <f t="shared" si="154"/>
        <v>203.35476578922339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0.37280304034767275</v>
      </c>
      <c r="EW139" s="21">
        <f>EXP(-LN(2)/25)*EW138+(1-EXP(-LN(2)/25))/(LN(2)/25)*Calculateur!ER139*Calculateur!ET139*VLOOKUP('Données projet'!$B$15,Paramètres!$A$1:$I$89,3,0)*0.475*44/12</f>
        <v>1.2164037030597332</v>
      </c>
      <c r="EX139" s="21">
        <f>EXP(-LN(2)/2)*EX138+(1-EXP(-LN(2)/2))/(LN(2)/2)*ER139*EU139*VLOOKUP('Données projet'!$B$15,Paramètres!$A$1:$I$89,3,0)*0.475*44/12</f>
        <v>2.2230935561406169E-15</v>
      </c>
      <c r="EY139" s="22">
        <f t="shared" si="129"/>
        <v>1.5892067434074082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3.4106051316484809E-13</v>
      </c>
      <c r="FF139" s="17">
        <f>FE139*VLOOKUP('Données projet'!$B$16,Paramètres!$A$1:$I$89,3,0)*VLOOKUP('Données projet'!$B$16,Paramètres!$A$1:$I$89,5,0)</f>
        <v>1.8621904018800707E-13</v>
      </c>
      <c r="FG139" s="13">
        <f t="shared" si="155"/>
        <v>2.6022279988572714E-12</v>
      </c>
      <c r="FH139" s="20">
        <f t="shared" si="130"/>
        <v>4.8565452596705266E-12</v>
      </c>
      <c r="FI139" s="59">
        <f t="shared" si="131"/>
        <v>293.33333333333815</v>
      </c>
      <c r="FJ139" s="59">
        <f ca="1">AVERAGE(OFFSET($FI$3,0,0,'Données projet'!$E$16+1,1))-AVERAGE(OFFSET($H$3,0,0,'Données projet'!$E$16+1,1))</f>
        <v>127.76128532861486</v>
      </c>
      <c r="FK139" s="59">
        <f t="shared" si="156"/>
        <v>157.52303491639736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>
        <f>EXP(-LN(2)/35)*FQ138+(1-EXP(-LN(2)/35))/(LN(2)/35)*FM139*FN139*VLOOKUP('Données projet'!$B$16,Paramètres!$A$1:$I$89,3,0)*0.475*44/12</f>
        <v>0.29824243227813824</v>
      </c>
      <c r="FR139" s="21">
        <f>EXP(-LN(2)/25)*FR138+(1-EXP(-LN(2)/25))/(LN(2)/25)*Calculateur!FM139*Calculateur!FO139*VLOOKUP('Données projet'!$B$16,Paramètres!$A$1:$I$89,3,0)*0.475*44/12</f>
        <v>0.8637474096651081</v>
      </c>
      <c r="FS139" s="21">
        <f>EXP(-LN(2)/2)*FS138+(1-EXP(-LN(2)/2))/(LN(2)/2)*FM139*FP139*VLOOKUP('Données projet'!$B$16,Paramètres!$A$1:$I$89,3,0)*0.475*44/12</f>
        <v>1.7649625541226491E-15</v>
      </c>
      <c r="FT139" s="22">
        <f t="shared" si="132"/>
        <v>1.1619898419432482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>
        <f>VLOOKUP(A140,'Données projet'!$A$35:$I$55,2,0)</f>
        <v>293.07051282051282</v>
      </c>
      <c r="L140" s="12">
        <f>VLOOKUP(A140,'Données projet'!$A$35:$I$55,9,0)</f>
        <v>5.2446581196581219</v>
      </c>
      <c r="M140" s="12">
        <f t="array" ref="M140">INDEX(L:L,MIN(IF(ISNUMBER(L140:L336),ROW(L140:L336),"")))</f>
        <v>5.2446581196581219</v>
      </c>
      <c r="N140" s="13">
        <f>IF('Données projet'!$A$36&gt;35,N139+M140-V139,IF(A140&lt;'Données projet'!$A$36,$K$205^A140,IF(A140='Données projet'!$A$36,'Données projet'!$B$36,N139+M140-V139)))</f>
        <v>293.07051282051248</v>
      </c>
      <c r="O140" s="13">
        <f>N140*VLOOKUP('Données projet'!$B$9,Paramètres!$A$1:$I$89,3,0)*VLOOKUP('Données projet'!$B$9,Paramètres!$A$1:$I$89,5,0)</f>
        <v>265.17019999999968</v>
      </c>
      <c r="P140" s="13">
        <f t="shared" si="141"/>
        <v>63.823189537116463</v>
      </c>
      <c r="Q140" s="20">
        <f t="shared" si="108"/>
        <v>572.9968201104773</v>
      </c>
      <c r="R140" s="59">
        <f t="shared" si="109"/>
        <v>866.33015344381056</v>
      </c>
      <c r="S140" s="59">
        <f ca="1">AVERAGE(OFFSET($R$3,0,0,'Données projet'!$E$9+1,1))-AVERAGE(OFFSET($H$3,0,0,'Données projet'!$E$9+1,1))</f>
        <v>153.45079678708987</v>
      </c>
      <c r="T140" s="59">
        <f t="shared" si="142"/>
        <v>115.4217868409637</v>
      </c>
      <c r="U140" s="15">
        <f>IF(ISNA(VLOOKUP(A140,'Données projet'!$A$35:$I$55,3,0)),0,VLOOKUP(A140,'Données projet'!$A$35:$I$55,3,0))</f>
        <v>11</v>
      </c>
      <c r="V140" s="15">
        <f>IF(ISNA(VLOOKUP(A140,'Données projet'!$A$35:$I$55,4,0)),0,VLOOKUP(A140,'Données projet'!$A$35:$I$55,4,0))</f>
        <v>51.160256410256409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0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4.9871794871794863</v>
      </c>
      <c r="AI140" s="13">
        <f>IF('Données projet'!$A$62&gt;35,AI139+AH140-AQ139,IF(A140&lt;'Données projet'!$A$62,$AF$205^A140,IF(A140='Données projet'!$A$62,'Données projet'!$B$62,AI139+AH140-AQ139)))</f>
        <v>228.94230769230762</v>
      </c>
      <c r="AJ140" s="13">
        <f>AI140*VLOOKUP('Données projet'!$B$10,Paramètres!$A$1:$I$89,3,0)*VLOOKUP('Données projet'!$B$10,Paramètres!$A$1:$I$89,5,0)</f>
        <v>207.14699999999993</v>
      </c>
      <c r="AK140" s="13">
        <f t="shared" si="143"/>
        <v>51.311637950966755</v>
      </c>
      <c r="AL140" s="20">
        <f t="shared" si="112"/>
        <v>450.14879443126694</v>
      </c>
      <c r="AM140" s="59">
        <f t="shared" si="113"/>
        <v>743.48212776460025</v>
      </c>
      <c r="AN140" s="59">
        <f ca="1">AVERAGE(OFFSET($AM$3,0,0,'Données projet'!$E$10+1,1))-AVERAGE(OFFSET($H$3,0,0,'Données projet'!$E$10+1,1))</f>
        <v>123.92486590666675</v>
      </c>
      <c r="AO140" s="59">
        <f t="shared" si="144"/>
        <v>54.404493017418986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0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1.1368683772161603E-13</v>
      </c>
      <c r="BE140" s="13">
        <f>BD140*VLOOKUP('Données projet'!$B$11,Paramètres!$A$1:$I$89,3,0)*VLOOKUP('Données projet'!$B$11,Paramètres!$A$1:$I$89,5,0)</f>
        <v>6.3550942286383367E-14</v>
      </c>
      <c r="BF140" s="13">
        <f t="shared" si="145"/>
        <v>1.0064464192543978E-12</v>
      </c>
      <c r="BG140" s="20">
        <f t="shared" si="115"/>
        <v>1.8635787380168604E-12</v>
      </c>
      <c r="BH140" s="59">
        <f t="shared" si="116"/>
        <v>293.33333333333519</v>
      </c>
      <c r="BI140" s="59">
        <f ca="1">AVERAGE(OFFSET($BH$3,0,0,'Données projet'!$E$11+1,1))-AVERAGE(OFFSET($H$3,0,0,'Données projet'!$E$11+1,1))</f>
        <v>224.7049802939942</v>
      </c>
      <c r="BJ140" s="59">
        <f t="shared" si="146"/>
        <v>203.48513862195352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0.26806438269123445</v>
      </c>
      <c r="BQ140" s="21">
        <f>EXP(-LN(2)/25)*BQ139+(1-EXP(-LN(2)/25))/(LN(2)/25)*Calculateur!BL140*Calculateur!BN140*VLOOKUP('Données projet'!$B$11,Paramètres!$A$1:$I$89,3,0)*0.475*44/12</f>
        <v>1.0050140935081635</v>
      </c>
      <c r="BR140" s="21">
        <f>EXP(-LN(2)/2)*BR139+(1-EXP(-LN(2)/2))/(LN(2)/2)*BL140*BO140*VLOOKUP('Données projet'!$B$11,Paramètres!$A$1:$I$89,3,0)*0.475*44/12</f>
        <v>7.0344951272270787E-16</v>
      </c>
      <c r="BS140" s="22">
        <f t="shared" si="117"/>
        <v>1.2730784761993987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6.2527760746888816E-13</v>
      </c>
      <c r="BZ140" s="13">
        <f>BY140*VLOOKUP('Données projet'!$B$12,Paramètres!$A$1:$I$89,3,0)*VLOOKUP('Données projet'!$B$12,Paramètres!$A$1:$I$89,5,0)</f>
        <v>3.4953018257510848E-13</v>
      </c>
      <c r="CA140" s="13">
        <f t="shared" si="147"/>
        <v>4.5391562386470354E-12</v>
      </c>
      <c r="CB140" s="20">
        <f t="shared" si="118"/>
        <v>8.5144621836285662E-12</v>
      </c>
      <c r="CC140" s="59">
        <f t="shared" si="119"/>
        <v>293.33333333334184</v>
      </c>
      <c r="CD140" s="59">
        <f ca="1">AVERAGE(OFFSET($CC$3,0,0,'Données projet'!$E$12+1,1))-AVERAGE(OFFSET($H$3,0,0,'Données projet'!$E$12+1,1))</f>
        <v>190.08613104982993</v>
      </c>
      <c r="CE140" s="59">
        <f t="shared" si="148"/>
        <v>180.55054525447781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0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497</v>
      </c>
      <c r="CU140" s="17">
        <f>CT140*VLOOKUP('Données projet'!$B$13,Paramètres!$A$1:$I$89,3,0)*VLOOKUP('Données projet'!$B$13,Paramètres!$A$1:$I$89,5,0)</f>
        <v>297.20600000000002</v>
      </c>
      <c r="CV140" s="13">
        <f t="shared" si="149"/>
        <v>70.590415164571112</v>
      </c>
      <c r="CW140" s="20">
        <f t="shared" si="121"/>
        <v>640.57875641162809</v>
      </c>
      <c r="CX140" s="59">
        <f t="shared" si="122"/>
        <v>933.91208974496135</v>
      </c>
      <c r="CY140" s="59">
        <f ca="1">AVERAGE(OFFSET($CX$3,0,0,'Données projet'!$E$13+1,1))-AVERAGE(OFFSET($H$3,0,0,'Données projet'!$E$13+1,1))</f>
        <v>270.30888762640245</v>
      </c>
      <c r="CZ140" s="59">
        <f t="shared" si="150"/>
        <v>202.23783851977691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0.25733662661077689</v>
      </c>
      <c r="DG140" s="21">
        <f>EXP(-LN(2)/25)*DG139+(1-EXP(-LN(2)/25))/(LN(2)/25)*Calculateur!DB140*Calculateur!DD140*VLOOKUP('Données projet'!$B$13,Paramètres!$A$1:$I$89,3,0)*0.475*44/12</f>
        <v>0.63288893788077105</v>
      </c>
      <c r="DH140" s="21">
        <f>EXP(-LN(2)/2)*DH139+(1-EXP(-LN(2)/2))/(LN(2)/2)*DB140*DE140*VLOOKUP('Données projet'!$B$13,Paramètres!$A$1:$I$89,3,0)*0.475*44/12</f>
        <v>1.4517552641497864E-15</v>
      </c>
      <c r="DI140" s="22">
        <f t="shared" si="123"/>
        <v>0.89022556449154944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433.00000000000011</v>
      </c>
      <c r="DP140" s="17">
        <f>DO140*VLOOKUP('Données projet'!$B$14,Paramètres!$A$1:$I$89,3,0)*VLOOKUP('Données projet'!$B$14,Paramètres!$A$1:$I$89,5,0)</f>
        <v>258.93400000000008</v>
      </c>
      <c r="DQ140" s="13">
        <f t="shared" si="151"/>
        <v>62.495095530116075</v>
      </c>
      <c r="DR140" s="20">
        <f t="shared" si="124"/>
        <v>559.82234138161891</v>
      </c>
      <c r="DS140" s="59">
        <f t="shared" si="125"/>
        <v>853.15567471495228</v>
      </c>
      <c r="DT140" s="59">
        <f ca="1">AVERAGE(OFFSET($DS$3,0,0,'Données projet'!$E$14+1,1))-AVERAGE(OFFSET($H$3,0,0,'Données projet'!$E$14+1,1))</f>
        <v>221.14988592347311</v>
      </c>
      <c r="DU140" s="59">
        <f t="shared" si="152"/>
        <v>179.09262081171607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0.27449240171816214</v>
      </c>
      <c r="EB140" s="21">
        <f>EXP(-LN(2)/25)*EB139+(1-EXP(-LN(2)/25))/(LN(2)/25)*Calculateur!DW140*Calculateur!DY140*VLOOKUP('Données projet'!$B$14,Paramètres!$A$1:$I$89,3,0)*0.475*44/12</f>
        <v>0.5271240148629589</v>
      </c>
      <c r="EC140" s="21">
        <f>EXP(-LN(2)/2)*EC139+(1-EXP(-LN(2)/2))/(LN(2)/2)*DW140*DZ140*VLOOKUP('Données projet'!$B$14,Paramètres!$A$1:$I$89,3,0)*0.475*44/12</f>
        <v>1.5308211114879213E-15</v>
      </c>
      <c r="ED140" s="22">
        <f t="shared" si="126"/>
        <v>0.80161641658112259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2.2737367544323206E-13</v>
      </c>
      <c r="EK140" s="17">
        <f>EJ140*VLOOKUP('Données projet'!$B$15,Paramètres!$A$1:$I$89,3,0)*VLOOKUP('Données projet'!$B$15,Paramètres!$A$1:$I$89,5,0)</f>
        <v>1.2414602679200471E-13</v>
      </c>
      <c r="EL140" s="13">
        <f t="shared" si="153"/>
        <v>1.8186582995804361E-12</v>
      </c>
      <c r="EM140" s="20">
        <f t="shared" si="127"/>
        <v>3.3837175350986671E-12</v>
      </c>
      <c r="EN140" s="59">
        <f t="shared" si="128"/>
        <v>293.33333333333672</v>
      </c>
      <c r="EO140" s="59">
        <f ca="1">AVERAGE(OFFSET($EN$3,0,0,'Données projet'!$E$15+1,1))-AVERAGE(OFFSET($H$3,0,0,'Données projet'!$E$15+1,1))</f>
        <v>168.72306536277267</v>
      </c>
      <c r="EP140" s="59">
        <f t="shared" si="154"/>
        <v>203.35476578922339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0.36549260011385687</v>
      </c>
      <c r="EW140" s="21">
        <f>EXP(-LN(2)/25)*EW139+(1-EXP(-LN(2)/25))/(LN(2)/25)*Calculateur!ER140*Calculateur!ET140*VLOOKUP('Données projet'!$B$15,Paramètres!$A$1:$I$89,3,0)*0.475*44/12</f>
        <v>1.1831410798316742</v>
      </c>
      <c r="EX140" s="21">
        <f>EXP(-LN(2)/2)*EX139+(1-EXP(-LN(2)/2))/(LN(2)/2)*ER140*EU140*VLOOKUP('Données projet'!$B$15,Paramètres!$A$1:$I$89,3,0)*0.475*44/12</f>
        <v>1.571964528759147E-15</v>
      </c>
      <c r="EY140" s="22">
        <f t="shared" si="129"/>
        <v>1.5486336799455327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3.4106051316484809E-13</v>
      </c>
      <c r="FF140" s="17">
        <f>FE140*VLOOKUP('Données projet'!$B$16,Paramètres!$A$1:$I$89,3,0)*VLOOKUP('Données projet'!$B$16,Paramètres!$A$1:$I$89,5,0)</f>
        <v>1.8621904018800707E-13</v>
      </c>
      <c r="FG140" s="13">
        <f t="shared" si="155"/>
        <v>2.6022279988572714E-12</v>
      </c>
      <c r="FH140" s="20">
        <f t="shared" si="130"/>
        <v>4.8565452596705266E-12</v>
      </c>
      <c r="FI140" s="59">
        <f t="shared" si="131"/>
        <v>293.33333333333815</v>
      </c>
      <c r="FJ140" s="59">
        <f ca="1">AVERAGE(OFFSET($FI$3,0,0,'Données projet'!$E$16+1,1))-AVERAGE(OFFSET($H$3,0,0,'Données projet'!$E$16+1,1))</f>
        <v>127.76128532861486</v>
      </c>
      <c r="FK140" s="59">
        <f t="shared" si="156"/>
        <v>157.52303491639736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>
        <f>EXP(-LN(2)/35)*FQ139+(1-EXP(-LN(2)/35))/(LN(2)/35)*FM140*FN140*VLOOKUP('Données projet'!$B$16,Paramètres!$A$1:$I$89,3,0)*0.475*44/12</f>
        <v>0.29239408009108553</v>
      </c>
      <c r="FR140" s="21">
        <f>EXP(-LN(2)/25)*FR139+(1-EXP(-LN(2)/25))/(LN(2)/25)*Calculateur!FM140*Calculateur!FO140*VLOOKUP('Données projet'!$B$16,Paramètres!$A$1:$I$89,3,0)*0.475*44/12</f>
        <v>0.84012819132531358</v>
      </c>
      <c r="FS140" s="21">
        <f>EXP(-LN(2)/2)*FS139+(1-EXP(-LN(2)/2))/(LN(2)/2)*FM140*FP140*VLOOKUP('Données projet'!$B$16,Paramètres!$A$1:$I$89,3,0)*0.475*44/12</f>
        <v>1.2480169905604542E-15</v>
      </c>
      <c r="FT140" s="22">
        <f t="shared" si="132"/>
        <v>1.1325222714164005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5.1063034188034209</v>
      </c>
      <c r="N141" s="13">
        <f>IF('Données projet'!$A$36&gt;35,N140+M141-V140,IF(A141&lt;'Données projet'!$A$36,$K$205^A141,IF(A141='Données projet'!$A$36,'Données projet'!$B$36,N140+M141-V140)))</f>
        <v>247.01655982905947</v>
      </c>
      <c r="O141" s="13">
        <f>N141*VLOOKUP('Données projet'!$B$9,Paramètres!$A$1:$I$89,3,0)*VLOOKUP('Données projet'!$B$9,Paramètres!$A$1:$I$89,5,0)</f>
        <v>223.500583333333</v>
      </c>
      <c r="P141" s="13">
        <f t="shared" si="141"/>
        <v>54.875019768659023</v>
      </c>
      <c r="Q141" s="20">
        <f t="shared" si="108"/>
        <v>484.83750873596932</v>
      </c>
      <c r="R141" s="59">
        <f t="shared" si="109"/>
        <v>778.17084206930258</v>
      </c>
      <c r="S141" s="59">
        <f ca="1">AVERAGE(OFFSET($R$3,0,0,'Données projet'!$E$9+1,1))-AVERAGE(OFFSET($H$3,0,0,'Données projet'!$E$9+1,1))</f>
        <v>153.45079678708987</v>
      </c>
      <c r="T141" s="59">
        <f t="shared" si="142"/>
        <v>115.4217868409637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0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4.9871794871794863</v>
      </c>
      <c r="AI141" s="13">
        <f>IF('Données projet'!$A$62&gt;35,AI140+AH141-AQ140,IF(A141&lt;'Données projet'!$A$62,$AF$205^A141,IF(A141='Données projet'!$A$62,'Données projet'!$B$62,AI140+AH141-AQ140)))</f>
        <v>233.9294871794871</v>
      </c>
      <c r="AJ141" s="13">
        <f>AI141*VLOOKUP('Données projet'!$B$10,Paramètres!$A$1:$I$89,3,0)*VLOOKUP('Données projet'!$B$10,Paramètres!$A$1:$I$89,5,0)</f>
        <v>211.65939999999989</v>
      </c>
      <c r="AK141" s="13">
        <f t="shared" si="143"/>
        <v>52.298040070620452</v>
      </c>
      <c r="AL141" s="20">
        <f t="shared" si="112"/>
        <v>459.72587478966375</v>
      </c>
      <c r="AM141" s="59">
        <f t="shared" si="113"/>
        <v>753.05920812299701</v>
      </c>
      <c r="AN141" s="59">
        <f ca="1">AVERAGE(OFFSET($AM$3,0,0,'Données projet'!$E$10+1,1))-AVERAGE(OFFSET($H$3,0,0,'Données projet'!$E$10+1,1))</f>
        <v>123.92486590666675</v>
      </c>
      <c r="AO141" s="59">
        <f t="shared" si="144"/>
        <v>54.404493017418986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0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1.1368683772161603E-13</v>
      </c>
      <c r="BE141" s="13">
        <f>BD141*VLOOKUP('Données projet'!$B$11,Paramètres!$A$1:$I$89,3,0)*VLOOKUP('Données projet'!$B$11,Paramètres!$A$1:$I$89,5,0)</f>
        <v>6.3550942286383367E-14</v>
      </c>
      <c r="BF141" s="13">
        <f t="shared" si="145"/>
        <v>1.0064464192543978E-12</v>
      </c>
      <c r="BG141" s="20">
        <f t="shared" si="115"/>
        <v>1.8635787380168604E-12</v>
      </c>
      <c r="BH141" s="59">
        <f t="shared" si="116"/>
        <v>293.33333333333519</v>
      </c>
      <c r="BI141" s="59">
        <f ca="1">AVERAGE(OFFSET($BH$3,0,0,'Données projet'!$E$11+1,1))-AVERAGE(OFFSET($H$3,0,0,'Données projet'!$E$11+1,1))</f>
        <v>224.7049802939942</v>
      </c>
      <c r="BJ141" s="59">
        <f t="shared" si="146"/>
        <v>203.48513862195352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0.26280780364978817</v>
      </c>
      <c r="BQ141" s="21">
        <f>EXP(-LN(2)/25)*BQ140+(1-EXP(-LN(2)/25))/(LN(2)/25)*Calculateur!BL141*Calculateur!BN141*VLOOKUP('Données projet'!$B$11,Paramètres!$A$1:$I$89,3,0)*0.475*44/12</f>
        <v>0.97753193026978857</v>
      </c>
      <c r="BR141" s="21">
        <f>EXP(-LN(2)/2)*BR140+(1-EXP(-LN(2)/2))/(LN(2)/2)*BL141*BO141*VLOOKUP('Données projet'!$B$11,Paramètres!$A$1:$I$89,3,0)*0.475*44/12</f>
        <v>4.9741392066859927E-16</v>
      </c>
      <c r="BS141" s="22">
        <f t="shared" si="117"/>
        <v>1.2403397339195772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6.2527760746888816E-13</v>
      </c>
      <c r="BZ141" s="13">
        <f>BY141*VLOOKUP('Données projet'!$B$12,Paramètres!$A$1:$I$89,3,0)*VLOOKUP('Données projet'!$B$12,Paramètres!$A$1:$I$89,5,0)</f>
        <v>3.4953018257510848E-13</v>
      </c>
      <c r="CA141" s="13">
        <f t="shared" si="147"/>
        <v>4.5391562386470354E-12</v>
      </c>
      <c r="CB141" s="20">
        <f t="shared" si="118"/>
        <v>8.5144621836285662E-12</v>
      </c>
      <c r="CC141" s="59">
        <f t="shared" si="119"/>
        <v>293.33333333334184</v>
      </c>
      <c r="CD141" s="59">
        <f ca="1">AVERAGE(OFFSET($CC$3,0,0,'Données projet'!$E$12+1,1))-AVERAGE(OFFSET($H$3,0,0,'Données projet'!$E$12+1,1))</f>
        <v>190.08613104982993</v>
      </c>
      <c r="CE141" s="59">
        <f t="shared" si="148"/>
        <v>180.55054525447781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0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497</v>
      </c>
      <c r="CU141" s="17">
        <f>CT141*VLOOKUP('Données projet'!$B$13,Paramètres!$A$1:$I$89,3,0)*VLOOKUP('Données projet'!$B$13,Paramètres!$A$1:$I$89,5,0)</f>
        <v>297.20600000000002</v>
      </c>
      <c r="CV141" s="13">
        <f t="shared" si="149"/>
        <v>70.590415164571112</v>
      </c>
      <c r="CW141" s="20">
        <f t="shared" si="121"/>
        <v>640.57875641162809</v>
      </c>
      <c r="CX141" s="59">
        <f t="shared" si="122"/>
        <v>933.91208974496135</v>
      </c>
      <c r="CY141" s="59">
        <f ca="1">AVERAGE(OFFSET($CX$3,0,0,'Données projet'!$E$13+1,1))-AVERAGE(OFFSET($H$3,0,0,'Données projet'!$E$13+1,1))</f>
        <v>270.30888762640245</v>
      </c>
      <c r="CZ141" s="59">
        <f t="shared" si="150"/>
        <v>202.23783851977691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0.25229041232278326</v>
      </c>
      <c r="DG141" s="21">
        <f>EXP(-LN(2)/25)*DG140+(1-EXP(-LN(2)/25))/(LN(2)/25)*Calculateur!DB141*Calculateur!DD141*VLOOKUP('Données projet'!$B$13,Paramètres!$A$1:$I$89,3,0)*0.475*44/12</f>
        <v>0.61558255659223859</v>
      </c>
      <c r="DH141" s="21">
        <f>EXP(-LN(2)/2)*DH140+(1-EXP(-LN(2)/2))/(LN(2)/2)*DB141*DE141*VLOOKUP('Données projet'!$B$13,Paramètres!$A$1:$I$89,3,0)*0.475*44/12</f>
        <v>1.0265459919035815E-15</v>
      </c>
      <c r="DI141" s="22">
        <f t="shared" si="123"/>
        <v>0.86787296891502286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433.00000000000011</v>
      </c>
      <c r="DP141" s="17">
        <f>DO141*VLOOKUP('Données projet'!$B$14,Paramètres!$A$1:$I$89,3,0)*VLOOKUP('Données projet'!$B$14,Paramètres!$A$1:$I$89,5,0)</f>
        <v>258.93400000000008</v>
      </c>
      <c r="DQ141" s="13">
        <f t="shared" si="151"/>
        <v>62.495095530116075</v>
      </c>
      <c r="DR141" s="20">
        <f t="shared" si="124"/>
        <v>559.82234138161891</v>
      </c>
      <c r="DS141" s="59">
        <f t="shared" si="125"/>
        <v>853.15567471495228</v>
      </c>
      <c r="DT141" s="59">
        <f ca="1">AVERAGE(OFFSET($DS$3,0,0,'Données projet'!$E$14+1,1))-AVERAGE(OFFSET($H$3,0,0,'Données projet'!$E$14+1,1))</f>
        <v>221.14988592347311</v>
      </c>
      <c r="DU141" s="59">
        <f t="shared" si="152"/>
        <v>179.09262081171607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0.26910977314430229</v>
      </c>
      <c r="EB141" s="21">
        <f>EXP(-LN(2)/25)*EB140+(1-EXP(-LN(2)/25))/(LN(2)/25)*Calculateur!DW141*Calculateur!DY141*VLOOKUP('Données projet'!$B$14,Paramètres!$A$1:$I$89,3,0)*0.475*44/12</f>
        <v>0.51270978095628406</v>
      </c>
      <c r="EC141" s="21">
        <f>EXP(-LN(2)/2)*EC140+(1-EXP(-LN(2)/2))/(LN(2)/2)*DW141*DZ141*VLOOKUP('Données projet'!$B$14,Paramètres!$A$1:$I$89,3,0)*0.475*44/12</f>
        <v>1.082453988716637E-15</v>
      </c>
      <c r="ED141" s="22">
        <f t="shared" si="126"/>
        <v>0.78181955410058745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2.2737367544323206E-13</v>
      </c>
      <c r="EK141" s="17">
        <f>EJ141*VLOOKUP('Données projet'!$B$15,Paramètres!$A$1:$I$89,3,0)*VLOOKUP('Données projet'!$B$15,Paramètres!$A$1:$I$89,5,0)</f>
        <v>1.2414602679200471E-13</v>
      </c>
      <c r="EL141" s="13">
        <f t="shared" si="153"/>
        <v>1.8186582995804361E-12</v>
      </c>
      <c r="EM141" s="20">
        <f t="shared" si="127"/>
        <v>3.3837175350986671E-12</v>
      </c>
      <c r="EN141" s="59">
        <f t="shared" si="128"/>
        <v>293.33333333333672</v>
      </c>
      <c r="EO141" s="59">
        <f ca="1">AVERAGE(OFFSET($EN$3,0,0,'Données projet'!$E$15+1,1))-AVERAGE(OFFSET($H$3,0,0,'Données projet'!$E$15+1,1))</f>
        <v>168.72306536277267</v>
      </c>
      <c r="EP141" s="59">
        <f t="shared" si="154"/>
        <v>203.35476578922339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0.35832551315409783</v>
      </c>
      <c r="EW141" s="21">
        <f>EXP(-LN(2)/25)*EW140+(1-EXP(-LN(2)/25))/(LN(2)/25)*Calculateur!ER141*Calculateur!ET141*VLOOKUP('Données projet'!$B$15,Paramètres!$A$1:$I$89,3,0)*0.475*44/12</f>
        <v>1.1507880247849918</v>
      </c>
      <c r="EX141" s="21">
        <f>EXP(-LN(2)/2)*EX140+(1-EXP(-LN(2)/2))/(LN(2)/2)*ER141*EU141*VLOOKUP('Données projet'!$B$15,Paramètres!$A$1:$I$89,3,0)*0.475*44/12</f>
        <v>1.1115467780703084E-15</v>
      </c>
      <c r="EY141" s="22">
        <f t="shared" si="129"/>
        <v>1.5091135379390908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3.4106051316484809E-13</v>
      </c>
      <c r="FF141" s="17">
        <f>FE141*VLOOKUP('Données projet'!$B$16,Paramètres!$A$1:$I$89,3,0)*VLOOKUP('Données projet'!$B$16,Paramètres!$A$1:$I$89,5,0)</f>
        <v>1.8621904018800707E-13</v>
      </c>
      <c r="FG141" s="13">
        <f t="shared" si="155"/>
        <v>2.6022279988572714E-12</v>
      </c>
      <c r="FH141" s="20">
        <f t="shared" si="130"/>
        <v>4.8565452596705266E-12</v>
      </c>
      <c r="FI141" s="59">
        <f t="shared" si="131"/>
        <v>293.33333333333815</v>
      </c>
      <c r="FJ141" s="59">
        <f ca="1">AVERAGE(OFFSET($FI$3,0,0,'Données projet'!$E$16+1,1))-AVERAGE(OFFSET($H$3,0,0,'Données projet'!$E$16+1,1))</f>
        <v>127.76128532861486</v>
      </c>
      <c r="FK141" s="59">
        <f t="shared" si="156"/>
        <v>157.52303491639736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>
        <f>EXP(-LN(2)/35)*FQ140+(1-EXP(-LN(2)/35))/(LN(2)/35)*FM141*FN141*VLOOKUP('Données projet'!$B$16,Paramètres!$A$1:$I$89,3,0)*0.475*44/12</f>
        <v>0.28666041052327829</v>
      </c>
      <c r="FR141" s="21">
        <f>EXP(-LN(2)/25)*FR140+(1-EXP(-LN(2)/25))/(LN(2)/25)*Calculateur!FM141*Calculateur!FO141*VLOOKUP('Données projet'!$B$16,Paramètres!$A$1:$I$89,3,0)*0.475*44/12</f>
        <v>0.81715484175310149</v>
      </c>
      <c r="FS141" s="21">
        <f>EXP(-LN(2)/2)*FS140+(1-EXP(-LN(2)/2))/(LN(2)/2)*FM141*FP141*VLOOKUP('Données projet'!$B$16,Paramètres!$A$1:$I$89,3,0)*0.475*44/12</f>
        <v>8.8248127706132467E-16</v>
      </c>
      <c r="FT141" s="22">
        <f t="shared" si="132"/>
        <v>1.1038152522763807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5.1063034188034209</v>
      </c>
      <c r="N142" s="13">
        <f>IF('Données projet'!$A$36&gt;35,N141+M142-V141,IF(A142&lt;'Données projet'!$A$36,$K$205^A142,IF(A142='Données projet'!$A$36,'Données projet'!$B$36,N141+M142-V141)))</f>
        <v>252.12286324786288</v>
      </c>
      <c r="O142" s="13">
        <f>N142*VLOOKUP('Données projet'!$B$9,Paramètres!$A$1:$I$89,3,0)*VLOOKUP('Données projet'!$B$9,Paramètres!$A$1:$I$89,5,0)</f>
        <v>228.12076666666633</v>
      </c>
      <c r="P142" s="13">
        <f t="shared" si="141"/>
        <v>55.876153534759418</v>
      </c>
      <c r="Q142" s="20">
        <f t="shared" si="108"/>
        <v>494.62796935081639</v>
      </c>
      <c r="R142" s="59">
        <f t="shared" si="109"/>
        <v>787.9613026841497</v>
      </c>
      <c r="S142" s="59">
        <f ca="1">AVERAGE(OFFSET($R$3,0,0,'Données projet'!$E$9+1,1))-AVERAGE(OFFSET($H$3,0,0,'Données projet'!$E$9+1,1))</f>
        <v>153.45079678708987</v>
      </c>
      <c r="T142" s="59">
        <f t="shared" si="142"/>
        <v>115.4217868409637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0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4.9871794871794863</v>
      </c>
      <c r="AI142" s="13">
        <f>IF('Données projet'!$A$62&gt;35,AI141+AH142-AQ141,IF(A142&lt;'Données projet'!$A$62,$AF$205^A142,IF(A142='Données projet'!$A$62,'Données projet'!$B$62,AI141+AH142-AQ141)))</f>
        <v>238.91666666666657</v>
      </c>
      <c r="AJ142" s="13">
        <f>AI142*VLOOKUP('Données projet'!$B$10,Paramètres!$A$1:$I$89,3,0)*VLOOKUP('Données projet'!$B$10,Paramètres!$A$1:$I$89,5,0)</f>
        <v>216.17179999999991</v>
      </c>
      <c r="AK142" s="13">
        <f t="shared" si="143"/>
        <v>53.281997223105535</v>
      </c>
      <c r="AL142" s="20">
        <f t="shared" si="112"/>
        <v>469.29869683024191</v>
      </c>
      <c r="AM142" s="59">
        <f t="shared" si="113"/>
        <v>762.63203016357522</v>
      </c>
      <c r="AN142" s="59">
        <f ca="1">AVERAGE(OFFSET($AM$3,0,0,'Données projet'!$E$10+1,1))-AVERAGE(OFFSET($H$3,0,0,'Données projet'!$E$10+1,1))</f>
        <v>123.92486590666675</v>
      </c>
      <c r="AO142" s="59">
        <f t="shared" si="144"/>
        <v>54.404493017418986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0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1.1368683772161603E-13</v>
      </c>
      <c r="BE142" s="13">
        <f>BD142*VLOOKUP('Données projet'!$B$11,Paramètres!$A$1:$I$89,3,0)*VLOOKUP('Données projet'!$B$11,Paramètres!$A$1:$I$89,5,0)</f>
        <v>6.3550942286383367E-14</v>
      </c>
      <c r="BF142" s="13">
        <f t="shared" si="145"/>
        <v>1.0064464192543978E-12</v>
      </c>
      <c r="BG142" s="20">
        <f t="shared" si="115"/>
        <v>1.8635787380168604E-12</v>
      </c>
      <c r="BH142" s="59">
        <f t="shared" si="116"/>
        <v>293.33333333333519</v>
      </c>
      <c r="BI142" s="59">
        <f ca="1">AVERAGE(OFFSET($BH$3,0,0,'Données projet'!$E$11+1,1))-AVERAGE(OFFSET($H$3,0,0,'Données projet'!$E$11+1,1))</f>
        <v>224.7049802939942</v>
      </c>
      <c r="BJ142" s="59">
        <f t="shared" si="146"/>
        <v>203.48513862195352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0.25765430291714803</v>
      </c>
      <c r="BQ142" s="21">
        <f>EXP(-LN(2)/25)*BQ141+(1-EXP(-LN(2)/25))/(LN(2)/25)*Calculateur!BL142*Calculateur!BN142*VLOOKUP('Données projet'!$B$11,Paramètres!$A$1:$I$89,3,0)*0.475*44/12</f>
        <v>0.95080126823039113</v>
      </c>
      <c r="BR142" s="21">
        <f>EXP(-LN(2)/2)*BR141+(1-EXP(-LN(2)/2))/(LN(2)/2)*BL142*BO142*VLOOKUP('Données projet'!$B$11,Paramètres!$A$1:$I$89,3,0)*0.475*44/12</f>
        <v>3.5172475636135393E-16</v>
      </c>
      <c r="BS142" s="22">
        <f t="shared" si="117"/>
        <v>1.2084555711475395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6.2527760746888816E-13</v>
      </c>
      <c r="BZ142" s="13">
        <f>BY142*VLOOKUP('Données projet'!$B$12,Paramètres!$A$1:$I$89,3,0)*VLOOKUP('Données projet'!$B$12,Paramètres!$A$1:$I$89,5,0)</f>
        <v>3.4953018257510848E-13</v>
      </c>
      <c r="CA142" s="13">
        <f t="shared" si="147"/>
        <v>4.5391562386470354E-12</v>
      </c>
      <c r="CB142" s="20">
        <f t="shared" si="118"/>
        <v>8.5144621836285662E-12</v>
      </c>
      <c r="CC142" s="59">
        <f t="shared" si="119"/>
        <v>293.33333333334184</v>
      </c>
      <c r="CD142" s="59">
        <f ca="1">AVERAGE(OFFSET($CC$3,0,0,'Données projet'!$E$12+1,1))-AVERAGE(OFFSET($H$3,0,0,'Données projet'!$E$12+1,1))</f>
        <v>190.08613104982993</v>
      </c>
      <c r="CE142" s="59">
        <f t="shared" si="148"/>
        <v>180.55054525447781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0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497</v>
      </c>
      <c r="CU142" s="17">
        <f>CT142*VLOOKUP('Données projet'!$B$13,Paramètres!$A$1:$I$89,3,0)*VLOOKUP('Données projet'!$B$13,Paramètres!$A$1:$I$89,5,0)</f>
        <v>297.20600000000002</v>
      </c>
      <c r="CV142" s="13">
        <f t="shared" si="149"/>
        <v>70.590415164571112</v>
      </c>
      <c r="CW142" s="20">
        <f t="shared" si="121"/>
        <v>640.57875641162809</v>
      </c>
      <c r="CX142" s="59">
        <f t="shared" si="122"/>
        <v>933.91208974496135</v>
      </c>
      <c r="CY142" s="59">
        <f ca="1">AVERAGE(OFFSET($CX$3,0,0,'Données projet'!$E$13+1,1))-AVERAGE(OFFSET($H$3,0,0,'Données projet'!$E$13+1,1))</f>
        <v>270.30888762640245</v>
      </c>
      <c r="CZ142" s="59">
        <f t="shared" si="150"/>
        <v>202.23783851977691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0.24734315121909042</v>
      </c>
      <c r="DG142" s="21">
        <f>EXP(-LN(2)/25)*DG141+(1-EXP(-LN(2)/25))/(LN(2)/25)*Calculateur!DB142*Calculateur!DD142*VLOOKUP('Données projet'!$B$13,Paramètres!$A$1:$I$89,3,0)*0.475*44/12</f>
        <v>0.59874941921014413</v>
      </c>
      <c r="DH142" s="21">
        <f>EXP(-LN(2)/2)*DH141+(1-EXP(-LN(2)/2))/(LN(2)/2)*DB142*DE142*VLOOKUP('Données projet'!$B$13,Paramètres!$A$1:$I$89,3,0)*0.475*44/12</f>
        <v>7.2587763207489322E-16</v>
      </c>
      <c r="DI142" s="22">
        <f t="shared" si="123"/>
        <v>0.84609257042923536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433.00000000000011</v>
      </c>
      <c r="DP142" s="17">
        <f>DO142*VLOOKUP('Données projet'!$B$14,Paramètres!$A$1:$I$89,3,0)*VLOOKUP('Données projet'!$B$14,Paramètres!$A$1:$I$89,5,0)</f>
        <v>258.93400000000008</v>
      </c>
      <c r="DQ142" s="13">
        <f t="shared" si="151"/>
        <v>62.495095530116075</v>
      </c>
      <c r="DR142" s="20">
        <f t="shared" si="124"/>
        <v>559.82234138161891</v>
      </c>
      <c r="DS142" s="59">
        <f t="shared" si="125"/>
        <v>853.15567471495228</v>
      </c>
      <c r="DT142" s="59">
        <f ca="1">AVERAGE(OFFSET($DS$3,0,0,'Données projet'!$E$14+1,1))-AVERAGE(OFFSET($H$3,0,0,'Données projet'!$E$14+1,1))</f>
        <v>221.14988592347311</v>
      </c>
      <c r="DU142" s="59">
        <f t="shared" si="152"/>
        <v>179.09262081171607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0.26383269463369657</v>
      </c>
      <c r="EB142" s="21">
        <f>EXP(-LN(2)/25)*EB141+(1-EXP(-LN(2)/25))/(LN(2)/25)*Calculateur!DW142*Calculateur!DY142*VLOOKUP('Données projet'!$B$14,Paramètres!$A$1:$I$89,3,0)*0.475*44/12</f>
        <v>0.49868970503379889</v>
      </c>
      <c r="EC142" s="21">
        <f>EXP(-LN(2)/2)*EC141+(1-EXP(-LN(2)/2))/(LN(2)/2)*DW142*DZ142*VLOOKUP('Données projet'!$B$14,Paramètres!$A$1:$I$89,3,0)*0.475*44/12</f>
        <v>7.6541055574396066E-16</v>
      </c>
      <c r="ED142" s="22">
        <f t="shared" si="126"/>
        <v>0.76252239966749624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2.2737367544323206E-13</v>
      </c>
      <c r="EK142" s="17">
        <f>EJ142*VLOOKUP('Données projet'!$B$15,Paramètres!$A$1:$I$89,3,0)*VLOOKUP('Données projet'!$B$15,Paramètres!$A$1:$I$89,5,0)</f>
        <v>1.2414602679200471E-13</v>
      </c>
      <c r="EL142" s="13">
        <f t="shared" si="153"/>
        <v>1.8186582995804361E-12</v>
      </c>
      <c r="EM142" s="20">
        <f t="shared" si="127"/>
        <v>3.3837175350986671E-12</v>
      </c>
      <c r="EN142" s="59">
        <f t="shared" si="128"/>
        <v>293.33333333333672</v>
      </c>
      <c r="EO142" s="59">
        <f ca="1">AVERAGE(OFFSET($EN$3,0,0,'Données projet'!$E$15+1,1))-AVERAGE(OFFSET($H$3,0,0,'Données projet'!$E$15+1,1))</f>
        <v>168.72306536277267</v>
      </c>
      <c r="EP142" s="59">
        <f t="shared" si="154"/>
        <v>203.35476578922339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0.3512989683981283</v>
      </c>
      <c r="EW142" s="21">
        <f>EXP(-LN(2)/25)*EW141+(1-EXP(-LN(2)/25))/(LN(2)/25)*Calculateur!ER142*Calculateur!ET142*VLOOKUP('Données projet'!$B$15,Paramètres!$A$1:$I$89,3,0)*0.475*44/12</f>
        <v>1.119319665729934</v>
      </c>
      <c r="EX142" s="21">
        <f>EXP(-LN(2)/2)*EX141+(1-EXP(-LN(2)/2))/(LN(2)/2)*ER142*EU142*VLOOKUP('Données projet'!$B$15,Paramètres!$A$1:$I$89,3,0)*0.475*44/12</f>
        <v>7.8598226437957351E-16</v>
      </c>
      <c r="EY142" s="22">
        <f t="shared" si="129"/>
        <v>1.4706186341280632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3.4106051316484809E-13</v>
      </c>
      <c r="FF142" s="17">
        <f>FE142*VLOOKUP('Données projet'!$B$16,Paramètres!$A$1:$I$89,3,0)*VLOOKUP('Données projet'!$B$16,Paramètres!$A$1:$I$89,5,0)</f>
        <v>1.8621904018800707E-13</v>
      </c>
      <c r="FG142" s="13">
        <f t="shared" si="155"/>
        <v>2.6022279988572714E-12</v>
      </c>
      <c r="FH142" s="20">
        <f t="shared" si="130"/>
        <v>4.8565452596705266E-12</v>
      </c>
      <c r="FI142" s="59">
        <f t="shared" si="131"/>
        <v>293.33333333333815</v>
      </c>
      <c r="FJ142" s="59">
        <f ca="1">AVERAGE(OFFSET($FI$3,0,0,'Données projet'!$E$16+1,1))-AVERAGE(OFFSET($H$3,0,0,'Données projet'!$E$16+1,1))</f>
        <v>127.76128532861486</v>
      </c>
      <c r="FK142" s="59">
        <f t="shared" si="156"/>
        <v>157.52303491639736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>
        <f>EXP(-LN(2)/35)*FQ141+(1-EXP(-LN(2)/35))/(LN(2)/35)*FM142*FN142*VLOOKUP('Données projet'!$B$16,Paramètres!$A$1:$I$89,3,0)*0.475*44/12</f>
        <v>0.28103917471850265</v>
      </c>
      <c r="FR142" s="21">
        <f>EXP(-LN(2)/25)*FR141+(1-EXP(-LN(2)/25))/(LN(2)/25)*Calculateur!FM142*Calculateur!FO142*VLOOKUP('Données projet'!$B$16,Paramètres!$A$1:$I$89,3,0)*0.475*44/12</f>
        <v>0.79480969963305748</v>
      </c>
      <c r="FS142" s="21">
        <f>EXP(-LN(2)/2)*FS141+(1-EXP(-LN(2)/2))/(LN(2)/2)*FM142*FP142*VLOOKUP('Données projet'!$B$16,Paramètres!$A$1:$I$89,3,0)*0.475*44/12</f>
        <v>6.2400849528022719E-16</v>
      </c>
      <c r="FT142" s="22">
        <f t="shared" si="132"/>
        <v>1.0758488743515608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5.1063034188034209</v>
      </c>
      <c r="N143" s="13">
        <f>IF('Données projet'!$A$36&gt;35,N142+M143-V142,IF(A143&lt;'Données projet'!$A$36,$K$205^A143,IF(A143='Données projet'!$A$36,'Données projet'!$B$36,N142+M143-V142)))</f>
        <v>257.22916666666629</v>
      </c>
      <c r="O143" s="13">
        <f>N143*VLOOKUP('Données projet'!$B$9,Paramètres!$A$1:$I$89,3,0)*VLOOKUP('Données projet'!$B$9,Paramètres!$A$1:$I$89,5,0)</f>
        <v>232.74094999999966</v>
      </c>
      <c r="P143" s="13">
        <f t="shared" si="141"/>
        <v>56.874929761004168</v>
      </c>
      <c r="Q143" s="20">
        <f t="shared" si="108"/>
        <v>504.41432391708167</v>
      </c>
      <c r="R143" s="59">
        <f t="shared" si="109"/>
        <v>797.74765725041493</v>
      </c>
      <c r="S143" s="59">
        <f ca="1">AVERAGE(OFFSET($R$3,0,0,'Données projet'!$E$9+1,1))-AVERAGE(OFFSET($H$3,0,0,'Données projet'!$E$9+1,1))</f>
        <v>153.45079678708987</v>
      </c>
      <c r="T143" s="59">
        <f t="shared" si="142"/>
        <v>115.4217868409637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0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4.9871794871794863</v>
      </c>
      <c r="AI143" s="13">
        <f>IF('Données projet'!$A$62&gt;35,AI142+AH143-AQ142,IF(A143&lt;'Données projet'!$A$62,$AF$205^A143,IF(A143='Données projet'!$A$62,'Données projet'!$B$62,AI142+AH143-AQ142)))</f>
        <v>243.90384615384605</v>
      </c>
      <c r="AJ143" s="13">
        <f>AI143*VLOOKUP('Données projet'!$B$10,Paramètres!$A$1:$I$89,3,0)*VLOOKUP('Données projet'!$B$10,Paramètres!$A$1:$I$89,5,0)</f>
        <v>220.68419999999992</v>
      </c>
      <c r="AK143" s="13">
        <f t="shared" si="143"/>
        <v>54.263566324843659</v>
      </c>
      <c r="AL143" s="20">
        <f t="shared" si="112"/>
        <v>478.86735968243596</v>
      </c>
      <c r="AM143" s="59">
        <f t="shared" si="113"/>
        <v>772.20069301576928</v>
      </c>
      <c r="AN143" s="59">
        <f ca="1">AVERAGE(OFFSET($AM$3,0,0,'Données projet'!$E$10+1,1))-AVERAGE(OFFSET($H$3,0,0,'Données projet'!$E$10+1,1))</f>
        <v>123.92486590666675</v>
      </c>
      <c r="AO143" s="59">
        <f t="shared" si="144"/>
        <v>54.404493017418986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0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1.1368683772161603E-13</v>
      </c>
      <c r="BE143" s="13">
        <f>BD143*VLOOKUP('Données projet'!$B$11,Paramètres!$A$1:$I$89,3,0)*VLOOKUP('Données projet'!$B$11,Paramètres!$A$1:$I$89,5,0)</f>
        <v>6.3550942286383367E-14</v>
      </c>
      <c r="BF143" s="13">
        <f t="shared" si="145"/>
        <v>1.0064464192543978E-12</v>
      </c>
      <c r="BG143" s="20">
        <f t="shared" si="115"/>
        <v>1.8635787380168604E-12</v>
      </c>
      <c r="BH143" s="59">
        <f t="shared" si="116"/>
        <v>293.33333333333519</v>
      </c>
      <c r="BI143" s="59">
        <f ca="1">AVERAGE(OFFSET($BH$3,0,0,'Données projet'!$E$11+1,1))-AVERAGE(OFFSET($H$3,0,0,'Données projet'!$E$11+1,1))</f>
        <v>224.7049802939942</v>
      </c>
      <c r="BJ143" s="59">
        <f t="shared" si="146"/>
        <v>203.48513862195352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0.25260185919054989</v>
      </c>
      <c r="BQ143" s="21">
        <f>EXP(-LN(2)/25)*BQ142+(1-EXP(-LN(2)/25))/(LN(2)/25)*Calculateur!BL143*Calculateur!BN143*VLOOKUP('Données projet'!$B$11,Paramètres!$A$1:$I$89,3,0)*0.475*44/12</f>
        <v>0.92480155755016547</v>
      </c>
      <c r="BR143" s="21">
        <f>EXP(-LN(2)/2)*BR142+(1-EXP(-LN(2)/2))/(LN(2)/2)*BL143*BO143*VLOOKUP('Données projet'!$B$11,Paramètres!$A$1:$I$89,3,0)*0.475*44/12</f>
        <v>2.4870696033429964E-16</v>
      </c>
      <c r="BS143" s="22">
        <f t="shared" si="117"/>
        <v>1.1774034167407155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6.2527760746888816E-13</v>
      </c>
      <c r="BZ143" s="13">
        <f>BY143*VLOOKUP('Données projet'!$B$12,Paramètres!$A$1:$I$89,3,0)*VLOOKUP('Données projet'!$B$12,Paramètres!$A$1:$I$89,5,0)</f>
        <v>3.4953018257510848E-13</v>
      </c>
      <c r="CA143" s="13">
        <f t="shared" si="147"/>
        <v>4.5391562386470354E-12</v>
      </c>
      <c r="CB143" s="20">
        <f t="shared" si="118"/>
        <v>8.5144621836285662E-12</v>
      </c>
      <c r="CC143" s="59">
        <f t="shared" si="119"/>
        <v>293.33333333334184</v>
      </c>
      <c r="CD143" s="59">
        <f ca="1">AVERAGE(OFFSET($CC$3,0,0,'Données projet'!$E$12+1,1))-AVERAGE(OFFSET($H$3,0,0,'Données projet'!$E$12+1,1))</f>
        <v>190.08613104982993</v>
      </c>
      <c r="CE143" s="59">
        <f t="shared" si="148"/>
        <v>180.55054525447781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0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497</v>
      </c>
      <c r="CU143" s="17">
        <f>CT143*VLOOKUP('Données projet'!$B$13,Paramètres!$A$1:$I$89,3,0)*VLOOKUP('Données projet'!$B$13,Paramètres!$A$1:$I$89,5,0)</f>
        <v>297.20600000000002</v>
      </c>
      <c r="CV143" s="13">
        <f t="shared" si="149"/>
        <v>70.590415164571112</v>
      </c>
      <c r="CW143" s="20">
        <f t="shared" si="121"/>
        <v>640.57875641162809</v>
      </c>
      <c r="CX143" s="59">
        <f t="shared" si="122"/>
        <v>933.91208974496135</v>
      </c>
      <c r="CY143" s="59">
        <f ca="1">AVERAGE(OFFSET($CX$3,0,0,'Données projet'!$E$13+1,1))-AVERAGE(OFFSET($H$3,0,0,'Données projet'!$E$13+1,1))</f>
        <v>270.30888762640245</v>
      </c>
      <c r="CZ143" s="59">
        <f t="shared" si="150"/>
        <v>202.23783851977691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0.24249290288810968</v>
      </c>
      <c r="DG143" s="21">
        <f>EXP(-LN(2)/25)*DG142+(1-EXP(-LN(2)/25))/(LN(2)/25)*Calculateur!DB143*Calculateur!DD143*VLOOKUP('Données projet'!$B$13,Paramètres!$A$1:$I$89,3,0)*0.475*44/12</f>
        <v>0.58237658485497923</v>
      </c>
      <c r="DH143" s="21">
        <f>EXP(-LN(2)/2)*DH142+(1-EXP(-LN(2)/2))/(LN(2)/2)*DB143*DE143*VLOOKUP('Données projet'!$B$13,Paramètres!$A$1:$I$89,3,0)*0.475*44/12</f>
        <v>5.1327299595179077E-16</v>
      </c>
      <c r="DI143" s="22">
        <f t="shared" si="123"/>
        <v>0.82486948774308944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433.00000000000011</v>
      </c>
      <c r="DP143" s="17">
        <f>DO143*VLOOKUP('Données projet'!$B$14,Paramètres!$A$1:$I$89,3,0)*VLOOKUP('Données projet'!$B$14,Paramètres!$A$1:$I$89,5,0)</f>
        <v>258.93400000000008</v>
      </c>
      <c r="DQ143" s="13">
        <f t="shared" si="151"/>
        <v>62.495095530116075</v>
      </c>
      <c r="DR143" s="20">
        <f t="shared" si="124"/>
        <v>559.82234138161891</v>
      </c>
      <c r="DS143" s="59">
        <f t="shared" si="125"/>
        <v>853.15567471495228</v>
      </c>
      <c r="DT143" s="59">
        <f ca="1">AVERAGE(OFFSET($DS$3,0,0,'Données projet'!$E$14+1,1))-AVERAGE(OFFSET($H$3,0,0,'Données projet'!$E$14+1,1))</f>
        <v>221.14988592347311</v>
      </c>
      <c r="DU143" s="59">
        <f t="shared" si="152"/>
        <v>179.09262081171607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0.25865909641398377</v>
      </c>
      <c r="EB143" s="21">
        <f>EXP(-LN(2)/25)*EB142+(1-EXP(-LN(2)/25))/(LN(2)/25)*Calculateur!DW143*Calculateur!DY143*VLOOKUP('Données projet'!$B$14,Paramètres!$A$1:$I$89,3,0)*0.475*44/12</f>
        <v>0.48505300882469782</v>
      </c>
      <c r="EC143" s="21">
        <f>EXP(-LN(2)/2)*EC142+(1-EXP(-LN(2)/2))/(LN(2)/2)*DW143*DZ143*VLOOKUP('Données projet'!$B$14,Paramètres!$A$1:$I$89,3,0)*0.475*44/12</f>
        <v>5.4122699435831852E-16</v>
      </c>
      <c r="ED143" s="22">
        <f t="shared" si="126"/>
        <v>0.74371210523868214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2.2737367544323206E-13</v>
      </c>
      <c r="EK143" s="17">
        <f>EJ143*VLOOKUP('Données projet'!$B$15,Paramètres!$A$1:$I$89,3,0)*VLOOKUP('Données projet'!$B$15,Paramètres!$A$1:$I$89,5,0)</f>
        <v>1.2414602679200471E-13</v>
      </c>
      <c r="EL143" s="13">
        <f t="shared" si="153"/>
        <v>1.8186582995804361E-12</v>
      </c>
      <c r="EM143" s="20">
        <f t="shared" si="127"/>
        <v>3.3837175350986671E-12</v>
      </c>
      <c r="EN143" s="59">
        <f t="shared" si="128"/>
        <v>293.33333333333672</v>
      </c>
      <c r="EO143" s="59">
        <f ca="1">AVERAGE(OFFSET($EN$3,0,0,'Données projet'!$E$15+1,1))-AVERAGE(OFFSET($H$3,0,0,'Données projet'!$E$15+1,1))</f>
        <v>168.72306536277267</v>
      </c>
      <c r="EP143" s="59">
        <f t="shared" si="154"/>
        <v>203.35476578922339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0.34441020989905419</v>
      </c>
      <c r="EW143" s="21">
        <f>EXP(-LN(2)/25)*EW142+(1-EXP(-LN(2)/25))/(LN(2)/25)*Calculateur!ER143*Calculateur!ET143*VLOOKUP('Données projet'!$B$15,Paramètres!$A$1:$I$89,3,0)*0.475*44/12</f>
        <v>1.088711810608086</v>
      </c>
      <c r="EX143" s="21">
        <f>EXP(-LN(2)/2)*EX142+(1-EXP(-LN(2)/2))/(LN(2)/2)*ER143*EU143*VLOOKUP('Données projet'!$B$15,Paramètres!$A$1:$I$89,3,0)*0.475*44/12</f>
        <v>5.5577338903515422E-16</v>
      </c>
      <c r="EY143" s="22">
        <f t="shared" si="129"/>
        <v>1.4331220205071409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3.4106051316484809E-13</v>
      </c>
      <c r="FF143" s="17">
        <f>FE143*VLOOKUP('Données projet'!$B$16,Paramètres!$A$1:$I$89,3,0)*VLOOKUP('Données projet'!$B$16,Paramètres!$A$1:$I$89,5,0)</f>
        <v>1.8621904018800707E-13</v>
      </c>
      <c r="FG143" s="13">
        <f t="shared" si="155"/>
        <v>2.6022279988572714E-12</v>
      </c>
      <c r="FH143" s="20">
        <f t="shared" si="130"/>
        <v>4.8565452596705266E-12</v>
      </c>
      <c r="FI143" s="59">
        <f t="shared" si="131"/>
        <v>293.33333333333815</v>
      </c>
      <c r="FJ143" s="59">
        <f ca="1">AVERAGE(OFFSET($FI$3,0,0,'Données projet'!$E$16+1,1))-AVERAGE(OFFSET($H$3,0,0,'Données projet'!$E$16+1,1))</f>
        <v>127.76128532861486</v>
      </c>
      <c r="FK143" s="59">
        <f t="shared" si="156"/>
        <v>157.52303491639736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>
        <f>EXP(-LN(2)/35)*FQ142+(1-EXP(-LN(2)/35))/(LN(2)/35)*FM143*FN143*VLOOKUP('Données projet'!$B$16,Paramètres!$A$1:$I$89,3,0)*0.475*44/12</f>
        <v>0.27552816791924339</v>
      </c>
      <c r="FR143" s="21">
        <f>EXP(-LN(2)/25)*FR142+(1-EXP(-LN(2)/25))/(LN(2)/25)*Calculateur!FM143*Calculateur!FO143*VLOOKUP('Données projet'!$B$16,Paramètres!$A$1:$I$89,3,0)*0.475*44/12</f>
        <v>0.77307558659936593</v>
      </c>
      <c r="FS143" s="21">
        <f>EXP(-LN(2)/2)*FS142+(1-EXP(-LN(2)/2))/(LN(2)/2)*FM143*FP143*VLOOKUP('Données projet'!$B$16,Paramètres!$A$1:$I$89,3,0)*0.475*44/12</f>
        <v>4.4124063853066243E-16</v>
      </c>
      <c r="FT143" s="22">
        <f t="shared" si="132"/>
        <v>1.0486037545186098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5.1063034188034209</v>
      </c>
      <c r="N144" s="13">
        <f>IF('Données projet'!$A$36&gt;35,N143+M144-V143,IF(A144&lt;'Données projet'!$A$36,$K$205^A144,IF(A144='Données projet'!$A$36,'Données projet'!$B$36,N143+M144-V143)))</f>
        <v>262.33547008546969</v>
      </c>
      <c r="O144" s="13">
        <f>N144*VLOOKUP('Données projet'!$B$9,Paramètres!$A$1:$I$89,3,0)*VLOOKUP('Données projet'!$B$9,Paramètres!$A$1:$I$89,5,0)</f>
        <v>237.36113333333296</v>
      </c>
      <c r="P144" s="13">
        <f t="shared" si="141"/>
        <v>57.871400641465833</v>
      </c>
      <c r="Q144" s="20">
        <f t="shared" si="108"/>
        <v>514.19666333944122</v>
      </c>
      <c r="R144" s="59">
        <f t="shared" si="109"/>
        <v>807.52999667277459</v>
      </c>
      <c r="S144" s="59">
        <f ca="1">AVERAGE(OFFSET($R$3,0,0,'Données projet'!$E$9+1,1))-AVERAGE(OFFSET($H$3,0,0,'Données projet'!$E$9+1,1))</f>
        <v>153.45079678708987</v>
      </c>
      <c r="T144" s="59">
        <f t="shared" si="142"/>
        <v>115.4217868409637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0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4.9871794871794863</v>
      </c>
      <c r="AI144" s="13">
        <f>IF('Données projet'!$A$62&gt;35,AI143+AH144-AQ143,IF(A144&lt;'Données projet'!$A$62,$AF$205^A144,IF(A144='Données projet'!$A$62,'Données projet'!$B$62,AI143+AH144-AQ143)))</f>
        <v>248.89102564102552</v>
      </c>
      <c r="AJ144" s="13">
        <f>AI144*VLOOKUP('Données projet'!$B$10,Paramètres!$A$1:$I$89,3,0)*VLOOKUP('Données projet'!$B$10,Paramètres!$A$1:$I$89,5,0)</f>
        <v>225.19659999999988</v>
      </c>
      <c r="AK144" s="13">
        <f t="shared" si="143"/>
        <v>55.242801831629698</v>
      </c>
      <c r="AL144" s="20">
        <f t="shared" si="112"/>
        <v>488.43195819008821</v>
      </c>
      <c r="AM144" s="59">
        <f t="shared" si="113"/>
        <v>781.76529152342152</v>
      </c>
      <c r="AN144" s="59">
        <f ca="1">AVERAGE(OFFSET($AM$3,0,0,'Données projet'!$E$10+1,1))-AVERAGE(OFFSET($H$3,0,0,'Données projet'!$E$10+1,1))</f>
        <v>123.92486590666675</v>
      </c>
      <c r="AO144" s="59">
        <f t="shared" si="144"/>
        <v>54.404493017418986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0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1.1368683772161603E-13</v>
      </c>
      <c r="BE144" s="13">
        <f>BD144*VLOOKUP('Données projet'!$B$11,Paramètres!$A$1:$I$89,3,0)*VLOOKUP('Données projet'!$B$11,Paramètres!$A$1:$I$89,5,0)</f>
        <v>6.3550942286383367E-14</v>
      </c>
      <c r="BF144" s="13">
        <f t="shared" si="145"/>
        <v>1.0064464192543978E-12</v>
      </c>
      <c r="BG144" s="20">
        <f t="shared" si="115"/>
        <v>1.8635787380168604E-12</v>
      </c>
      <c r="BH144" s="59">
        <f t="shared" si="116"/>
        <v>293.33333333333519</v>
      </c>
      <c r="BI144" s="59">
        <f ca="1">AVERAGE(OFFSET($BH$3,0,0,'Données projet'!$E$11+1,1))-AVERAGE(OFFSET($H$3,0,0,'Données projet'!$E$11+1,1))</f>
        <v>224.7049802939942</v>
      </c>
      <c r="BJ144" s="59">
        <f t="shared" si="146"/>
        <v>203.48513862195352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0.24764849080374399</v>
      </c>
      <c r="BQ144" s="21">
        <f>EXP(-LN(2)/25)*BQ143+(1-EXP(-LN(2)/25))/(LN(2)/25)*Calculateur!BL144*Calculateur!BN144*VLOOKUP('Données projet'!$B$11,Paramètres!$A$1:$I$89,3,0)*0.475*44/12</f>
        <v>0.89951281032575592</v>
      </c>
      <c r="BR144" s="21">
        <f>EXP(-LN(2)/2)*BR143+(1-EXP(-LN(2)/2))/(LN(2)/2)*BL144*BO144*VLOOKUP('Données projet'!$B$11,Paramètres!$A$1:$I$89,3,0)*0.475*44/12</f>
        <v>1.7586237818067697E-16</v>
      </c>
      <c r="BS144" s="22">
        <f t="shared" si="117"/>
        <v>1.1471613011295001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6.2527760746888816E-13</v>
      </c>
      <c r="BZ144" s="13">
        <f>BY144*VLOOKUP('Données projet'!$B$12,Paramètres!$A$1:$I$89,3,0)*VLOOKUP('Données projet'!$B$12,Paramètres!$A$1:$I$89,5,0)</f>
        <v>3.4953018257510848E-13</v>
      </c>
      <c r="CA144" s="13">
        <f t="shared" si="147"/>
        <v>4.5391562386470354E-12</v>
      </c>
      <c r="CB144" s="20">
        <f t="shared" si="118"/>
        <v>8.5144621836285662E-12</v>
      </c>
      <c r="CC144" s="59">
        <f t="shared" si="119"/>
        <v>293.33333333334184</v>
      </c>
      <c r="CD144" s="59">
        <f ca="1">AVERAGE(OFFSET($CC$3,0,0,'Données projet'!$E$12+1,1))-AVERAGE(OFFSET($H$3,0,0,'Données projet'!$E$12+1,1))</f>
        <v>190.08613104982993</v>
      </c>
      <c r="CE144" s="59">
        <f t="shared" si="148"/>
        <v>180.55054525447781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0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497</v>
      </c>
      <c r="CU144" s="17">
        <f>CT144*VLOOKUP('Données projet'!$B$13,Paramètres!$A$1:$I$89,3,0)*VLOOKUP('Données projet'!$B$13,Paramètres!$A$1:$I$89,5,0)</f>
        <v>297.20600000000002</v>
      </c>
      <c r="CV144" s="13">
        <f t="shared" si="149"/>
        <v>70.590415164571112</v>
      </c>
      <c r="CW144" s="20">
        <f t="shared" si="121"/>
        <v>640.57875641162809</v>
      </c>
      <c r="CX144" s="59">
        <f t="shared" si="122"/>
        <v>933.91208974496135</v>
      </c>
      <c r="CY144" s="59">
        <f ca="1">AVERAGE(OFFSET($CX$3,0,0,'Données projet'!$E$13+1,1))-AVERAGE(OFFSET($H$3,0,0,'Données projet'!$E$13+1,1))</f>
        <v>270.30888762640245</v>
      </c>
      <c r="CZ144" s="59">
        <f t="shared" si="150"/>
        <v>202.23783851977691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0.2377377649685401</v>
      </c>
      <c r="DG144" s="21">
        <f>EXP(-LN(2)/25)*DG143+(1-EXP(-LN(2)/25))/(LN(2)/25)*Calculateur!DB144*Calculateur!DD144*VLOOKUP('Données projet'!$B$13,Paramètres!$A$1:$I$89,3,0)*0.475*44/12</f>
        <v>0.56645146651626621</v>
      </c>
      <c r="DH144" s="21">
        <f>EXP(-LN(2)/2)*DH143+(1-EXP(-LN(2)/2))/(LN(2)/2)*DB144*DE144*VLOOKUP('Données projet'!$B$13,Paramètres!$A$1:$I$89,3,0)*0.475*44/12</f>
        <v>3.6293881603744661E-16</v>
      </c>
      <c r="DI144" s="22">
        <f t="shared" si="123"/>
        <v>0.80418923148480659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433.00000000000011</v>
      </c>
      <c r="DP144" s="17">
        <f>DO144*VLOOKUP('Données projet'!$B$14,Paramètres!$A$1:$I$89,3,0)*VLOOKUP('Données projet'!$B$14,Paramètres!$A$1:$I$89,5,0)</f>
        <v>258.93400000000008</v>
      </c>
      <c r="DQ144" s="13">
        <f t="shared" si="151"/>
        <v>62.495095530116075</v>
      </c>
      <c r="DR144" s="20">
        <f t="shared" si="124"/>
        <v>559.82234138161891</v>
      </c>
      <c r="DS144" s="59">
        <f t="shared" si="125"/>
        <v>853.15567471495228</v>
      </c>
      <c r="DT144" s="59">
        <f ca="1">AVERAGE(OFFSET($DS$3,0,0,'Données projet'!$E$14+1,1))-AVERAGE(OFFSET($H$3,0,0,'Données projet'!$E$14+1,1))</f>
        <v>221.14988592347311</v>
      </c>
      <c r="DU144" s="59">
        <f t="shared" si="152"/>
        <v>179.09262081171607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0.25358694929977621</v>
      </c>
      <c r="EB144" s="21">
        <f>EXP(-LN(2)/25)*EB143+(1-EXP(-LN(2)/25))/(LN(2)/25)*Calculateur!DW144*Calculateur!DY144*VLOOKUP('Données projet'!$B$14,Paramètres!$A$1:$I$89,3,0)*0.475*44/12</f>
        <v>0.4717892087905573</v>
      </c>
      <c r="EC144" s="21">
        <f>EXP(-LN(2)/2)*EC143+(1-EXP(-LN(2)/2))/(LN(2)/2)*DW144*DZ144*VLOOKUP('Données projet'!$B$14,Paramètres!$A$1:$I$89,3,0)*0.475*44/12</f>
        <v>3.8270527787198033E-16</v>
      </c>
      <c r="ED144" s="22">
        <f t="shared" si="126"/>
        <v>0.72537615809033384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2.2737367544323206E-13</v>
      </c>
      <c r="EK144" s="17">
        <f>EJ144*VLOOKUP('Données projet'!$B$15,Paramètres!$A$1:$I$89,3,0)*VLOOKUP('Données projet'!$B$15,Paramètres!$A$1:$I$89,5,0)</f>
        <v>1.2414602679200471E-13</v>
      </c>
      <c r="EL144" s="13">
        <f t="shared" si="153"/>
        <v>1.8186582995804361E-12</v>
      </c>
      <c r="EM144" s="20">
        <f t="shared" si="127"/>
        <v>3.3837175350986671E-12</v>
      </c>
      <c r="EN144" s="59">
        <f t="shared" si="128"/>
        <v>293.33333333333672</v>
      </c>
      <c r="EO144" s="59">
        <f ca="1">AVERAGE(OFFSET($EN$3,0,0,'Données projet'!$E$15+1,1))-AVERAGE(OFFSET($H$3,0,0,'Données projet'!$E$15+1,1))</f>
        <v>168.72306536277267</v>
      </c>
      <c r="EP144" s="59">
        <f t="shared" si="154"/>
        <v>203.35476578922339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0.33765653575241911</v>
      </c>
      <c r="EW144" s="21">
        <f>EXP(-LN(2)/25)*EW143+(1-EXP(-LN(2)/25))/(LN(2)/25)*Calculateur!ER144*Calculateur!ET144*VLOOKUP('Données projet'!$B$15,Paramètres!$A$1:$I$89,3,0)*0.475*44/12</f>
        <v>1.058940928894142</v>
      </c>
      <c r="EX144" s="21">
        <f>EXP(-LN(2)/2)*EX143+(1-EXP(-LN(2)/2))/(LN(2)/2)*ER144*EU144*VLOOKUP('Données projet'!$B$15,Paramètres!$A$1:$I$89,3,0)*0.475*44/12</f>
        <v>3.9299113218978676E-16</v>
      </c>
      <c r="EY144" s="22">
        <f t="shared" si="129"/>
        <v>1.3965974646465615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3.4106051316484809E-13</v>
      </c>
      <c r="FF144" s="17">
        <f>FE144*VLOOKUP('Données projet'!$B$16,Paramètres!$A$1:$I$89,3,0)*VLOOKUP('Données projet'!$B$16,Paramètres!$A$1:$I$89,5,0)</f>
        <v>1.8621904018800707E-13</v>
      </c>
      <c r="FG144" s="13">
        <f t="shared" si="155"/>
        <v>2.6022279988572714E-12</v>
      </c>
      <c r="FH144" s="20">
        <f t="shared" si="130"/>
        <v>4.8565452596705266E-12</v>
      </c>
      <c r="FI144" s="59">
        <f t="shared" si="131"/>
        <v>293.33333333333815</v>
      </c>
      <c r="FJ144" s="59">
        <f ca="1">AVERAGE(OFFSET($FI$3,0,0,'Données projet'!$E$16+1,1))-AVERAGE(OFFSET($H$3,0,0,'Données projet'!$E$16+1,1))</f>
        <v>127.76128532861486</v>
      </c>
      <c r="FK144" s="59">
        <f t="shared" si="156"/>
        <v>157.52303491639736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>
        <f>EXP(-LN(2)/35)*FQ143+(1-EXP(-LN(2)/35))/(LN(2)/35)*FM144*FN144*VLOOKUP('Données projet'!$B$16,Paramètres!$A$1:$I$89,3,0)*0.475*44/12</f>
        <v>0.27012522860193533</v>
      </c>
      <c r="FR144" s="21">
        <f>EXP(-LN(2)/25)*FR143+(1-EXP(-LN(2)/25))/(LN(2)/25)*Calculateur!FM144*Calculateur!FO144*VLOOKUP('Données projet'!$B$16,Paramètres!$A$1:$I$89,3,0)*0.475*44/12</f>
        <v>0.75193579402952804</v>
      </c>
      <c r="FS144" s="21">
        <f>EXP(-LN(2)/2)*FS143+(1-EXP(-LN(2)/2))/(LN(2)/2)*FM144*FP144*VLOOKUP('Données projet'!$B$16,Paramètres!$A$1:$I$89,3,0)*0.475*44/12</f>
        <v>3.1200424764011364E-16</v>
      </c>
      <c r="FT144" s="22">
        <f t="shared" si="132"/>
        <v>1.0220610226314635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5.1063034188034209</v>
      </c>
      <c r="N145" s="13">
        <f>IF('Données projet'!$A$36&gt;35,N144+M145-V144,IF(A145&lt;'Données projet'!$A$36,$K$205^A145,IF(A145='Données projet'!$A$36,'Données projet'!$B$36,N144+M145-V144)))</f>
        <v>267.4417735042731</v>
      </c>
      <c r="O145" s="13">
        <f>N145*VLOOKUP('Données projet'!$B$9,Paramètres!$A$1:$I$89,3,0)*VLOOKUP('Données projet'!$B$9,Paramètres!$A$1:$I$89,5,0)</f>
        <v>241.98131666666632</v>
      </c>
      <c r="P145" s="13">
        <f t="shared" si="141"/>
        <v>58.865616222095206</v>
      </c>
      <c r="Q145" s="20">
        <f t="shared" si="108"/>
        <v>523.97507478125954</v>
      </c>
      <c r="R145" s="59">
        <f t="shared" si="109"/>
        <v>817.30840811459279</v>
      </c>
      <c r="S145" s="59">
        <f ca="1">AVERAGE(OFFSET($R$3,0,0,'Données projet'!$E$9+1,1))-AVERAGE(OFFSET($H$3,0,0,'Données projet'!$E$9+1,1))</f>
        <v>153.45079678708987</v>
      </c>
      <c r="T145" s="59">
        <f t="shared" si="142"/>
        <v>115.4217868409637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0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4.9871794871794863</v>
      </c>
      <c r="AI145" s="13">
        <f>IF('Données projet'!$A$62&gt;35,AI144+AH145-AQ144,IF(A145&lt;'Données projet'!$A$62,$AF$205^A145,IF(A145='Données projet'!$A$62,'Données projet'!$B$62,AI144+AH145-AQ144)))</f>
        <v>253.878205128205</v>
      </c>
      <c r="AJ145" s="13">
        <f>AI145*VLOOKUP('Données projet'!$B$10,Paramètres!$A$1:$I$89,3,0)*VLOOKUP('Données projet'!$B$10,Paramètres!$A$1:$I$89,5,0)</f>
        <v>229.70899999999989</v>
      </c>
      <c r="AK145" s="13">
        <f t="shared" si="143"/>
        <v>56.219755892147752</v>
      </c>
      <c r="AL145" s="20">
        <f t="shared" si="112"/>
        <v>497.99258317882374</v>
      </c>
      <c r="AM145" s="59">
        <f t="shared" si="113"/>
        <v>791.32591651215705</v>
      </c>
      <c r="AN145" s="59">
        <f ca="1">AVERAGE(OFFSET($AM$3,0,0,'Données projet'!$E$10+1,1))-AVERAGE(OFFSET($H$3,0,0,'Données projet'!$E$10+1,1))</f>
        <v>123.92486590666675</v>
      </c>
      <c r="AO145" s="59">
        <f t="shared" si="144"/>
        <v>54.404493017418986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0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1.1368683772161603E-13</v>
      </c>
      <c r="BE145" s="13">
        <f>BD145*VLOOKUP('Données projet'!$B$11,Paramètres!$A$1:$I$89,3,0)*VLOOKUP('Données projet'!$B$11,Paramètres!$A$1:$I$89,5,0)</f>
        <v>6.3550942286383367E-14</v>
      </c>
      <c r="BF145" s="13">
        <f t="shared" si="145"/>
        <v>1.0064464192543978E-12</v>
      </c>
      <c r="BG145" s="20">
        <f t="shared" si="115"/>
        <v>1.8635787380168604E-12</v>
      </c>
      <c r="BH145" s="59">
        <f t="shared" si="116"/>
        <v>293.33333333333519</v>
      </c>
      <c r="BI145" s="59">
        <f ca="1">AVERAGE(OFFSET($BH$3,0,0,'Données projet'!$E$11+1,1))-AVERAGE(OFFSET($H$3,0,0,'Données projet'!$E$11+1,1))</f>
        <v>224.7049802939942</v>
      </c>
      <c r="BJ145" s="59">
        <f t="shared" si="146"/>
        <v>203.48513862195352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0.24279225494974693</v>
      </c>
      <c r="BQ145" s="21">
        <f>EXP(-LN(2)/25)*BQ144+(1-EXP(-LN(2)/25))/(LN(2)/25)*Calculateur!BL145*Calculateur!BN145*VLOOKUP('Données projet'!$B$11,Paramètres!$A$1:$I$89,3,0)*0.475*44/12</f>
        <v>0.87491558522407531</v>
      </c>
      <c r="BR145" s="21">
        <f>EXP(-LN(2)/2)*BR144+(1-EXP(-LN(2)/2))/(LN(2)/2)*BL145*BO145*VLOOKUP('Données projet'!$B$11,Paramètres!$A$1:$I$89,3,0)*0.475*44/12</f>
        <v>1.2435348016714982E-16</v>
      </c>
      <c r="BS145" s="22">
        <f t="shared" si="117"/>
        <v>1.1177078401738225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6.2527760746888816E-13</v>
      </c>
      <c r="BZ145" s="13">
        <f>BY145*VLOOKUP('Données projet'!$B$12,Paramètres!$A$1:$I$89,3,0)*VLOOKUP('Données projet'!$B$12,Paramètres!$A$1:$I$89,5,0)</f>
        <v>3.4953018257510848E-13</v>
      </c>
      <c r="CA145" s="13">
        <f t="shared" si="147"/>
        <v>4.5391562386470354E-12</v>
      </c>
      <c r="CB145" s="20">
        <f t="shared" si="118"/>
        <v>8.5144621836285662E-12</v>
      </c>
      <c r="CC145" s="59">
        <f t="shared" si="119"/>
        <v>293.33333333334184</v>
      </c>
      <c r="CD145" s="59">
        <f ca="1">AVERAGE(OFFSET($CC$3,0,0,'Données projet'!$E$12+1,1))-AVERAGE(OFFSET($H$3,0,0,'Données projet'!$E$12+1,1))</f>
        <v>190.08613104982993</v>
      </c>
      <c r="CE145" s="59">
        <f t="shared" si="148"/>
        <v>180.55054525447781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0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497</v>
      </c>
      <c r="CU145" s="17">
        <f>CT145*VLOOKUP('Données projet'!$B$13,Paramètres!$A$1:$I$89,3,0)*VLOOKUP('Données projet'!$B$13,Paramètres!$A$1:$I$89,5,0)</f>
        <v>297.20600000000002</v>
      </c>
      <c r="CV145" s="13">
        <f t="shared" si="149"/>
        <v>70.590415164571112</v>
      </c>
      <c r="CW145" s="20">
        <f t="shared" si="121"/>
        <v>640.57875641162809</v>
      </c>
      <c r="CX145" s="59">
        <f t="shared" si="122"/>
        <v>933.91208974496135</v>
      </c>
      <c r="CY145" s="59">
        <f ca="1">AVERAGE(OFFSET($CX$3,0,0,'Données projet'!$E$13+1,1))-AVERAGE(OFFSET($H$3,0,0,'Données projet'!$E$13+1,1))</f>
        <v>270.30888762640245</v>
      </c>
      <c r="CZ145" s="59">
        <f t="shared" si="150"/>
        <v>202.23783851977691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0.23307587240322553</v>
      </c>
      <c r="DG145" s="21">
        <f>EXP(-LN(2)/25)*DG144+(1-EXP(-LN(2)/25))/(LN(2)/25)*Calculateur!DB145*Calculateur!DD145*VLOOKUP('Données projet'!$B$13,Paramètres!$A$1:$I$89,3,0)*0.475*44/12</f>
        <v>0.55096182137599092</v>
      </c>
      <c r="DH145" s="21">
        <f>EXP(-LN(2)/2)*DH144+(1-EXP(-LN(2)/2))/(LN(2)/2)*DB145*DE145*VLOOKUP('Données projet'!$B$13,Paramètres!$A$1:$I$89,3,0)*0.475*44/12</f>
        <v>2.5663649797589538E-16</v>
      </c>
      <c r="DI145" s="22">
        <f t="shared" si="123"/>
        <v>0.78403769377921662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433.00000000000011</v>
      </c>
      <c r="DP145" s="17">
        <f>DO145*VLOOKUP('Données projet'!$B$14,Paramètres!$A$1:$I$89,3,0)*VLOOKUP('Données projet'!$B$14,Paramètres!$A$1:$I$89,5,0)</f>
        <v>258.93400000000008</v>
      </c>
      <c r="DQ145" s="13">
        <f t="shared" si="151"/>
        <v>62.495095530116075</v>
      </c>
      <c r="DR145" s="20">
        <f t="shared" si="124"/>
        <v>559.82234138161891</v>
      </c>
      <c r="DS145" s="59">
        <f t="shared" si="125"/>
        <v>853.15567471495228</v>
      </c>
      <c r="DT145" s="59">
        <f ca="1">AVERAGE(OFFSET($DS$3,0,0,'Données projet'!$E$14+1,1))-AVERAGE(OFFSET($H$3,0,0,'Données projet'!$E$14+1,1))</f>
        <v>221.14988592347311</v>
      </c>
      <c r="DU145" s="59">
        <f t="shared" si="152"/>
        <v>179.09262081171607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0.24861426389677399</v>
      </c>
      <c r="EB145" s="21">
        <f>EXP(-LN(2)/25)*EB144+(1-EXP(-LN(2)/25))/(LN(2)/25)*Calculateur!DW145*Calculateur!DY145*VLOOKUP('Données projet'!$B$14,Paramètres!$A$1:$I$89,3,0)*0.475*44/12</f>
        <v>0.45888810806586333</v>
      </c>
      <c r="EC145" s="21">
        <f>EXP(-LN(2)/2)*EC144+(1-EXP(-LN(2)/2))/(LN(2)/2)*DW145*DZ145*VLOOKUP('Données projet'!$B$14,Paramètres!$A$1:$I$89,3,0)*0.475*44/12</f>
        <v>2.7061349717915926E-16</v>
      </c>
      <c r="ED145" s="22">
        <f t="shared" si="126"/>
        <v>0.70750237196263754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2.2737367544323206E-13</v>
      </c>
      <c r="EK145" s="17">
        <f>EJ145*VLOOKUP('Données projet'!$B$15,Paramètres!$A$1:$I$89,3,0)*VLOOKUP('Données projet'!$B$15,Paramètres!$A$1:$I$89,5,0)</f>
        <v>1.2414602679200471E-13</v>
      </c>
      <c r="EL145" s="13">
        <f t="shared" si="153"/>
        <v>1.8186582995804361E-12</v>
      </c>
      <c r="EM145" s="20">
        <f t="shared" si="127"/>
        <v>3.3837175350986671E-12</v>
      </c>
      <c r="EN145" s="59">
        <f t="shared" si="128"/>
        <v>293.33333333333672</v>
      </c>
      <c r="EO145" s="59">
        <f ca="1">AVERAGE(OFFSET($EN$3,0,0,'Données projet'!$E$15+1,1))-AVERAGE(OFFSET($H$3,0,0,'Données projet'!$E$15+1,1))</f>
        <v>168.72306536277267</v>
      </c>
      <c r="EP145" s="59">
        <f t="shared" si="154"/>
        <v>203.35476578922339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0.33103529703646511</v>
      </c>
      <c r="EW145" s="21">
        <f>EXP(-LN(2)/25)*EW144+(1-EXP(-LN(2)/25))/(LN(2)/25)*Calculateur!ER145*Calculateur!ET145*VLOOKUP('Données projet'!$B$15,Paramètres!$A$1:$I$89,3,0)*0.475*44/12</f>
        <v>1.0299841335062485</v>
      </c>
      <c r="EX145" s="21">
        <f>EXP(-LN(2)/2)*EX144+(1-EXP(-LN(2)/2))/(LN(2)/2)*ER145*EU145*VLOOKUP('Données projet'!$B$15,Paramètres!$A$1:$I$89,3,0)*0.475*44/12</f>
        <v>2.7788669451757711E-16</v>
      </c>
      <c r="EY145" s="22">
        <f t="shared" si="129"/>
        <v>1.3610194305427139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3.4106051316484809E-13</v>
      </c>
      <c r="FF145" s="17">
        <f>FE145*VLOOKUP('Données projet'!$B$16,Paramètres!$A$1:$I$89,3,0)*VLOOKUP('Données projet'!$B$16,Paramètres!$A$1:$I$89,5,0)</f>
        <v>1.8621904018800707E-13</v>
      </c>
      <c r="FG145" s="13">
        <f t="shared" si="155"/>
        <v>2.6022279988572714E-12</v>
      </c>
      <c r="FH145" s="20">
        <f t="shared" si="130"/>
        <v>4.8565452596705266E-12</v>
      </c>
      <c r="FI145" s="59">
        <f t="shared" si="131"/>
        <v>293.33333333333815</v>
      </c>
      <c r="FJ145" s="59">
        <f ca="1">AVERAGE(OFFSET($FI$3,0,0,'Données projet'!$E$16+1,1))-AVERAGE(OFFSET($H$3,0,0,'Données projet'!$E$16+1,1))</f>
        <v>127.76128532861486</v>
      </c>
      <c r="FK145" s="59">
        <f t="shared" si="156"/>
        <v>157.52303491639736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>
        <f>EXP(-LN(2)/35)*FQ144+(1-EXP(-LN(2)/35))/(LN(2)/35)*FM145*FN145*VLOOKUP('Données projet'!$B$16,Paramètres!$A$1:$I$89,3,0)*0.475*44/12</f>
        <v>0.26482823762917213</v>
      </c>
      <c r="FR145" s="21">
        <f>EXP(-LN(2)/25)*FR144+(1-EXP(-LN(2)/25))/(LN(2)/25)*Calculateur!FM145*Calculateur!FO145*VLOOKUP('Données projet'!$B$16,Paramètres!$A$1:$I$89,3,0)*0.475*44/12</f>
        <v>0.73137407019920575</v>
      </c>
      <c r="FS145" s="21">
        <f>EXP(-LN(2)/2)*FS144+(1-EXP(-LN(2)/2))/(LN(2)/2)*FM145*FP145*VLOOKUP('Données projet'!$B$16,Paramètres!$A$1:$I$89,3,0)*0.475*44/12</f>
        <v>2.2062031926533124E-16</v>
      </c>
      <c r="FT145" s="22">
        <f t="shared" si="132"/>
        <v>0.99620230782837815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5.1063034188034209</v>
      </c>
      <c r="N146" s="13">
        <f>IF('Données projet'!$A$36&gt;35,N145+M146-V145,IF(A146&lt;'Données projet'!$A$36,$K$205^A146,IF(A146='Données projet'!$A$36,'Données projet'!$B$36,N145+M146-V145)))</f>
        <v>272.54807692307651</v>
      </c>
      <c r="O146" s="13">
        <f>N146*VLOOKUP('Données projet'!$B$9,Paramètres!$A$1:$I$89,3,0)*VLOOKUP('Données projet'!$B$9,Paramètres!$A$1:$I$89,5,0)</f>
        <v>246.60149999999962</v>
      </c>
      <c r="P146" s="13">
        <f t="shared" si="141"/>
        <v>59.857624528428133</v>
      </c>
      <c r="Q146" s="20">
        <f t="shared" si="108"/>
        <v>533.74964188701165</v>
      </c>
      <c r="R146" s="59">
        <f t="shared" si="109"/>
        <v>827.08297522034491</v>
      </c>
      <c r="S146" s="59">
        <f ca="1">AVERAGE(OFFSET($R$3,0,0,'Données projet'!$E$9+1,1))-AVERAGE(OFFSET($H$3,0,0,'Données projet'!$E$9+1,1))</f>
        <v>153.45079678708987</v>
      </c>
      <c r="T146" s="59">
        <f t="shared" si="142"/>
        <v>115.4217868409637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0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4.9871794871794863</v>
      </c>
      <c r="AI146" s="13">
        <f>IF('Données projet'!$A$62&gt;35,AI145+AH146-AQ145,IF(A146&lt;'Données projet'!$A$62,$AF$205^A146,IF(A146='Données projet'!$A$62,'Données projet'!$B$62,AI145+AH146-AQ145)))</f>
        <v>258.86538461538447</v>
      </c>
      <c r="AJ146" s="13">
        <f>AI146*VLOOKUP('Données projet'!$B$10,Paramètres!$A$1:$I$89,3,0)*VLOOKUP('Données projet'!$B$10,Paramètres!$A$1:$I$89,5,0)</f>
        <v>234.22139999999985</v>
      </c>
      <c r="AK146" s="13">
        <f t="shared" si="143"/>
        <v>57.194478489084077</v>
      </c>
      <c r="AL146" s="20">
        <f t="shared" si="112"/>
        <v>507.5493217018211</v>
      </c>
      <c r="AM146" s="59">
        <f t="shared" si="113"/>
        <v>800.88265503515436</v>
      </c>
      <c r="AN146" s="59">
        <f ca="1">AVERAGE(OFFSET($AM$3,0,0,'Données projet'!$E$10+1,1))-AVERAGE(OFFSET($H$3,0,0,'Données projet'!$E$10+1,1))</f>
        <v>123.92486590666675</v>
      </c>
      <c r="AO146" s="59">
        <f t="shared" si="144"/>
        <v>54.404493017418986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0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1.1368683772161603E-13</v>
      </c>
      <c r="BE146" s="13">
        <f>BD146*VLOOKUP('Données projet'!$B$11,Paramètres!$A$1:$I$89,3,0)*VLOOKUP('Données projet'!$B$11,Paramètres!$A$1:$I$89,5,0)</f>
        <v>6.3550942286383367E-14</v>
      </c>
      <c r="BF146" s="13">
        <f t="shared" si="145"/>
        <v>1.0064464192543978E-12</v>
      </c>
      <c r="BG146" s="20">
        <f t="shared" si="115"/>
        <v>1.8635787380168604E-12</v>
      </c>
      <c r="BH146" s="59">
        <f t="shared" si="116"/>
        <v>293.33333333333519</v>
      </c>
      <c r="BI146" s="59">
        <f ca="1">AVERAGE(OFFSET($BH$3,0,0,'Données projet'!$E$11+1,1))-AVERAGE(OFFSET($H$3,0,0,'Données projet'!$E$11+1,1))</f>
        <v>224.7049802939942</v>
      </c>
      <c r="BJ146" s="59">
        <f t="shared" si="146"/>
        <v>203.48513862195352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0.23803124691883537</v>
      </c>
      <c r="BQ146" s="21">
        <f>EXP(-LN(2)/25)*BQ145+(1-EXP(-LN(2)/25))/(LN(2)/25)*Calculateur!BL146*Calculateur!BN146*VLOOKUP('Données projet'!$B$11,Paramètres!$A$1:$I$89,3,0)*0.475*44/12</f>
        <v>0.85099097253631195</v>
      </c>
      <c r="BR146" s="21">
        <f>EXP(-LN(2)/2)*BR145+(1-EXP(-LN(2)/2))/(LN(2)/2)*BL146*BO146*VLOOKUP('Données projet'!$B$11,Paramètres!$A$1:$I$89,3,0)*0.475*44/12</f>
        <v>8.7931189090338484E-17</v>
      </c>
      <c r="BS146" s="22">
        <f t="shared" si="117"/>
        <v>1.0890222194551473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6.2527760746888816E-13</v>
      </c>
      <c r="BZ146" s="13">
        <f>BY146*VLOOKUP('Données projet'!$B$12,Paramètres!$A$1:$I$89,3,0)*VLOOKUP('Données projet'!$B$12,Paramètres!$A$1:$I$89,5,0)</f>
        <v>3.4953018257510848E-13</v>
      </c>
      <c r="CA146" s="13">
        <f t="shared" si="147"/>
        <v>4.5391562386470354E-12</v>
      </c>
      <c r="CB146" s="20">
        <f t="shared" si="118"/>
        <v>8.5144621836285662E-12</v>
      </c>
      <c r="CC146" s="59">
        <f t="shared" si="119"/>
        <v>293.33333333334184</v>
      </c>
      <c r="CD146" s="59">
        <f ca="1">AVERAGE(OFFSET($CC$3,0,0,'Données projet'!$E$12+1,1))-AVERAGE(OFFSET($H$3,0,0,'Données projet'!$E$12+1,1))</f>
        <v>190.08613104982993</v>
      </c>
      <c r="CE146" s="59">
        <f t="shared" si="148"/>
        <v>180.55054525447781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0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497</v>
      </c>
      <c r="CU146" s="17">
        <f>CT146*VLOOKUP('Données projet'!$B$13,Paramètres!$A$1:$I$89,3,0)*VLOOKUP('Données projet'!$B$13,Paramètres!$A$1:$I$89,5,0)</f>
        <v>297.20600000000002</v>
      </c>
      <c r="CV146" s="13">
        <f t="shared" si="149"/>
        <v>70.590415164571112</v>
      </c>
      <c r="CW146" s="20">
        <f t="shared" si="121"/>
        <v>640.57875641162809</v>
      </c>
      <c r="CX146" s="59">
        <f t="shared" si="122"/>
        <v>933.91208974496135</v>
      </c>
      <c r="CY146" s="59">
        <f ca="1">AVERAGE(OFFSET($CX$3,0,0,'Données projet'!$E$13+1,1))-AVERAGE(OFFSET($H$3,0,0,'Données projet'!$E$13+1,1))</f>
        <v>270.30888762640245</v>
      </c>
      <c r="CZ146" s="59">
        <f t="shared" si="150"/>
        <v>202.23783851977691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0.22850539670764308</v>
      </c>
      <c r="DG146" s="21">
        <f>EXP(-LN(2)/25)*DG145+(1-EXP(-LN(2)/25))/(LN(2)/25)*Calculateur!DB146*Calculateur!DD146*VLOOKUP('Données projet'!$B$13,Paramètres!$A$1:$I$89,3,0)*0.475*44/12</f>
        <v>0.53589574139664153</v>
      </c>
      <c r="DH146" s="21">
        <f>EXP(-LN(2)/2)*DH145+(1-EXP(-LN(2)/2))/(LN(2)/2)*DB146*DE146*VLOOKUP('Données projet'!$B$13,Paramètres!$A$1:$I$89,3,0)*0.475*44/12</f>
        <v>1.814694080187233E-16</v>
      </c>
      <c r="DI146" s="22">
        <f t="shared" si="123"/>
        <v>0.76440113810428478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433.00000000000011</v>
      </c>
      <c r="DP146" s="17">
        <f>DO146*VLOOKUP('Données projet'!$B$14,Paramètres!$A$1:$I$89,3,0)*VLOOKUP('Données projet'!$B$14,Paramètres!$A$1:$I$89,5,0)</f>
        <v>258.93400000000008</v>
      </c>
      <c r="DQ146" s="13">
        <f t="shared" si="151"/>
        <v>62.495095530116075</v>
      </c>
      <c r="DR146" s="20">
        <f t="shared" si="124"/>
        <v>559.82234138161891</v>
      </c>
      <c r="DS146" s="59">
        <f t="shared" si="125"/>
        <v>853.15567471495228</v>
      </c>
      <c r="DT146" s="59">
        <f ca="1">AVERAGE(OFFSET($DS$3,0,0,'Données projet'!$E$14+1,1))-AVERAGE(OFFSET($H$3,0,0,'Données projet'!$E$14+1,1))</f>
        <v>221.14988592347311</v>
      </c>
      <c r="DU146" s="59">
        <f t="shared" si="152"/>
        <v>179.09262081171607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0.24373908982148604</v>
      </c>
      <c r="EB146" s="21">
        <f>EXP(-LN(2)/25)*EB145+(1-EXP(-LN(2)/25))/(LN(2)/25)*Calculateur!DW146*Calculateur!DY146*VLOOKUP('Données projet'!$B$14,Paramètres!$A$1:$I$89,3,0)*0.475*44/12</f>
        <v>0.44633978861892548</v>
      </c>
      <c r="EC146" s="21">
        <f>EXP(-LN(2)/2)*EC145+(1-EXP(-LN(2)/2))/(LN(2)/2)*DW146*DZ146*VLOOKUP('Données projet'!$B$14,Paramètres!$A$1:$I$89,3,0)*0.475*44/12</f>
        <v>1.9135263893599017E-16</v>
      </c>
      <c r="ED146" s="22">
        <f t="shared" si="126"/>
        <v>0.69007887844041171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2.2737367544323206E-13</v>
      </c>
      <c r="EK146" s="17">
        <f>EJ146*VLOOKUP('Données projet'!$B$15,Paramètres!$A$1:$I$89,3,0)*VLOOKUP('Données projet'!$B$15,Paramètres!$A$1:$I$89,5,0)</f>
        <v>1.2414602679200471E-13</v>
      </c>
      <c r="EL146" s="13">
        <f t="shared" si="153"/>
        <v>1.8186582995804361E-12</v>
      </c>
      <c r="EM146" s="20">
        <f t="shared" si="127"/>
        <v>3.3837175350986671E-12</v>
      </c>
      <c r="EN146" s="59">
        <f t="shared" si="128"/>
        <v>293.33333333333672</v>
      </c>
      <c r="EO146" s="59">
        <f ca="1">AVERAGE(OFFSET($EN$3,0,0,'Données projet'!$E$15+1,1))-AVERAGE(OFFSET($H$3,0,0,'Données projet'!$E$15+1,1))</f>
        <v>168.72306536277267</v>
      </c>
      <c r="EP146" s="59">
        <f t="shared" si="154"/>
        <v>203.35476578922339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0.32454389677317413</v>
      </c>
      <c r="EW146" s="21">
        <f>EXP(-LN(2)/25)*EW145+(1-EXP(-LN(2)/25))/(LN(2)/25)*Calculateur!ER146*Calculateur!ET146*VLOOKUP('Données projet'!$B$15,Paramètres!$A$1:$I$89,3,0)*0.475*44/12</f>
        <v>1.0018191632110087</v>
      </c>
      <c r="EX146" s="21">
        <f>EXP(-LN(2)/2)*EX145+(1-EXP(-LN(2)/2))/(LN(2)/2)*ER146*EU146*VLOOKUP('Données projet'!$B$15,Paramètres!$A$1:$I$89,3,0)*0.475*44/12</f>
        <v>1.9649556609489338E-16</v>
      </c>
      <c r="EY146" s="22">
        <f t="shared" si="129"/>
        <v>1.3263630599841831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3.4106051316484809E-13</v>
      </c>
      <c r="FF146" s="17">
        <f>FE146*VLOOKUP('Données projet'!$B$16,Paramètres!$A$1:$I$89,3,0)*VLOOKUP('Données projet'!$B$16,Paramètres!$A$1:$I$89,5,0)</f>
        <v>1.8621904018800707E-13</v>
      </c>
      <c r="FG146" s="13">
        <f t="shared" si="155"/>
        <v>2.6022279988572714E-12</v>
      </c>
      <c r="FH146" s="20">
        <f t="shared" si="130"/>
        <v>4.8565452596705266E-12</v>
      </c>
      <c r="FI146" s="59">
        <f t="shared" si="131"/>
        <v>293.33333333333815</v>
      </c>
      <c r="FJ146" s="59">
        <f ca="1">AVERAGE(OFFSET($FI$3,0,0,'Données projet'!$E$16+1,1))-AVERAGE(OFFSET($H$3,0,0,'Données projet'!$E$16+1,1))</f>
        <v>127.76128532861486</v>
      </c>
      <c r="FK146" s="59">
        <f t="shared" si="156"/>
        <v>157.52303491639736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>
        <f>EXP(-LN(2)/35)*FQ145+(1-EXP(-LN(2)/35))/(LN(2)/35)*FM146*FN146*VLOOKUP('Données projet'!$B$16,Paramètres!$A$1:$I$89,3,0)*0.475*44/12</f>
        <v>0.25963511741853934</v>
      </c>
      <c r="FR146" s="21">
        <f>EXP(-LN(2)/25)*FR145+(1-EXP(-LN(2)/25))/(LN(2)/25)*Calculateur!FM146*Calculateur!FO146*VLOOKUP('Données projet'!$B$16,Paramètres!$A$1:$I$89,3,0)*0.475*44/12</f>
        <v>0.71137460778831774</v>
      </c>
      <c r="FS146" s="21">
        <f>EXP(-LN(2)/2)*FS145+(1-EXP(-LN(2)/2))/(LN(2)/2)*FM146*FP146*VLOOKUP('Données projet'!$B$16,Paramètres!$A$1:$I$89,3,0)*0.475*44/12</f>
        <v>1.5600212382005685E-16</v>
      </c>
      <c r="FT146" s="22">
        <f t="shared" si="132"/>
        <v>0.97100972520685713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5.1063034188034209</v>
      </c>
      <c r="N147" s="13">
        <f>IF('Données projet'!$A$36&gt;35,N146+M147-V146,IF(A147&lt;'Données projet'!$A$36,$K$205^A147,IF(A147='Données projet'!$A$36,'Données projet'!$B$36,N146+M147-V146)))</f>
        <v>277.65438034187991</v>
      </c>
      <c r="O147" s="13">
        <f>N147*VLOOKUP('Données projet'!$B$9,Paramètres!$A$1:$I$89,3,0)*VLOOKUP('Données projet'!$B$9,Paramètres!$A$1:$I$89,5,0)</f>
        <v>251.22168333333292</v>
      </c>
      <c r="P147" s="13">
        <f t="shared" si="141"/>
        <v>60.847471683449903</v>
      </c>
      <c r="Q147" s="20">
        <f t="shared" si="108"/>
        <v>543.52044498756334</v>
      </c>
      <c r="R147" s="59">
        <f t="shared" si="109"/>
        <v>836.85377832089671</v>
      </c>
      <c r="S147" s="59">
        <f ca="1">AVERAGE(OFFSET($R$3,0,0,'Données projet'!$E$9+1,1))-AVERAGE(OFFSET($H$3,0,0,'Données projet'!$E$9+1,1))</f>
        <v>153.45079678708987</v>
      </c>
      <c r="T147" s="59">
        <f t="shared" si="142"/>
        <v>115.4217868409637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0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263.85256410256409</v>
      </c>
      <c r="AG147" s="12">
        <f>VLOOKUP(A147,'Données projet'!$A$61:$I$81,9,0)</f>
        <v>4.9871794871794863</v>
      </c>
      <c r="AH147" s="12">
        <f t="array" ref="AH147">INDEX(AG:AG,MIN(IF(ISNUMBER(AG147:AG343),ROW(AG147:AG343),"")))</f>
        <v>4.9871794871794863</v>
      </c>
      <c r="AI147" s="13">
        <f>IF('Données projet'!$A$62&gt;35,AI146+AH147-AQ146,IF(A147&lt;'Données projet'!$A$62,$AF$205^A147,IF(A147='Données projet'!$A$62,'Données projet'!$B$62,AI146+AH147-AQ146)))</f>
        <v>263.85256410256397</v>
      </c>
      <c r="AJ147" s="13">
        <f>AI147*VLOOKUP('Données projet'!$B$10,Paramètres!$A$1:$I$89,3,0)*VLOOKUP('Données projet'!$B$10,Paramètres!$A$1:$I$89,5,0)</f>
        <v>238.73379999999986</v>
      </c>
      <c r="AK147" s="13">
        <f t="shared" si="143"/>
        <v>58.167017569058103</v>
      </c>
      <c r="AL147" s="20">
        <f t="shared" si="112"/>
        <v>517.10225726610929</v>
      </c>
      <c r="AM147" s="59">
        <f t="shared" si="113"/>
        <v>810.43559059944255</v>
      </c>
      <c r="AN147" s="59">
        <f ca="1">AVERAGE(OFFSET($AM$3,0,0,'Données projet'!$E$10+1,1))-AVERAGE(OFFSET($H$3,0,0,'Données projet'!$E$10+1,1))</f>
        <v>123.92486590666675</v>
      </c>
      <c r="AO147" s="59">
        <f t="shared" si="144"/>
        <v>54.404493017418986</v>
      </c>
      <c r="AP147" s="15">
        <f>IF(ISNA(VLOOKUP(A147,'Données projet'!$A$61:$I$81,3,0)),0,VLOOKUP(A147,'Données projet'!$A$61:$I$81,3,0))</f>
        <v>10</v>
      </c>
      <c r="AQ147" s="15">
        <f>IF(ISNA(VLOOKUP(A147,'Données projet'!$A$61:$I$81,4,0)),0,VLOOKUP(A147,'Données projet'!$A$61:$I$81,4,0))</f>
        <v>42.397435897435898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0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1.1368683772161603E-13</v>
      </c>
      <c r="BE147" s="13">
        <f>BD147*VLOOKUP('Données projet'!$B$11,Paramètres!$A$1:$I$89,3,0)*VLOOKUP('Données projet'!$B$11,Paramètres!$A$1:$I$89,5,0)</f>
        <v>6.3550942286383367E-14</v>
      </c>
      <c r="BF147" s="13">
        <f t="shared" si="145"/>
        <v>1.0064464192543978E-12</v>
      </c>
      <c r="BG147" s="20">
        <f t="shared" si="115"/>
        <v>1.8635787380168604E-12</v>
      </c>
      <c r="BH147" s="59">
        <f t="shared" si="116"/>
        <v>293.33333333333519</v>
      </c>
      <c r="BI147" s="59">
        <f ca="1">AVERAGE(OFFSET($BH$3,0,0,'Données projet'!$E$11+1,1))-AVERAGE(OFFSET($H$3,0,0,'Données projet'!$E$11+1,1))</f>
        <v>224.7049802939942</v>
      </c>
      <c r="BJ147" s="59">
        <f t="shared" si="146"/>
        <v>203.48513862195352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0.23336359935148182</v>
      </c>
      <c r="BQ147" s="21">
        <f>EXP(-LN(2)/25)*BQ146+(1-EXP(-LN(2)/25))/(LN(2)/25)*Calculateur!BL147*Calculateur!BN147*VLOOKUP('Données projet'!$B$11,Paramètres!$A$1:$I$89,3,0)*0.475*44/12</f>
        <v>0.82772057964063617</v>
      </c>
      <c r="BR147" s="21">
        <f>EXP(-LN(2)/2)*BR146+(1-EXP(-LN(2)/2))/(LN(2)/2)*BL147*BO147*VLOOKUP('Données projet'!$B$11,Paramètres!$A$1:$I$89,3,0)*0.475*44/12</f>
        <v>6.2176740083574909E-17</v>
      </c>
      <c r="BS147" s="22">
        <f t="shared" si="117"/>
        <v>1.0610841789921179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6.2527760746888816E-13</v>
      </c>
      <c r="BZ147" s="13">
        <f>BY147*VLOOKUP('Données projet'!$B$12,Paramètres!$A$1:$I$89,3,0)*VLOOKUP('Données projet'!$B$12,Paramètres!$A$1:$I$89,5,0)</f>
        <v>3.4953018257510848E-13</v>
      </c>
      <c r="CA147" s="13">
        <f t="shared" si="147"/>
        <v>4.5391562386470354E-12</v>
      </c>
      <c r="CB147" s="20">
        <f t="shared" si="118"/>
        <v>8.5144621836285662E-12</v>
      </c>
      <c r="CC147" s="59">
        <f t="shared" si="119"/>
        <v>293.33333333334184</v>
      </c>
      <c r="CD147" s="59">
        <f ca="1">AVERAGE(OFFSET($CC$3,0,0,'Données projet'!$E$12+1,1))-AVERAGE(OFFSET($H$3,0,0,'Données projet'!$E$12+1,1))</f>
        <v>190.08613104982993</v>
      </c>
      <c r="CE147" s="59">
        <f t="shared" si="148"/>
        <v>180.55054525447781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0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497</v>
      </c>
      <c r="CU147" s="17">
        <f>CT147*VLOOKUP('Données projet'!$B$13,Paramètres!$A$1:$I$89,3,0)*VLOOKUP('Données projet'!$B$13,Paramètres!$A$1:$I$89,5,0)</f>
        <v>297.20600000000002</v>
      </c>
      <c r="CV147" s="13">
        <f t="shared" si="149"/>
        <v>70.590415164571112</v>
      </c>
      <c r="CW147" s="20">
        <f t="shared" si="121"/>
        <v>640.57875641162809</v>
      </c>
      <c r="CX147" s="59">
        <f t="shared" si="122"/>
        <v>933.91208974496135</v>
      </c>
      <c r="CY147" s="59">
        <f ca="1">AVERAGE(OFFSET($CX$3,0,0,'Données projet'!$E$13+1,1))-AVERAGE(OFFSET($H$3,0,0,'Données projet'!$E$13+1,1))</f>
        <v>270.30888762640245</v>
      </c>
      <c r="CZ147" s="59">
        <f t="shared" si="150"/>
        <v>202.23783851977691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0.2240245452527361</v>
      </c>
      <c r="DG147" s="21">
        <f>EXP(-LN(2)/25)*DG146+(1-EXP(-LN(2)/25))/(LN(2)/25)*Calculateur!DB147*Calculateur!DD147*VLOOKUP('Données projet'!$B$13,Paramètres!$A$1:$I$89,3,0)*0.475*44/12</f>
        <v>0.52124164416661811</v>
      </c>
      <c r="DH147" s="21">
        <f>EXP(-LN(2)/2)*DH146+(1-EXP(-LN(2)/2))/(LN(2)/2)*DB147*DE147*VLOOKUP('Données projet'!$B$13,Paramètres!$A$1:$I$89,3,0)*0.475*44/12</f>
        <v>1.2831824898794769E-16</v>
      </c>
      <c r="DI147" s="22">
        <f t="shared" si="123"/>
        <v>0.7452661894193543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433.00000000000011</v>
      </c>
      <c r="DP147" s="17">
        <f>DO147*VLOOKUP('Données projet'!$B$14,Paramètres!$A$1:$I$89,3,0)*VLOOKUP('Données projet'!$B$14,Paramètres!$A$1:$I$89,5,0)</f>
        <v>258.93400000000008</v>
      </c>
      <c r="DQ147" s="13">
        <f t="shared" si="151"/>
        <v>62.495095530116075</v>
      </c>
      <c r="DR147" s="20">
        <f t="shared" si="124"/>
        <v>559.82234138161891</v>
      </c>
      <c r="DS147" s="59">
        <f t="shared" si="125"/>
        <v>853.15567471495228</v>
      </c>
      <c r="DT147" s="59">
        <f ca="1">AVERAGE(OFFSET($DS$3,0,0,'Données projet'!$E$14+1,1))-AVERAGE(OFFSET($H$3,0,0,'Données projet'!$E$14+1,1))</f>
        <v>221.14988592347311</v>
      </c>
      <c r="DU147" s="59">
        <f t="shared" si="152"/>
        <v>179.09262081171607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0.23895951493625192</v>
      </c>
      <c r="EB147" s="21">
        <f>EXP(-LN(2)/25)*EB146+(1-EXP(-LN(2)/25))/(LN(2)/25)*Calculateur!DW147*Calculateur!DY147*VLOOKUP('Données projet'!$B$14,Paramètres!$A$1:$I$89,3,0)*0.475*44/12</f>
        <v>0.43413460362715162</v>
      </c>
      <c r="EC147" s="21">
        <f>EXP(-LN(2)/2)*EC146+(1-EXP(-LN(2)/2))/(LN(2)/2)*DW147*DZ147*VLOOKUP('Données projet'!$B$14,Paramètres!$A$1:$I$89,3,0)*0.475*44/12</f>
        <v>1.3530674858957963E-16</v>
      </c>
      <c r="ED147" s="22">
        <f t="shared" si="126"/>
        <v>0.67309411856340362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2.2737367544323206E-13</v>
      </c>
      <c r="EK147" s="17">
        <f>EJ147*VLOOKUP('Données projet'!$B$15,Paramètres!$A$1:$I$89,3,0)*VLOOKUP('Données projet'!$B$15,Paramètres!$A$1:$I$89,5,0)</f>
        <v>1.2414602679200471E-13</v>
      </c>
      <c r="EL147" s="13">
        <f t="shared" si="153"/>
        <v>1.8186582995804361E-12</v>
      </c>
      <c r="EM147" s="20">
        <f t="shared" si="127"/>
        <v>3.3837175350986671E-12</v>
      </c>
      <c r="EN147" s="59">
        <f t="shared" si="128"/>
        <v>293.33333333333672</v>
      </c>
      <c r="EO147" s="59">
        <f ca="1">AVERAGE(OFFSET($EN$3,0,0,'Données projet'!$E$15+1,1))-AVERAGE(OFFSET($H$3,0,0,'Données projet'!$E$15+1,1))</f>
        <v>168.72306536277267</v>
      </c>
      <c r="EP147" s="59">
        <f t="shared" si="154"/>
        <v>203.35476578922339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0.31817978890968307</v>
      </c>
      <c r="EW147" s="21">
        <f>EXP(-LN(2)/25)*EW146+(1-EXP(-LN(2)/25))/(LN(2)/25)*Calculateur!ER147*Calculateur!ET147*VLOOKUP('Données projet'!$B$15,Paramètres!$A$1:$I$89,3,0)*0.475*44/12</f>
        <v>0.97442436550962364</v>
      </c>
      <c r="EX147" s="21">
        <f>EXP(-LN(2)/2)*EX146+(1-EXP(-LN(2)/2))/(LN(2)/2)*ER147*EU147*VLOOKUP('Données projet'!$B$15,Paramètres!$A$1:$I$89,3,0)*0.475*44/12</f>
        <v>1.3894334725878856E-16</v>
      </c>
      <c r="EY147" s="22">
        <f t="shared" si="129"/>
        <v>1.292604154419307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3.4106051316484809E-13</v>
      </c>
      <c r="FF147" s="17">
        <f>FE147*VLOOKUP('Données projet'!$B$16,Paramètres!$A$1:$I$89,3,0)*VLOOKUP('Données projet'!$B$16,Paramètres!$A$1:$I$89,5,0)</f>
        <v>1.8621904018800707E-13</v>
      </c>
      <c r="FG147" s="13">
        <f t="shared" si="155"/>
        <v>2.6022279988572714E-12</v>
      </c>
      <c r="FH147" s="20">
        <f t="shared" si="130"/>
        <v>4.8565452596705266E-12</v>
      </c>
      <c r="FI147" s="59">
        <f t="shared" si="131"/>
        <v>293.33333333333815</v>
      </c>
      <c r="FJ147" s="59">
        <f ca="1">AVERAGE(OFFSET($FI$3,0,0,'Données projet'!$E$16+1,1))-AVERAGE(OFFSET($H$3,0,0,'Données projet'!$E$16+1,1))</f>
        <v>127.76128532861486</v>
      </c>
      <c r="FK147" s="59">
        <f t="shared" si="156"/>
        <v>157.52303491639736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>
        <f>EXP(-LN(2)/35)*FQ146+(1-EXP(-LN(2)/35))/(LN(2)/35)*FM147*FN147*VLOOKUP('Données projet'!$B$16,Paramètres!$A$1:$I$89,3,0)*0.475*44/12</f>
        <v>0.25454383112774648</v>
      </c>
      <c r="FR147" s="21">
        <f>EXP(-LN(2)/25)*FR146+(1-EXP(-LN(2)/25))/(LN(2)/25)*Calculateur!FM147*Calculateur!FO147*VLOOKUP('Données projet'!$B$16,Paramètres!$A$1:$I$89,3,0)*0.475*44/12</f>
        <v>0.69192203172878142</v>
      </c>
      <c r="FS147" s="21">
        <f>EXP(-LN(2)/2)*FS146+(1-EXP(-LN(2)/2))/(LN(2)/2)*FM147*FP147*VLOOKUP('Données projet'!$B$16,Paramètres!$A$1:$I$89,3,0)*0.475*44/12</f>
        <v>1.1031015963266563E-16</v>
      </c>
      <c r="FT147" s="22">
        <f t="shared" si="132"/>
        <v>0.94646586285652801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5.1063034188034209</v>
      </c>
      <c r="N148" s="13">
        <f>IF('Données projet'!$A$36&gt;35,N147+M148-V147,IF(A148&lt;'Données projet'!$A$36,$K$205^A148,IF(A148='Données projet'!$A$36,'Données projet'!$B$36,N147+M148-V147)))</f>
        <v>282.76068376068332</v>
      </c>
      <c r="O148" s="13">
        <f>N148*VLOOKUP('Données projet'!$B$9,Paramètres!$A$1:$I$89,3,0)*VLOOKUP('Données projet'!$B$9,Paramètres!$A$1:$I$89,5,0)</f>
        <v>255.84186666666628</v>
      </c>
      <c r="P148" s="13">
        <f t="shared" si="141"/>
        <v>61.83520201654526</v>
      </c>
      <c r="Q148" s="20">
        <f t="shared" si="108"/>
        <v>553.28756128992666</v>
      </c>
      <c r="R148" s="59">
        <f t="shared" si="109"/>
        <v>846.62089462326003</v>
      </c>
      <c r="S148" s="59">
        <f ca="1">AVERAGE(OFFSET($R$3,0,0,'Données projet'!$E$9+1,1))-AVERAGE(OFFSET($H$3,0,0,'Données projet'!$E$9+1,1))</f>
        <v>153.45079678708987</v>
      </c>
      <c r="T148" s="59">
        <f t="shared" si="142"/>
        <v>115.4217868409637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0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5.0924145299145307</v>
      </c>
      <c r="AI148" s="13">
        <f>IF('Données projet'!$A$62&gt;35,AI147+AH148-AQ147,IF(A148&lt;'Données projet'!$A$62,$AF$205^A148,IF(A148='Données projet'!$A$62,'Données projet'!$B$62,AI147+AH148-AQ147)))</f>
        <v>226.54754273504261</v>
      </c>
      <c r="AJ148" s="13">
        <f>AI148*VLOOKUP('Données projet'!$B$10,Paramètres!$A$1:$I$89,3,0)*VLOOKUP('Données projet'!$B$10,Paramètres!$A$1:$I$89,5,0)</f>
        <v>204.98021666666654</v>
      </c>
      <c r="AK148" s="13">
        <f t="shared" si="143"/>
        <v>50.837096922586355</v>
      </c>
      <c r="AL148" s="20">
        <f t="shared" si="112"/>
        <v>445.5484878346154</v>
      </c>
      <c r="AM148" s="59">
        <f t="shared" si="113"/>
        <v>738.88182116794871</v>
      </c>
      <c r="AN148" s="59">
        <f ca="1">AVERAGE(OFFSET($AM$3,0,0,'Données projet'!$E$10+1,1))-AVERAGE(OFFSET($H$3,0,0,'Données projet'!$E$10+1,1))</f>
        <v>123.92486590666675</v>
      </c>
      <c r="AO148" s="59">
        <f t="shared" si="144"/>
        <v>54.404493017418986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0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1.1368683772161603E-13</v>
      </c>
      <c r="BE148" s="13">
        <f>BD148*VLOOKUP('Données projet'!$B$11,Paramètres!$A$1:$I$89,3,0)*VLOOKUP('Données projet'!$B$11,Paramètres!$A$1:$I$89,5,0)</f>
        <v>6.3550942286383367E-14</v>
      </c>
      <c r="BF148" s="13">
        <f t="shared" si="145"/>
        <v>1.0064464192543978E-12</v>
      </c>
      <c r="BG148" s="20">
        <f t="shared" si="115"/>
        <v>1.8635787380168604E-12</v>
      </c>
      <c r="BH148" s="59">
        <f t="shared" si="116"/>
        <v>293.33333333333519</v>
      </c>
      <c r="BI148" s="59">
        <f ca="1">AVERAGE(OFFSET($BH$3,0,0,'Données projet'!$E$11+1,1))-AVERAGE(OFFSET($H$3,0,0,'Données projet'!$E$11+1,1))</f>
        <v>224.7049802939942</v>
      </c>
      <c r="BJ148" s="59">
        <f t="shared" si="146"/>
        <v>203.48513862195352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0.22878748150594019</v>
      </c>
      <c r="BQ148" s="21">
        <f>EXP(-LN(2)/25)*BQ147+(1-EXP(-LN(2)/25))/(LN(2)/25)*Calculateur!BL148*Calculateur!BN148*VLOOKUP('Données projet'!$B$11,Paramètres!$A$1:$I$89,3,0)*0.475*44/12</f>
        <v>0.80508651686242949</v>
      </c>
      <c r="BR148" s="21">
        <f>EXP(-LN(2)/2)*BR147+(1-EXP(-LN(2)/2))/(LN(2)/2)*BL148*BO148*VLOOKUP('Données projet'!$B$11,Paramètres!$A$1:$I$89,3,0)*0.475*44/12</f>
        <v>4.3965594545169242E-17</v>
      </c>
      <c r="BS148" s="22">
        <f t="shared" si="117"/>
        <v>1.0338739983683696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6.2527760746888816E-13</v>
      </c>
      <c r="BZ148" s="13">
        <f>BY148*VLOOKUP('Données projet'!$B$12,Paramètres!$A$1:$I$89,3,0)*VLOOKUP('Données projet'!$B$12,Paramètres!$A$1:$I$89,5,0)</f>
        <v>3.4953018257510848E-13</v>
      </c>
      <c r="CA148" s="13">
        <f t="shared" si="147"/>
        <v>4.5391562386470354E-12</v>
      </c>
      <c r="CB148" s="20">
        <f t="shared" si="118"/>
        <v>8.5144621836285662E-12</v>
      </c>
      <c r="CC148" s="59">
        <f t="shared" si="119"/>
        <v>293.33333333334184</v>
      </c>
      <c r="CD148" s="59">
        <f ca="1">AVERAGE(OFFSET($CC$3,0,0,'Données projet'!$E$12+1,1))-AVERAGE(OFFSET($H$3,0,0,'Données projet'!$E$12+1,1))</f>
        <v>190.08613104982993</v>
      </c>
      <c r="CE148" s="59">
        <f t="shared" si="148"/>
        <v>180.55054525447781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0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497</v>
      </c>
      <c r="CU148" s="17">
        <f>CT148*VLOOKUP('Données projet'!$B$13,Paramètres!$A$1:$I$89,3,0)*VLOOKUP('Données projet'!$B$13,Paramètres!$A$1:$I$89,5,0)</f>
        <v>297.20600000000002</v>
      </c>
      <c r="CV148" s="13">
        <f t="shared" si="149"/>
        <v>70.590415164571112</v>
      </c>
      <c r="CW148" s="20">
        <f t="shared" si="121"/>
        <v>640.57875641162809</v>
      </c>
      <c r="CX148" s="59">
        <f t="shared" si="122"/>
        <v>933.91208974496135</v>
      </c>
      <c r="CY148" s="59">
        <f ca="1">AVERAGE(OFFSET($CX$3,0,0,'Données projet'!$E$13+1,1))-AVERAGE(OFFSET($H$3,0,0,'Données projet'!$E$13+1,1))</f>
        <v>270.30888762640245</v>
      </c>
      <c r="CZ148" s="59">
        <f t="shared" si="150"/>
        <v>202.23783851977691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0.21963156056181032</v>
      </c>
      <c r="DG148" s="21">
        <f>EXP(-LN(2)/25)*DG147+(1-EXP(-LN(2)/25))/(LN(2)/25)*Calculateur!DB148*Calculateur!DD148*VLOOKUP('Données projet'!$B$13,Paramètres!$A$1:$I$89,3,0)*0.475*44/12</f>
        <v>0.50698826399597519</v>
      </c>
      <c r="DH148" s="21">
        <f>EXP(-LN(2)/2)*DH147+(1-EXP(-LN(2)/2))/(LN(2)/2)*DB148*DE148*VLOOKUP('Données projet'!$B$13,Paramètres!$A$1:$I$89,3,0)*0.475*44/12</f>
        <v>9.0734704009361652E-17</v>
      </c>
      <c r="DI148" s="22">
        <f t="shared" si="123"/>
        <v>0.72661982455778562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433.00000000000011</v>
      </c>
      <c r="DP148" s="17">
        <f>DO148*VLOOKUP('Données projet'!$B$14,Paramètres!$A$1:$I$89,3,0)*VLOOKUP('Données projet'!$B$14,Paramètres!$A$1:$I$89,5,0)</f>
        <v>258.93400000000008</v>
      </c>
      <c r="DQ148" s="13">
        <f t="shared" si="151"/>
        <v>62.495095530116075</v>
      </c>
      <c r="DR148" s="20">
        <f t="shared" si="124"/>
        <v>559.82234138161891</v>
      </c>
      <c r="DS148" s="59">
        <f t="shared" si="125"/>
        <v>853.15567471495228</v>
      </c>
      <c r="DT148" s="59">
        <f ca="1">AVERAGE(OFFSET($DS$3,0,0,'Données projet'!$E$14+1,1))-AVERAGE(OFFSET($H$3,0,0,'Données projet'!$E$14+1,1))</f>
        <v>221.14988592347311</v>
      </c>
      <c r="DU148" s="59">
        <f t="shared" si="152"/>
        <v>179.09262081171607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0.23427366459926444</v>
      </c>
      <c r="EB148" s="21">
        <f>EXP(-LN(2)/25)*EB147+(1-EXP(-LN(2)/25))/(LN(2)/25)*Calculateur!DW148*Calculateur!DY148*VLOOKUP('Données projet'!$B$14,Paramètres!$A$1:$I$89,3,0)*0.475*44/12</f>
        <v>0.42226317006082059</v>
      </c>
      <c r="EC148" s="21">
        <f>EXP(-LN(2)/2)*EC147+(1-EXP(-LN(2)/2))/(LN(2)/2)*DW148*DZ148*VLOOKUP('Données projet'!$B$14,Paramètres!$A$1:$I$89,3,0)*0.475*44/12</f>
        <v>9.5676319467995083E-17</v>
      </c>
      <c r="ED148" s="22">
        <f t="shared" si="126"/>
        <v>0.65653683466008517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2.2737367544323206E-13</v>
      </c>
      <c r="EK148" s="17">
        <f>EJ148*VLOOKUP('Données projet'!$B$15,Paramètres!$A$1:$I$89,3,0)*VLOOKUP('Données projet'!$B$15,Paramètres!$A$1:$I$89,5,0)</f>
        <v>1.2414602679200471E-13</v>
      </c>
      <c r="EL148" s="13">
        <f t="shared" si="153"/>
        <v>1.8186582995804361E-12</v>
      </c>
      <c r="EM148" s="20">
        <f t="shared" si="127"/>
        <v>3.3837175350986671E-12</v>
      </c>
      <c r="EN148" s="59">
        <f t="shared" si="128"/>
        <v>293.33333333333672</v>
      </c>
      <c r="EO148" s="59">
        <f ca="1">AVERAGE(OFFSET($EN$3,0,0,'Données projet'!$E$15+1,1))-AVERAGE(OFFSET($H$3,0,0,'Données projet'!$E$15+1,1))</f>
        <v>168.72306536277267</v>
      </c>
      <c r="EP148" s="59">
        <f t="shared" si="154"/>
        <v>203.35476578922339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0.31194047731967256</v>
      </c>
      <c r="EW148" s="21">
        <f>EXP(-LN(2)/25)*EW147+(1-EXP(-LN(2)/25))/(LN(2)/25)*Calculateur!ER148*Calculateur!ET148*VLOOKUP('Données projet'!$B$15,Paramètres!$A$1:$I$89,3,0)*0.475*44/12</f>
        <v>0.94777867999201271</v>
      </c>
      <c r="EX148" s="21">
        <f>EXP(-LN(2)/2)*EX147+(1-EXP(-LN(2)/2))/(LN(2)/2)*ER148*EU148*VLOOKUP('Données projet'!$B$15,Paramètres!$A$1:$I$89,3,0)*0.475*44/12</f>
        <v>9.8247783047446689E-17</v>
      </c>
      <c r="EY148" s="22">
        <f t="shared" si="129"/>
        <v>1.2597191573116853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3.4106051316484809E-13</v>
      </c>
      <c r="FF148" s="17">
        <f>FE148*VLOOKUP('Données projet'!$B$16,Paramètres!$A$1:$I$89,3,0)*VLOOKUP('Données projet'!$B$16,Paramètres!$A$1:$I$89,5,0)</f>
        <v>1.8621904018800707E-13</v>
      </c>
      <c r="FG148" s="13">
        <f t="shared" si="155"/>
        <v>2.6022279988572714E-12</v>
      </c>
      <c r="FH148" s="20">
        <f t="shared" si="130"/>
        <v>4.8565452596705266E-12</v>
      </c>
      <c r="FI148" s="59">
        <f t="shared" si="131"/>
        <v>293.33333333333815</v>
      </c>
      <c r="FJ148" s="59">
        <f ca="1">AVERAGE(OFFSET($FI$3,0,0,'Données projet'!$E$16+1,1))-AVERAGE(OFFSET($H$3,0,0,'Données projet'!$E$16+1,1))</f>
        <v>127.76128532861486</v>
      </c>
      <c r="FK148" s="59">
        <f t="shared" si="156"/>
        <v>157.52303491639736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>
        <f>EXP(-LN(2)/35)*FQ147+(1-EXP(-LN(2)/35))/(LN(2)/35)*FM148*FN148*VLOOKUP('Données projet'!$B$16,Paramètres!$A$1:$I$89,3,0)*0.475*44/12</f>
        <v>0.24955238185573805</v>
      </c>
      <c r="FR148" s="21">
        <f>EXP(-LN(2)/25)*FR147+(1-EXP(-LN(2)/25))/(LN(2)/25)*Calculateur!FM148*Calculateur!FO148*VLOOKUP('Données projet'!$B$16,Paramètres!$A$1:$I$89,3,0)*0.475*44/12</f>
        <v>0.67300138738455961</v>
      </c>
      <c r="FS148" s="21">
        <f>EXP(-LN(2)/2)*FS147+(1-EXP(-LN(2)/2))/(LN(2)/2)*FM148*FP148*VLOOKUP('Données projet'!$B$16,Paramètres!$A$1:$I$89,3,0)*0.475*44/12</f>
        <v>7.8001061910028436E-17</v>
      </c>
      <c r="FT148" s="22">
        <f t="shared" si="132"/>
        <v>0.92255376924029775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5.1063034188034209</v>
      </c>
      <c r="N149" s="13">
        <f>IF('Données projet'!$A$36&gt;35,N148+M149-V148,IF(A149&lt;'Données projet'!$A$36,$K$205^A149,IF(A149='Données projet'!$A$36,'Données projet'!$B$36,N148+M149-V148)))</f>
        <v>287.86698717948673</v>
      </c>
      <c r="O149" s="13">
        <f>N149*VLOOKUP('Données projet'!$B$9,Paramètres!$A$1:$I$89,3,0)*VLOOKUP('Données projet'!$B$9,Paramètres!$A$1:$I$89,5,0)</f>
        <v>260.46204999999958</v>
      </c>
      <c r="P149" s="13">
        <f t="shared" si="141"/>
        <v>62.820858164354384</v>
      </c>
      <c r="Q149" s="20">
        <f t="shared" si="108"/>
        <v>563.05106505291644</v>
      </c>
      <c r="R149" s="59">
        <f t="shared" si="109"/>
        <v>856.38439838624981</v>
      </c>
      <c r="S149" s="59">
        <f ca="1">AVERAGE(OFFSET($R$3,0,0,'Données projet'!$E$9+1,1))-AVERAGE(OFFSET($H$3,0,0,'Données projet'!$E$9+1,1))</f>
        <v>153.45079678708987</v>
      </c>
      <c r="T149" s="59">
        <f t="shared" si="142"/>
        <v>115.4217868409637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0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5.0924145299145307</v>
      </c>
      <c r="AI149" s="13">
        <f>IF('Données projet'!$A$62&gt;35,AI148+AH149-AQ148,IF(A149&lt;'Données projet'!$A$62,$AF$205^A149,IF(A149='Données projet'!$A$62,'Données projet'!$B$62,AI148+AH149-AQ148)))</f>
        <v>231.63995726495713</v>
      </c>
      <c r="AJ149" s="13">
        <f>AI149*VLOOKUP('Données projet'!$B$10,Paramètres!$A$1:$I$89,3,0)*VLOOKUP('Données projet'!$B$10,Paramètres!$A$1:$I$89,5,0)</f>
        <v>209.58783333333321</v>
      </c>
      <c r="AK149" s="13">
        <f t="shared" si="143"/>
        <v>51.845506615677941</v>
      </c>
      <c r="AL149" s="20">
        <f t="shared" si="112"/>
        <v>455.3297337445278</v>
      </c>
      <c r="AM149" s="59">
        <f t="shared" si="113"/>
        <v>748.66306707786111</v>
      </c>
      <c r="AN149" s="59">
        <f ca="1">AVERAGE(OFFSET($AM$3,0,0,'Données projet'!$E$10+1,1))-AVERAGE(OFFSET($H$3,0,0,'Données projet'!$E$10+1,1))</f>
        <v>123.92486590666675</v>
      </c>
      <c r="AO149" s="59">
        <f t="shared" si="144"/>
        <v>54.404493017418986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0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1.1368683772161603E-13</v>
      </c>
      <c r="BE149" s="13">
        <f>BD149*VLOOKUP('Données projet'!$B$11,Paramètres!$A$1:$I$89,3,0)*VLOOKUP('Données projet'!$B$11,Paramètres!$A$1:$I$89,5,0)</f>
        <v>6.3550942286383367E-14</v>
      </c>
      <c r="BF149" s="13">
        <f t="shared" si="145"/>
        <v>1.0064464192543978E-12</v>
      </c>
      <c r="BG149" s="20">
        <f t="shared" si="115"/>
        <v>1.8635787380168604E-12</v>
      </c>
      <c r="BH149" s="59">
        <f t="shared" si="116"/>
        <v>293.33333333333519</v>
      </c>
      <c r="BI149" s="59">
        <f ca="1">AVERAGE(OFFSET($BH$3,0,0,'Données projet'!$E$11+1,1))-AVERAGE(OFFSET($H$3,0,0,'Données projet'!$E$11+1,1))</f>
        <v>224.7049802939942</v>
      </c>
      <c r="BJ149" s="59">
        <f t="shared" si="146"/>
        <v>203.48513862195352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0.22430109854019334</v>
      </c>
      <c r="BQ149" s="21">
        <f>EXP(-LN(2)/25)*BQ148+(1-EXP(-LN(2)/25))/(LN(2)/25)*Calculateur!BL149*Calculateur!BN149*VLOOKUP('Données projet'!$B$11,Paramètres!$A$1:$I$89,3,0)*0.475*44/12</f>
        <v>0.78307138372116647</v>
      </c>
      <c r="BR149" s="21">
        <f>EXP(-LN(2)/2)*BR148+(1-EXP(-LN(2)/2))/(LN(2)/2)*BL149*BO149*VLOOKUP('Données projet'!$B$11,Paramètres!$A$1:$I$89,3,0)*0.475*44/12</f>
        <v>3.1088370041787455E-17</v>
      </c>
      <c r="BS149" s="22">
        <f t="shared" si="117"/>
        <v>1.0073724822613599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6.2527760746888816E-13</v>
      </c>
      <c r="BZ149" s="13">
        <f>BY149*VLOOKUP('Données projet'!$B$12,Paramètres!$A$1:$I$89,3,0)*VLOOKUP('Données projet'!$B$12,Paramètres!$A$1:$I$89,5,0)</f>
        <v>3.4953018257510848E-13</v>
      </c>
      <c r="CA149" s="13">
        <f t="shared" si="147"/>
        <v>4.5391562386470354E-12</v>
      </c>
      <c r="CB149" s="20">
        <f t="shared" si="118"/>
        <v>8.5144621836285662E-12</v>
      </c>
      <c r="CC149" s="59">
        <f t="shared" si="119"/>
        <v>293.33333333334184</v>
      </c>
      <c r="CD149" s="59">
        <f ca="1">AVERAGE(OFFSET($CC$3,0,0,'Données projet'!$E$12+1,1))-AVERAGE(OFFSET($H$3,0,0,'Données projet'!$E$12+1,1))</f>
        <v>190.08613104982993</v>
      </c>
      <c r="CE149" s="59">
        <f t="shared" si="148"/>
        <v>180.55054525447781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0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497</v>
      </c>
      <c r="CU149" s="17">
        <f>CT149*VLOOKUP('Données projet'!$B$13,Paramètres!$A$1:$I$89,3,0)*VLOOKUP('Données projet'!$B$13,Paramètres!$A$1:$I$89,5,0)</f>
        <v>297.20600000000002</v>
      </c>
      <c r="CV149" s="13">
        <f t="shared" si="149"/>
        <v>70.590415164571112</v>
      </c>
      <c r="CW149" s="20">
        <f t="shared" si="121"/>
        <v>640.57875641162809</v>
      </c>
      <c r="CX149" s="59">
        <f t="shared" si="122"/>
        <v>933.91208974496135</v>
      </c>
      <c r="CY149" s="59">
        <f ca="1">AVERAGE(OFFSET($CX$3,0,0,'Données projet'!$E$13+1,1))-AVERAGE(OFFSET($H$3,0,0,'Données projet'!$E$13+1,1))</f>
        <v>270.30888762640245</v>
      </c>
      <c r="CZ149" s="59">
        <f t="shared" si="150"/>
        <v>202.23783851977691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0.21532471962121752</v>
      </c>
      <c r="DG149" s="21">
        <f>EXP(-LN(2)/25)*DG148+(1-EXP(-LN(2)/25))/(LN(2)/25)*Calculateur!DB149*Calculateur!DD149*VLOOKUP('Données projet'!$B$13,Paramètres!$A$1:$I$89,3,0)*0.475*44/12</f>
        <v>0.4931246432556512</v>
      </c>
      <c r="DH149" s="21">
        <f>EXP(-LN(2)/2)*DH148+(1-EXP(-LN(2)/2))/(LN(2)/2)*DB149*DE149*VLOOKUP('Données projet'!$B$13,Paramètres!$A$1:$I$89,3,0)*0.475*44/12</f>
        <v>6.4159124493973846E-17</v>
      </c>
      <c r="DI149" s="22">
        <f t="shared" si="123"/>
        <v>0.70844936287686877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433.00000000000011</v>
      </c>
      <c r="DP149" s="17">
        <f>DO149*VLOOKUP('Données projet'!$B$14,Paramètres!$A$1:$I$89,3,0)*VLOOKUP('Données projet'!$B$14,Paramètres!$A$1:$I$89,5,0)</f>
        <v>258.93400000000008</v>
      </c>
      <c r="DQ149" s="13">
        <f t="shared" si="151"/>
        <v>62.495095530116075</v>
      </c>
      <c r="DR149" s="20">
        <f t="shared" si="124"/>
        <v>559.82234138161891</v>
      </c>
      <c r="DS149" s="59">
        <f t="shared" si="125"/>
        <v>853.15567471495228</v>
      </c>
      <c r="DT149" s="59">
        <f ca="1">AVERAGE(OFFSET($DS$3,0,0,'Données projet'!$E$14+1,1))-AVERAGE(OFFSET($H$3,0,0,'Données projet'!$E$14+1,1))</f>
        <v>221.14988592347311</v>
      </c>
      <c r="DU149" s="59">
        <f t="shared" si="152"/>
        <v>179.09262081171607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0.22967970092929876</v>
      </c>
      <c r="EB149" s="21">
        <f>EXP(-LN(2)/25)*EB148+(1-EXP(-LN(2)/25))/(LN(2)/25)*Calculateur!DW149*Calculateur!DY149*VLOOKUP('Données projet'!$B$14,Paramètres!$A$1:$I$89,3,0)*0.475*44/12</f>
        <v>0.41071636146965246</v>
      </c>
      <c r="EC149" s="21">
        <f>EXP(-LN(2)/2)*EC148+(1-EXP(-LN(2)/2))/(LN(2)/2)*DW149*DZ149*VLOOKUP('Données projet'!$B$14,Paramètres!$A$1:$I$89,3,0)*0.475*44/12</f>
        <v>6.7653374294789815E-17</v>
      </c>
      <c r="ED149" s="22">
        <f t="shared" si="126"/>
        <v>0.6403960623989513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2.2737367544323206E-13</v>
      </c>
      <c r="EK149" s="17">
        <f>EJ149*VLOOKUP('Données projet'!$B$15,Paramètres!$A$1:$I$89,3,0)*VLOOKUP('Données projet'!$B$15,Paramètres!$A$1:$I$89,5,0)</f>
        <v>1.2414602679200471E-13</v>
      </c>
      <c r="EL149" s="13">
        <f t="shared" si="153"/>
        <v>1.8186582995804361E-12</v>
      </c>
      <c r="EM149" s="20">
        <f t="shared" si="127"/>
        <v>3.3837175350986671E-12</v>
      </c>
      <c r="EN149" s="59">
        <f t="shared" si="128"/>
        <v>293.33333333333672</v>
      </c>
      <c r="EO149" s="59">
        <f ca="1">AVERAGE(OFFSET($EN$3,0,0,'Données projet'!$E$15+1,1))-AVERAGE(OFFSET($H$3,0,0,'Données projet'!$E$15+1,1))</f>
        <v>168.72306536277267</v>
      </c>
      <c r="EP149" s="59">
        <f t="shared" si="154"/>
        <v>203.35476578922339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0.30582351482433784</v>
      </c>
      <c r="EW149" s="21">
        <f>EXP(-LN(2)/25)*EW148+(1-EXP(-LN(2)/25))/(LN(2)/25)*Calculateur!ER149*Calculateur!ET149*VLOOKUP('Données projet'!$B$15,Paramètres!$A$1:$I$89,3,0)*0.475*44/12</f>
        <v>0.92186162214611655</v>
      </c>
      <c r="EX149" s="21">
        <f>EXP(-LN(2)/2)*EX148+(1-EXP(-LN(2)/2))/(LN(2)/2)*ER149*EU149*VLOOKUP('Données projet'!$B$15,Paramètres!$A$1:$I$89,3,0)*0.475*44/12</f>
        <v>6.9471673629394278E-17</v>
      </c>
      <c r="EY149" s="22">
        <f t="shared" si="129"/>
        <v>1.2276851369704544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3.4106051316484809E-13</v>
      </c>
      <c r="FF149" s="17">
        <f>FE149*VLOOKUP('Données projet'!$B$16,Paramètres!$A$1:$I$89,3,0)*VLOOKUP('Données projet'!$B$16,Paramètres!$A$1:$I$89,5,0)</f>
        <v>1.8621904018800707E-13</v>
      </c>
      <c r="FG149" s="13">
        <f t="shared" si="155"/>
        <v>2.6022279988572714E-12</v>
      </c>
      <c r="FH149" s="20">
        <f t="shared" si="130"/>
        <v>4.8565452596705266E-12</v>
      </c>
      <c r="FI149" s="59">
        <f t="shared" si="131"/>
        <v>293.33333333333815</v>
      </c>
      <c r="FJ149" s="59">
        <f ca="1">AVERAGE(OFFSET($FI$3,0,0,'Données projet'!$E$16+1,1))-AVERAGE(OFFSET($H$3,0,0,'Données projet'!$E$16+1,1))</f>
        <v>127.76128532861486</v>
      </c>
      <c r="FK149" s="59">
        <f t="shared" si="156"/>
        <v>157.52303491639736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>
        <f>EXP(-LN(2)/35)*FQ148+(1-EXP(-LN(2)/35))/(LN(2)/35)*FM149*FN149*VLOOKUP('Données projet'!$B$16,Paramètres!$A$1:$I$89,3,0)*0.475*44/12</f>
        <v>0.24465881185947028</v>
      </c>
      <c r="FR149" s="21">
        <f>EXP(-LN(2)/25)*FR148+(1-EXP(-LN(2)/25))/(LN(2)/25)*Calculateur!FM149*Calculateur!FO149*VLOOKUP('Données projet'!$B$16,Paramètres!$A$1:$I$89,3,0)*0.475*44/12</f>
        <v>0.65459812905492398</v>
      </c>
      <c r="FS149" s="21">
        <f>EXP(-LN(2)/2)*FS148+(1-EXP(-LN(2)/2))/(LN(2)/2)*FM149*FP149*VLOOKUP('Données projet'!$B$16,Paramètres!$A$1:$I$89,3,0)*0.475*44/12</f>
        <v>5.5155079816332829E-17</v>
      </c>
      <c r="FT149" s="22">
        <f t="shared" si="132"/>
        <v>0.89925694091439423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5.1063034188034209</v>
      </c>
      <c r="N150" s="13">
        <f>IF('Données projet'!$A$36&gt;35,N149+M150-V149,IF(A150&lt;'Données projet'!$A$36,$K$205^A150,IF(A150='Données projet'!$A$36,'Données projet'!$B$36,N149+M150-V149)))</f>
        <v>292.97329059829013</v>
      </c>
      <c r="O150" s="13">
        <f>N150*VLOOKUP('Données projet'!$B$9,Paramètres!$A$1:$I$89,3,0)*VLOOKUP('Données projet'!$B$9,Paramètres!$A$1:$I$89,5,0)</f>
        <v>265.08223333333291</v>
      </c>
      <c r="P150" s="13">
        <f t="shared" si="141"/>
        <v>63.804481164271408</v>
      </c>
      <c r="Q150" s="20">
        <f t="shared" si="108"/>
        <v>572.8110277499942</v>
      </c>
      <c r="R150" s="59">
        <f t="shared" si="109"/>
        <v>866.14436108332757</v>
      </c>
      <c r="S150" s="59">
        <f ca="1">AVERAGE(OFFSET($R$3,0,0,'Données projet'!$E$9+1,1))-AVERAGE(OFFSET($H$3,0,0,'Données projet'!$E$9+1,1))</f>
        <v>153.45079678708987</v>
      </c>
      <c r="T150" s="59">
        <f t="shared" si="142"/>
        <v>115.4217868409637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0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5.0924145299145307</v>
      </c>
      <c r="AI150" s="13">
        <f>IF('Données projet'!$A$62&gt;35,AI149+AH150-AQ149,IF(A150&lt;'Données projet'!$A$62,$AF$205^A150,IF(A150='Données projet'!$A$62,'Données projet'!$B$62,AI149+AH150-AQ149)))</f>
        <v>236.73237179487165</v>
      </c>
      <c r="AJ150" s="13">
        <f>AI150*VLOOKUP('Données projet'!$B$10,Paramètres!$A$1:$I$89,3,0)*VLOOKUP('Données projet'!$B$10,Paramètres!$A$1:$I$89,5,0)</f>
        <v>214.19544999999985</v>
      </c>
      <c r="AK150" s="13">
        <f t="shared" si="143"/>
        <v>52.851338909569641</v>
      </c>
      <c r="AL150" s="20">
        <f t="shared" si="112"/>
        <v>465.10649068416683</v>
      </c>
      <c r="AM150" s="59">
        <f t="shared" si="113"/>
        <v>758.43982401750009</v>
      </c>
      <c r="AN150" s="59">
        <f ca="1">AVERAGE(OFFSET($AM$3,0,0,'Données projet'!$E$10+1,1))-AVERAGE(OFFSET($H$3,0,0,'Données projet'!$E$10+1,1))</f>
        <v>123.92486590666675</v>
      </c>
      <c r="AO150" s="59">
        <f t="shared" si="144"/>
        <v>54.404493017418986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0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1.1368683772161603E-13</v>
      </c>
      <c r="BE150" s="13">
        <f>BD150*VLOOKUP('Données projet'!$B$11,Paramètres!$A$1:$I$89,3,0)*VLOOKUP('Données projet'!$B$11,Paramètres!$A$1:$I$89,5,0)</f>
        <v>6.3550942286383367E-14</v>
      </c>
      <c r="BF150" s="13">
        <f t="shared" si="145"/>
        <v>1.0064464192543978E-12</v>
      </c>
      <c r="BG150" s="20">
        <f t="shared" si="115"/>
        <v>1.8635787380168604E-12</v>
      </c>
      <c r="BH150" s="59">
        <f t="shared" si="116"/>
        <v>293.33333333333519</v>
      </c>
      <c r="BI150" s="59">
        <f ca="1">AVERAGE(OFFSET($BH$3,0,0,'Données projet'!$E$11+1,1))-AVERAGE(OFFSET($H$3,0,0,'Données projet'!$E$11+1,1))</f>
        <v>224.7049802939942</v>
      </c>
      <c r="BJ150" s="59">
        <f t="shared" si="146"/>
        <v>203.48513862195352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0.21990269080798139</v>
      </c>
      <c r="BQ150" s="21">
        <f>EXP(-LN(2)/25)*BQ149+(1-EXP(-LN(2)/25))/(LN(2)/25)*Calculateur!BL150*Calculateur!BN150*VLOOKUP('Données projet'!$B$11,Paramètres!$A$1:$I$89,3,0)*0.475*44/12</f>
        <v>0.76165825555337685</v>
      </c>
      <c r="BR150" s="21">
        <f>EXP(-LN(2)/2)*BR149+(1-EXP(-LN(2)/2))/(LN(2)/2)*BL150*BO150*VLOOKUP('Données projet'!$B$11,Paramètres!$A$1:$I$89,3,0)*0.475*44/12</f>
        <v>2.1982797272584621E-17</v>
      </c>
      <c r="BS150" s="22">
        <f t="shared" si="117"/>
        <v>0.98156094636135827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6.2527760746888816E-13</v>
      </c>
      <c r="BZ150" s="13">
        <f>BY150*VLOOKUP('Données projet'!$B$12,Paramètres!$A$1:$I$89,3,0)*VLOOKUP('Données projet'!$B$12,Paramètres!$A$1:$I$89,5,0)</f>
        <v>3.4953018257510848E-13</v>
      </c>
      <c r="CA150" s="13">
        <f t="shared" si="147"/>
        <v>4.5391562386470354E-12</v>
      </c>
      <c r="CB150" s="20">
        <f t="shared" si="118"/>
        <v>8.5144621836285662E-12</v>
      </c>
      <c r="CC150" s="59">
        <f t="shared" si="119"/>
        <v>293.33333333334184</v>
      </c>
      <c r="CD150" s="59">
        <f ca="1">AVERAGE(OFFSET($CC$3,0,0,'Données projet'!$E$12+1,1))-AVERAGE(OFFSET($H$3,0,0,'Données projet'!$E$12+1,1))</f>
        <v>190.08613104982993</v>
      </c>
      <c r="CE150" s="59">
        <f t="shared" si="148"/>
        <v>180.55054525447781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0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497</v>
      </c>
      <c r="CU150" s="17">
        <f>CT150*VLOOKUP('Données projet'!$B$13,Paramètres!$A$1:$I$89,3,0)*VLOOKUP('Données projet'!$B$13,Paramètres!$A$1:$I$89,5,0)</f>
        <v>297.20600000000002</v>
      </c>
      <c r="CV150" s="13">
        <f t="shared" si="149"/>
        <v>70.590415164571112</v>
      </c>
      <c r="CW150" s="20">
        <f t="shared" si="121"/>
        <v>640.57875641162809</v>
      </c>
      <c r="CX150" s="59">
        <f t="shared" si="122"/>
        <v>933.91208974496135</v>
      </c>
      <c r="CY150" s="59">
        <f ca="1">AVERAGE(OFFSET($CX$3,0,0,'Données projet'!$E$13+1,1))-AVERAGE(OFFSET($H$3,0,0,'Données projet'!$E$13+1,1))</f>
        <v>270.30888762640245</v>
      </c>
      <c r="CZ150" s="59">
        <f t="shared" si="150"/>
        <v>202.23783851977691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0.21110233320455615</v>
      </c>
      <c r="DG150" s="21">
        <f>EXP(-LN(2)/25)*DG149+(1-EXP(-LN(2)/25))/(LN(2)/25)*Calculateur!DB150*Calculateur!DD150*VLOOKUP('Données projet'!$B$13,Paramètres!$A$1:$I$89,3,0)*0.475*44/12</f>
        <v>0.47964012395352745</v>
      </c>
      <c r="DH150" s="21">
        <f>EXP(-LN(2)/2)*DH149+(1-EXP(-LN(2)/2))/(LN(2)/2)*DB150*DE150*VLOOKUP('Données projet'!$B$13,Paramètres!$A$1:$I$89,3,0)*0.475*44/12</f>
        <v>4.5367352004680826E-17</v>
      </c>
      <c r="DI150" s="22">
        <f t="shared" si="123"/>
        <v>0.69074245715808358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433.00000000000011</v>
      </c>
      <c r="DP150" s="17">
        <f>DO150*VLOOKUP('Données projet'!$B$14,Paramètres!$A$1:$I$89,3,0)*VLOOKUP('Données projet'!$B$14,Paramètres!$A$1:$I$89,5,0)</f>
        <v>258.93400000000008</v>
      </c>
      <c r="DQ150" s="13">
        <f t="shared" si="151"/>
        <v>62.495095530116075</v>
      </c>
      <c r="DR150" s="20">
        <f t="shared" si="124"/>
        <v>559.82234138161891</v>
      </c>
      <c r="DS150" s="59">
        <f t="shared" si="125"/>
        <v>853.15567471495228</v>
      </c>
      <c r="DT150" s="59">
        <f ca="1">AVERAGE(OFFSET($DS$3,0,0,'Données projet'!$E$14+1,1))-AVERAGE(OFFSET($H$3,0,0,'Données projet'!$E$14+1,1))</f>
        <v>221.14988592347311</v>
      </c>
      <c r="DU150" s="59">
        <f t="shared" si="152"/>
        <v>179.09262081171607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0.22517582208485998</v>
      </c>
      <c r="EB150" s="21">
        <f>EXP(-LN(2)/25)*EB149+(1-EXP(-LN(2)/25))/(LN(2)/25)*Calculateur!DW150*Calculateur!DY150*VLOOKUP('Données projet'!$B$14,Paramètres!$A$1:$I$89,3,0)*0.475*44/12</f>
        <v>0.39948530096663004</v>
      </c>
      <c r="EC150" s="21">
        <f>EXP(-LN(2)/2)*EC149+(1-EXP(-LN(2)/2))/(LN(2)/2)*DW150*DZ150*VLOOKUP('Données projet'!$B$14,Paramètres!$A$1:$I$89,3,0)*0.475*44/12</f>
        <v>4.7838159733997541E-17</v>
      </c>
      <c r="ED150" s="22">
        <f t="shared" si="126"/>
        <v>0.62466112305149002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2.2737367544323206E-13</v>
      </c>
      <c r="EK150" s="17">
        <f>EJ150*VLOOKUP('Données projet'!$B$15,Paramètres!$A$1:$I$89,3,0)*VLOOKUP('Données projet'!$B$15,Paramètres!$A$1:$I$89,5,0)</f>
        <v>1.2414602679200471E-13</v>
      </c>
      <c r="EL150" s="13">
        <f t="shared" si="153"/>
        <v>1.8186582995804361E-12</v>
      </c>
      <c r="EM150" s="20">
        <f t="shared" si="127"/>
        <v>3.3837175350986671E-12</v>
      </c>
      <c r="EN150" s="59">
        <f t="shared" si="128"/>
        <v>293.33333333333672</v>
      </c>
      <c r="EO150" s="59">
        <f ca="1">AVERAGE(OFFSET($EN$3,0,0,'Données projet'!$E$15+1,1))-AVERAGE(OFFSET($H$3,0,0,'Données projet'!$E$15+1,1))</f>
        <v>168.72306536277267</v>
      </c>
      <c r="EP150" s="59">
        <f t="shared" si="154"/>
        <v>203.35476578922339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0.29982650223255791</v>
      </c>
      <c r="EW150" s="21">
        <f>EXP(-LN(2)/25)*EW149+(1-EXP(-LN(2)/25))/(LN(2)/25)*Calculateur!ER150*Calculateur!ET150*VLOOKUP('Données projet'!$B$15,Paramètres!$A$1:$I$89,3,0)*0.475*44/12</f>
        <v>0.89665326760993525</v>
      </c>
      <c r="EX150" s="21">
        <f>EXP(-LN(2)/2)*EX149+(1-EXP(-LN(2)/2))/(LN(2)/2)*ER150*EU150*VLOOKUP('Données projet'!$B$15,Paramètres!$A$1:$I$89,3,0)*0.475*44/12</f>
        <v>4.9123891523723344E-17</v>
      </c>
      <c r="EY150" s="22">
        <f t="shared" si="129"/>
        <v>1.1964797698424932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3.4106051316484809E-13</v>
      </c>
      <c r="FF150" s="17">
        <f>FE150*VLOOKUP('Données projet'!$B$16,Paramètres!$A$1:$I$89,3,0)*VLOOKUP('Données projet'!$B$16,Paramètres!$A$1:$I$89,5,0)</f>
        <v>1.8621904018800707E-13</v>
      </c>
      <c r="FG150" s="13">
        <f t="shared" si="155"/>
        <v>2.6022279988572714E-12</v>
      </c>
      <c r="FH150" s="20">
        <f t="shared" si="130"/>
        <v>4.8565452596705266E-12</v>
      </c>
      <c r="FI150" s="59">
        <f t="shared" si="131"/>
        <v>293.33333333333815</v>
      </c>
      <c r="FJ150" s="59">
        <f ca="1">AVERAGE(OFFSET($FI$3,0,0,'Données projet'!$E$16+1,1))-AVERAGE(OFFSET($H$3,0,0,'Données projet'!$E$16+1,1))</f>
        <v>127.76128532861486</v>
      </c>
      <c r="FK150" s="59">
        <f t="shared" si="156"/>
        <v>157.52303491639736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>
        <f>EXP(-LN(2)/35)*FQ149+(1-EXP(-LN(2)/35))/(LN(2)/35)*FM150*FN150*VLOOKUP('Données projet'!$B$16,Paramètres!$A$1:$I$89,3,0)*0.475*44/12</f>
        <v>0.23986120178604634</v>
      </c>
      <c r="FR150" s="21">
        <f>EXP(-LN(2)/25)*FR149+(1-EXP(-LN(2)/25))/(LN(2)/25)*Calculateur!FM150*Calculateur!FO150*VLOOKUP('Données projet'!$B$16,Paramètres!$A$1:$I$89,3,0)*0.475*44/12</f>
        <v>0.63669810879209754</v>
      </c>
      <c r="FS150" s="21">
        <f>EXP(-LN(2)/2)*FS149+(1-EXP(-LN(2)/2))/(LN(2)/2)*FM150*FP150*VLOOKUP('Données projet'!$B$16,Paramètres!$A$1:$I$89,3,0)*0.475*44/12</f>
        <v>3.9000530955014224E-17</v>
      </c>
      <c r="FT150" s="22">
        <f t="shared" si="132"/>
        <v>0.87655931057814385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5.1063034188034209</v>
      </c>
      <c r="N151" s="13">
        <f>IF('Données projet'!$A$36&gt;35,N150+M151-V150,IF(A151&lt;'Données projet'!$A$36,$K$205^A151,IF(A151='Données projet'!$A$36,'Données projet'!$B$36,N150+M151-V150)))</f>
        <v>298.07959401709354</v>
      </c>
      <c r="O151" s="13">
        <f>N151*VLOOKUP('Données projet'!$B$9,Paramètres!$A$1:$I$89,3,0)*VLOOKUP('Données projet'!$B$9,Paramètres!$A$1:$I$89,5,0)</f>
        <v>269.70241666666624</v>
      </c>
      <c r="P151" s="13">
        <f t="shared" si="141"/>
        <v>64.786110541238813</v>
      </c>
      <c r="Q151" s="20">
        <f t="shared" si="108"/>
        <v>582.56751822043464</v>
      </c>
      <c r="R151" s="59">
        <f t="shared" si="109"/>
        <v>875.90085155376801</v>
      </c>
      <c r="S151" s="59">
        <f ca="1">AVERAGE(OFFSET($R$3,0,0,'Données projet'!$E$9+1,1))-AVERAGE(OFFSET($H$3,0,0,'Données projet'!$E$9+1,1))</f>
        <v>153.45079678708987</v>
      </c>
      <c r="T151" s="59">
        <f t="shared" si="142"/>
        <v>115.4217868409637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0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5.0924145299145307</v>
      </c>
      <c r="AI151" s="13">
        <f>IF('Données projet'!$A$62&gt;35,AI150+AH151-AQ150,IF(A151&lt;'Données projet'!$A$62,$AF$205^A151,IF(A151='Données projet'!$A$62,'Données projet'!$B$62,AI150+AH151-AQ150)))</f>
        <v>241.82478632478617</v>
      </c>
      <c r="AJ151" s="13">
        <f>AI151*VLOOKUP('Données projet'!$B$10,Paramètres!$A$1:$I$89,3,0)*VLOOKUP('Données projet'!$B$10,Paramètres!$A$1:$I$89,5,0)</f>
        <v>218.80306666666652</v>
      </c>
      <c r="AK151" s="13">
        <f t="shared" si="143"/>
        <v>53.854655633182148</v>
      </c>
      <c r="AL151" s="20">
        <f t="shared" si="112"/>
        <v>474.87886633890304</v>
      </c>
      <c r="AM151" s="59">
        <f t="shared" si="113"/>
        <v>768.21219967223635</v>
      </c>
      <c r="AN151" s="59">
        <f ca="1">AVERAGE(OFFSET($AM$3,0,0,'Données projet'!$E$10+1,1))-AVERAGE(OFFSET($H$3,0,0,'Données projet'!$E$10+1,1))</f>
        <v>123.92486590666675</v>
      </c>
      <c r="AO151" s="59">
        <f t="shared" si="144"/>
        <v>54.404493017418986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0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1.1368683772161603E-13</v>
      </c>
      <c r="BE151" s="13">
        <f>BD151*VLOOKUP('Données projet'!$B$11,Paramètres!$A$1:$I$89,3,0)*VLOOKUP('Données projet'!$B$11,Paramètres!$A$1:$I$89,5,0)</f>
        <v>6.3550942286383367E-14</v>
      </c>
      <c r="BF151" s="13">
        <f t="shared" si="145"/>
        <v>1.0064464192543978E-12</v>
      </c>
      <c r="BG151" s="20">
        <f t="shared" si="115"/>
        <v>1.8635787380168604E-12</v>
      </c>
      <c r="BH151" s="59">
        <f t="shared" si="116"/>
        <v>293.33333333333519</v>
      </c>
      <c r="BI151" s="59">
        <f ca="1">AVERAGE(OFFSET($BH$3,0,0,'Données projet'!$E$11+1,1))-AVERAGE(OFFSET($H$3,0,0,'Données projet'!$E$11+1,1))</f>
        <v>224.7049802939942</v>
      </c>
      <c r="BJ151" s="59">
        <f t="shared" si="146"/>
        <v>203.48513862195352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0.21559053316863427</v>
      </c>
      <c r="BQ151" s="21">
        <f>EXP(-LN(2)/25)*BQ150+(1-EXP(-LN(2)/25))/(LN(2)/25)*Calculateur!BL151*Calculateur!BN151*VLOOKUP('Données projet'!$B$11,Paramètres!$A$1:$I$89,3,0)*0.475*44/12</f>
        <v>0.74083067050140294</v>
      </c>
      <c r="BR151" s="21">
        <f>EXP(-LN(2)/2)*BR150+(1-EXP(-LN(2)/2))/(LN(2)/2)*BL151*BO151*VLOOKUP('Données projet'!$B$11,Paramètres!$A$1:$I$89,3,0)*0.475*44/12</f>
        <v>1.5544185020893727E-17</v>
      </c>
      <c r="BS151" s="22">
        <f t="shared" si="117"/>
        <v>0.95642120367003725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6.2527760746888816E-13</v>
      </c>
      <c r="BZ151" s="13">
        <f>BY151*VLOOKUP('Données projet'!$B$12,Paramètres!$A$1:$I$89,3,0)*VLOOKUP('Données projet'!$B$12,Paramètres!$A$1:$I$89,5,0)</f>
        <v>3.4953018257510848E-13</v>
      </c>
      <c r="CA151" s="13">
        <f t="shared" si="147"/>
        <v>4.5391562386470354E-12</v>
      </c>
      <c r="CB151" s="20">
        <f t="shared" si="118"/>
        <v>8.5144621836285662E-12</v>
      </c>
      <c r="CC151" s="59">
        <f t="shared" si="119"/>
        <v>293.33333333334184</v>
      </c>
      <c r="CD151" s="59">
        <f ca="1">AVERAGE(OFFSET($CC$3,0,0,'Données projet'!$E$12+1,1))-AVERAGE(OFFSET($H$3,0,0,'Données projet'!$E$12+1,1))</f>
        <v>190.08613104982993</v>
      </c>
      <c r="CE151" s="59">
        <f t="shared" si="148"/>
        <v>180.55054525447781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0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497</v>
      </c>
      <c r="CU151" s="17">
        <f>CT151*VLOOKUP('Données projet'!$B$13,Paramètres!$A$1:$I$89,3,0)*VLOOKUP('Données projet'!$B$13,Paramètres!$A$1:$I$89,5,0)</f>
        <v>297.20600000000002</v>
      </c>
      <c r="CV151" s="13">
        <f t="shared" si="149"/>
        <v>70.590415164571112</v>
      </c>
      <c r="CW151" s="20">
        <f t="shared" si="121"/>
        <v>640.57875641162809</v>
      </c>
      <c r="CX151" s="59">
        <f t="shared" si="122"/>
        <v>933.91208974496135</v>
      </c>
      <c r="CY151" s="59">
        <f ca="1">AVERAGE(OFFSET($CX$3,0,0,'Données projet'!$E$13+1,1))-AVERAGE(OFFSET($H$3,0,0,'Données projet'!$E$13+1,1))</f>
        <v>270.30888762640245</v>
      </c>
      <c r="CZ151" s="59">
        <f t="shared" si="150"/>
        <v>202.23783851977691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0.20696274521012409</v>
      </c>
      <c r="DG151" s="21">
        <f>EXP(-LN(2)/25)*DG150+(1-EXP(-LN(2)/25))/(LN(2)/25)*Calculateur!DB151*Calculateur!DD151*VLOOKUP('Données projet'!$B$13,Paramètres!$A$1:$I$89,3,0)*0.475*44/12</f>
        <v>0.46652433954084038</v>
      </c>
      <c r="DH151" s="21">
        <f>EXP(-LN(2)/2)*DH150+(1-EXP(-LN(2)/2))/(LN(2)/2)*DB151*DE151*VLOOKUP('Données projet'!$B$13,Paramètres!$A$1:$I$89,3,0)*0.475*44/12</f>
        <v>3.2079562246986923E-17</v>
      </c>
      <c r="DI151" s="22">
        <f t="shared" si="123"/>
        <v>0.67348708475096442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433.00000000000011</v>
      </c>
      <c r="DP151" s="17">
        <f>DO151*VLOOKUP('Données projet'!$B$14,Paramètres!$A$1:$I$89,3,0)*VLOOKUP('Données projet'!$B$14,Paramètres!$A$1:$I$89,5,0)</f>
        <v>258.93400000000008</v>
      </c>
      <c r="DQ151" s="13">
        <f t="shared" si="151"/>
        <v>62.495095530116075</v>
      </c>
      <c r="DR151" s="20">
        <f t="shared" si="124"/>
        <v>559.82234138161891</v>
      </c>
      <c r="DS151" s="59">
        <f t="shared" si="125"/>
        <v>853.15567471495228</v>
      </c>
      <c r="DT151" s="59">
        <f ca="1">AVERAGE(OFFSET($DS$3,0,0,'Données projet'!$E$14+1,1))-AVERAGE(OFFSET($H$3,0,0,'Données projet'!$E$14+1,1))</f>
        <v>221.14988592347311</v>
      </c>
      <c r="DU151" s="59">
        <f t="shared" si="152"/>
        <v>179.09262081171607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0.22076026155746578</v>
      </c>
      <c r="EB151" s="21">
        <f>EXP(-LN(2)/25)*EB150+(1-EXP(-LN(2)/25))/(LN(2)/25)*Calculateur!DW151*Calculateur!DY151*VLOOKUP('Données projet'!$B$14,Paramètres!$A$1:$I$89,3,0)*0.475*44/12</f>
        <v>0.38856135440367862</v>
      </c>
      <c r="EC151" s="21">
        <f>EXP(-LN(2)/2)*EC150+(1-EXP(-LN(2)/2))/(LN(2)/2)*DW151*DZ151*VLOOKUP('Données projet'!$B$14,Paramètres!$A$1:$I$89,3,0)*0.475*44/12</f>
        <v>3.3826687147394908E-17</v>
      </c>
      <c r="ED151" s="22">
        <f t="shared" si="126"/>
        <v>0.60932161596114442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2.2737367544323206E-13</v>
      </c>
      <c r="EK151" s="17">
        <f>EJ151*VLOOKUP('Données projet'!$B$15,Paramètres!$A$1:$I$89,3,0)*VLOOKUP('Données projet'!$B$15,Paramètres!$A$1:$I$89,5,0)</f>
        <v>1.2414602679200471E-13</v>
      </c>
      <c r="EL151" s="13">
        <f t="shared" si="153"/>
        <v>1.8186582995804361E-12</v>
      </c>
      <c r="EM151" s="20">
        <f t="shared" si="127"/>
        <v>3.3837175350986671E-12</v>
      </c>
      <c r="EN151" s="59">
        <f t="shared" si="128"/>
        <v>293.33333333333672</v>
      </c>
      <c r="EO151" s="59">
        <f ca="1">AVERAGE(OFFSET($EN$3,0,0,'Données projet'!$E$15+1,1))-AVERAGE(OFFSET($H$3,0,0,'Données projet'!$E$15+1,1))</f>
        <v>168.72306536277267</v>
      </c>
      <c r="EP151" s="59">
        <f t="shared" si="154"/>
        <v>203.35476578922339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0.29394708739988629</v>
      </c>
      <c r="EW151" s="21">
        <f>EXP(-LN(2)/25)*EW150+(1-EXP(-LN(2)/25))/(LN(2)/25)*Calculateur!ER151*Calculateur!ET151*VLOOKUP('Données projet'!$B$15,Paramètres!$A$1:$I$89,3,0)*0.475*44/12</f>
        <v>0.87213423685419555</v>
      </c>
      <c r="EX151" s="21">
        <f>EXP(-LN(2)/2)*EX150+(1-EXP(-LN(2)/2))/(LN(2)/2)*ER151*EU151*VLOOKUP('Données projet'!$B$15,Paramètres!$A$1:$I$89,3,0)*0.475*44/12</f>
        <v>3.4735836814697139E-17</v>
      </c>
      <c r="EY151" s="22">
        <f t="shared" si="129"/>
        <v>1.166081324254082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3.4106051316484809E-13</v>
      </c>
      <c r="FF151" s="17">
        <f>FE151*VLOOKUP('Données projet'!$B$16,Paramètres!$A$1:$I$89,3,0)*VLOOKUP('Données projet'!$B$16,Paramètres!$A$1:$I$89,5,0)</f>
        <v>1.8621904018800707E-13</v>
      </c>
      <c r="FG151" s="13">
        <f t="shared" si="155"/>
        <v>2.6022279988572714E-12</v>
      </c>
      <c r="FH151" s="20">
        <f t="shared" si="130"/>
        <v>4.8565452596705266E-12</v>
      </c>
      <c r="FI151" s="59">
        <f t="shared" si="131"/>
        <v>293.33333333333815</v>
      </c>
      <c r="FJ151" s="59">
        <f ca="1">AVERAGE(OFFSET($FI$3,0,0,'Données projet'!$E$16+1,1))-AVERAGE(OFFSET($H$3,0,0,'Données projet'!$E$16+1,1))</f>
        <v>127.76128532861486</v>
      </c>
      <c r="FK151" s="59">
        <f t="shared" si="156"/>
        <v>157.52303491639736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>
        <f>EXP(-LN(2)/35)*FQ150+(1-EXP(-LN(2)/35))/(LN(2)/35)*FM151*FN151*VLOOKUP('Données projet'!$B$16,Paramètres!$A$1:$I$89,3,0)*0.475*44/12</f>
        <v>0.23515766991990905</v>
      </c>
      <c r="FR151" s="21">
        <f>EXP(-LN(2)/25)*FR150+(1-EXP(-LN(2)/25))/(LN(2)/25)*Calculateur!FM151*Calculateur!FO151*VLOOKUP('Données projet'!$B$16,Paramètres!$A$1:$I$89,3,0)*0.475*44/12</f>
        <v>0.61928756552467923</v>
      </c>
      <c r="FS151" s="21">
        <f>EXP(-LN(2)/2)*FS150+(1-EXP(-LN(2)/2))/(LN(2)/2)*FM151*FP151*VLOOKUP('Données projet'!$B$16,Paramètres!$A$1:$I$89,3,0)*0.475*44/12</f>
        <v>2.7577539908166417E-17</v>
      </c>
      <c r="FT151" s="22">
        <f t="shared" si="132"/>
        <v>0.85444523544458828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>
        <f>VLOOKUP(A152,'Données projet'!$A$35:$I$55,2,0)</f>
        <v>303.18589743589746</v>
      </c>
      <c r="L152" s="12">
        <f>VLOOKUP(A152,'Données projet'!$A$35:$I$55,9,0)</f>
        <v>5.1063034188034209</v>
      </c>
      <c r="M152" s="12">
        <f t="array" ref="M152">INDEX(L:L,MIN(IF(ISNUMBER(L152:L348),ROW(L152:L348),"")))</f>
        <v>5.1063034188034209</v>
      </c>
      <c r="N152" s="13">
        <f>IF('Données projet'!$A$36&gt;35,N151+M152-V151,IF(A152&lt;'Données projet'!$A$36,$K$205^A152,IF(A152='Données projet'!$A$36,'Données projet'!$B$36,N151+M152-V151)))</f>
        <v>303.18589743589695</v>
      </c>
      <c r="O152" s="13">
        <f>N152*VLOOKUP('Données projet'!$B$9,Paramètres!$A$1:$I$89,3,0)*VLOOKUP('Données projet'!$B$9,Paramètres!$A$1:$I$89,5,0)</f>
        <v>274.32259999999957</v>
      </c>
      <c r="P152" s="13">
        <f t="shared" si="141"/>
        <v>65.765784388426695</v>
      </c>
      <c r="Q152" s="20">
        <f t="shared" si="108"/>
        <v>592.3206028098424</v>
      </c>
      <c r="R152" s="59">
        <f t="shared" si="109"/>
        <v>885.65393614317577</v>
      </c>
      <c r="S152" s="59">
        <f ca="1">AVERAGE(OFFSET($R$3,0,0,'Données projet'!$E$9+1,1))-AVERAGE(OFFSET($H$3,0,0,'Données projet'!$E$9+1,1))</f>
        <v>153.45079678708987</v>
      </c>
      <c r="T152" s="59">
        <f t="shared" si="142"/>
        <v>115.4217868409637</v>
      </c>
      <c r="U152" s="15">
        <f>IF(ISNA(VLOOKUP(A152,'Données projet'!$A$35:$I$55,3,0)),0,VLOOKUP(A152,'Données projet'!$A$35:$I$55,3,0))</f>
        <v>12</v>
      </c>
      <c r="V152" s="15">
        <f>IF(ISNA(VLOOKUP(A152,'Données projet'!$A$35:$I$55,4,0)),0,VLOOKUP(A152,'Données projet'!$A$35:$I$55,4,0))</f>
        <v>120.50641025641026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0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5.0924145299145307</v>
      </c>
      <c r="AI152" s="13">
        <f>IF('Données projet'!$A$62&gt;35,AI151+AH152-AQ151,IF(A152&lt;'Données projet'!$A$62,$AF$205^A152,IF(A152='Données projet'!$A$62,'Données projet'!$B$62,AI151+AH152-AQ151)))</f>
        <v>246.9172008547007</v>
      </c>
      <c r="AJ152" s="13">
        <f>AI152*VLOOKUP('Données projet'!$B$10,Paramètres!$A$1:$I$89,3,0)*VLOOKUP('Données projet'!$B$10,Paramètres!$A$1:$I$89,5,0)</f>
        <v>223.41068333333317</v>
      </c>
      <c r="AK152" s="13">
        <f t="shared" si="143"/>
        <v>54.855515862623712</v>
      </c>
      <c r="AL152" s="20">
        <f t="shared" si="112"/>
        <v>484.64696359962483</v>
      </c>
      <c r="AM152" s="59">
        <f t="shared" si="113"/>
        <v>777.98029693295814</v>
      </c>
      <c r="AN152" s="59">
        <f ca="1">AVERAGE(OFFSET($AM$3,0,0,'Données projet'!$E$10+1,1))-AVERAGE(OFFSET($H$3,0,0,'Données projet'!$E$10+1,1))</f>
        <v>123.92486590666675</v>
      </c>
      <c r="AO152" s="59">
        <f t="shared" si="144"/>
        <v>54.404493017418986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0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1.1368683772161603E-13</v>
      </c>
      <c r="BE152" s="13">
        <f>BD152*VLOOKUP('Données projet'!$B$11,Paramètres!$A$1:$I$89,3,0)*VLOOKUP('Données projet'!$B$11,Paramètres!$A$1:$I$89,5,0)</f>
        <v>6.3550942286383367E-14</v>
      </c>
      <c r="BF152" s="13">
        <f t="shared" si="145"/>
        <v>1.0064464192543978E-12</v>
      </c>
      <c r="BG152" s="20">
        <f t="shared" si="115"/>
        <v>1.8635787380168604E-12</v>
      </c>
      <c r="BH152" s="59">
        <f t="shared" si="116"/>
        <v>293.33333333333519</v>
      </c>
      <c r="BI152" s="59">
        <f ca="1">AVERAGE(OFFSET($BH$3,0,0,'Données projet'!$E$11+1,1))-AVERAGE(OFFSET($H$3,0,0,'Données projet'!$E$11+1,1))</f>
        <v>224.7049802939942</v>
      </c>
      <c r="BJ152" s="59">
        <f t="shared" si="146"/>
        <v>203.48513862195352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0.21136293431043832</v>
      </c>
      <c r="BQ152" s="21">
        <f>EXP(-LN(2)/25)*BQ151+(1-EXP(-LN(2)/25))/(LN(2)/25)*Calculateur!BL152*Calculateur!BN152*VLOOKUP('Données projet'!$B$11,Paramètres!$A$1:$I$89,3,0)*0.475*44/12</f>
        <v>0.72057261685795027</v>
      </c>
      <c r="BR152" s="21">
        <f>EXP(-LN(2)/2)*BR151+(1-EXP(-LN(2)/2))/(LN(2)/2)*BL152*BO152*VLOOKUP('Données projet'!$B$11,Paramètres!$A$1:$I$89,3,0)*0.475*44/12</f>
        <v>1.099139863629231E-17</v>
      </c>
      <c r="BS152" s="22">
        <f t="shared" si="117"/>
        <v>0.93193555116838855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6.2527760746888816E-13</v>
      </c>
      <c r="BZ152" s="13">
        <f>BY152*VLOOKUP('Données projet'!$B$12,Paramètres!$A$1:$I$89,3,0)*VLOOKUP('Données projet'!$B$12,Paramètres!$A$1:$I$89,5,0)</f>
        <v>3.4953018257510848E-13</v>
      </c>
      <c r="CA152" s="13">
        <f t="shared" si="147"/>
        <v>4.5391562386470354E-12</v>
      </c>
      <c r="CB152" s="20">
        <f t="shared" si="118"/>
        <v>8.5144621836285662E-12</v>
      </c>
      <c r="CC152" s="59">
        <f t="shared" si="119"/>
        <v>293.33333333334184</v>
      </c>
      <c r="CD152" s="59">
        <f ca="1">AVERAGE(OFFSET($CC$3,0,0,'Données projet'!$E$12+1,1))-AVERAGE(OFFSET($H$3,0,0,'Données projet'!$E$12+1,1))</f>
        <v>190.08613104982993</v>
      </c>
      <c r="CE152" s="59">
        <f t="shared" si="148"/>
        <v>180.55054525447781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0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497</v>
      </c>
      <c r="CU152" s="17">
        <f>CT152*VLOOKUP('Données projet'!$B$13,Paramètres!$A$1:$I$89,3,0)*VLOOKUP('Données projet'!$B$13,Paramètres!$A$1:$I$89,5,0)</f>
        <v>297.20600000000002</v>
      </c>
      <c r="CV152" s="13">
        <f t="shared" si="149"/>
        <v>70.590415164571112</v>
      </c>
      <c r="CW152" s="20">
        <f t="shared" si="121"/>
        <v>640.57875641162809</v>
      </c>
      <c r="CX152" s="59">
        <f t="shared" si="122"/>
        <v>933.91208974496135</v>
      </c>
      <c r="CY152" s="59">
        <f ca="1">AVERAGE(OFFSET($CX$3,0,0,'Données projet'!$E$13+1,1))-AVERAGE(OFFSET($H$3,0,0,'Données projet'!$E$13+1,1))</f>
        <v>270.30888762640245</v>
      </c>
      <c r="CZ152" s="59">
        <f t="shared" si="150"/>
        <v>202.23783851977691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0.20290433201136349</v>
      </c>
      <c r="DG152" s="21">
        <f>EXP(-LN(2)/25)*DG151+(1-EXP(-LN(2)/25))/(LN(2)/25)*Calculateur!DB152*Calculateur!DD152*VLOOKUP('Données projet'!$B$13,Paramètres!$A$1:$I$89,3,0)*0.475*44/12</f>
        <v>0.45376720694264733</v>
      </c>
      <c r="DH152" s="21">
        <f>EXP(-LN(2)/2)*DH151+(1-EXP(-LN(2)/2))/(LN(2)/2)*DB152*DE152*VLOOKUP('Données projet'!$B$13,Paramètres!$A$1:$I$89,3,0)*0.475*44/12</f>
        <v>2.2683676002340413E-17</v>
      </c>
      <c r="DI152" s="22">
        <f t="shared" si="123"/>
        <v>0.65667153895401076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433.00000000000011</v>
      </c>
      <c r="DP152" s="17">
        <f>DO152*VLOOKUP('Données projet'!$B$14,Paramètres!$A$1:$I$89,3,0)*VLOOKUP('Données projet'!$B$14,Paramètres!$A$1:$I$89,5,0)</f>
        <v>258.93400000000008</v>
      </c>
      <c r="DQ152" s="13">
        <f t="shared" si="151"/>
        <v>62.495095530116075</v>
      </c>
      <c r="DR152" s="20">
        <f t="shared" si="124"/>
        <v>559.82234138161891</v>
      </c>
      <c r="DS152" s="59">
        <f t="shared" si="125"/>
        <v>853.15567471495228</v>
      </c>
      <c r="DT152" s="59">
        <f ca="1">AVERAGE(OFFSET($DS$3,0,0,'Données projet'!$E$14+1,1))-AVERAGE(OFFSET($H$3,0,0,'Données projet'!$E$14+1,1))</f>
        <v>221.14988592347311</v>
      </c>
      <c r="DU152" s="59">
        <f t="shared" si="152"/>
        <v>179.09262081171607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0.21643128747878779</v>
      </c>
      <c r="EB152" s="21">
        <f>EXP(-LN(2)/25)*EB151+(1-EXP(-LN(2)/25))/(LN(2)/25)*Calculateur!DW152*Calculateur!DY152*VLOOKUP('Données projet'!$B$14,Paramètres!$A$1:$I$89,3,0)*0.475*44/12</f>
        <v>0.37793612373395646</v>
      </c>
      <c r="EC152" s="21">
        <f>EXP(-LN(2)/2)*EC151+(1-EXP(-LN(2)/2))/(LN(2)/2)*DW152*DZ152*VLOOKUP('Données projet'!$B$14,Paramètres!$A$1:$I$89,3,0)*0.475*44/12</f>
        <v>2.3919079866998771E-17</v>
      </c>
      <c r="ED152" s="22">
        <f t="shared" si="126"/>
        <v>0.59436741121274428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2.2737367544323206E-13</v>
      </c>
      <c r="EK152" s="17">
        <f>EJ152*VLOOKUP('Données projet'!$B$15,Paramètres!$A$1:$I$89,3,0)*VLOOKUP('Données projet'!$B$15,Paramètres!$A$1:$I$89,5,0)</f>
        <v>1.2414602679200471E-13</v>
      </c>
      <c r="EL152" s="13">
        <f t="shared" si="153"/>
        <v>1.8186582995804361E-12</v>
      </c>
      <c r="EM152" s="20">
        <f t="shared" si="127"/>
        <v>3.3837175350986671E-12</v>
      </c>
      <c r="EN152" s="59">
        <f t="shared" si="128"/>
        <v>293.33333333333672</v>
      </c>
      <c r="EO152" s="59">
        <f ca="1">AVERAGE(OFFSET($EN$3,0,0,'Données projet'!$E$15+1,1))-AVERAGE(OFFSET($H$3,0,0,'Données projet'!$E$15+1,1))</f>
        <v>168.72306536277267</v>
      </c>
      <c r="EP152" s="59">
        <f t="shared" si="154"/>
        <v>203.35476578922339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0.28818296430599444</v>
      </c>
      <c r="EW152" s="21">
        <f>EXP(-LN(2)/25)*EW151+(1-EXP(-LN(2)/25))/(LN(2)/25)*Calculateur!ER152*Calculateur!ET152*VLOOKUP('Données projet'!$B$15,Paramètres!$A$1:$I$89,3,0)*0.475*44/12</f>
        <v>0.8482856802838713</v>
      </c>
      <c r="EX152" s="21">
        <f>EXP(-LN(2)/2)*EX151+(1-EXP(-LN(2)/2))/(LN(2)/2)*ER152*EU152*VLOOKUP('Données projet'!$B$15,Paramètres!$A$1:$I$89,3,0)*0.475*44/12</f>
        <v>2.4561945761861672E-17</v>
      </c>
      <c r="EY152" s="22">
        <f t="shared" si="129"/>
        <v>1.1364686445898657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3.4106051316484809E-13</v>
      </c>
      <c r="FF152" s="17">
        <f>FE152*VLOOKUP('Données projet'!$B$16,Paramètres!$A$1:$I$89,3,0)*VLOOKUP('Données projet'!$B$16,Paramètres!$A$1:$I$89,5,0)</f>
        <v>1.8621904018800707E-13</v>
      </c>
      <c r="FG152" s="13">
        <f t="shared" si="155"/>
        <v>2.6022279988572714E-12</v>
      </c>
      <c r="FH152" s="20">
        <f t="shared" si="130"/>
        <v>4.8565452596705266E-12</v>
      </c>
      <c r="FI152" s="59">
        <f t="shared" si="131"/>
        <v>293.33333333333815</v>
      </c>
      <c r="FJ152" s="59">
        <f ca="1">AVERAGE(OFFSET($FI$3,0,0,'Données projet'!$E$16+1,1))-AVERAGE(OFFSET($H$3,0,0,'Données projet'!$E$16+1,1))</f>
        <v>127.76128532861486</v>
      </c>
      <c r="FK152" s="59">
        <f t="shared" si="156"/>
        <v>157.52303491639736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>
        <f>EXP(-LN(2)/35)*FQ151+(1-EXP(-LN(2)/35))/(LN(2)/35)*FM152*FN152*VLOOKUP('Données projet'!$B$16,Paramètres!$A$1:$I$89,3,0)*0.475*44/12</f>
        <v>0.23054637144479556</v>
      </c>
      <c r="FR152" s="21">
        <f>EXP(-LN(2)/25)*FR151+(1-EXP(-LN(2)/25))/(LN(2)/25)*Calculateur!FM152*Calculateur!FO152*VLOOKUP('Données projet'!$B$16,Paramètres!$A$1:$I$89,3,0)*0.475*44/12</f>
        <v>0.60235311447848916</v>
      </c>
      <c r="FS152" s="21">
        <f>EXP(-LN(2)/2)*FS151+(1-EXP(-LN(2)/2))/(LN(2)/2)*FM152*FP152*VLOOKUP('Données projet'!$B$16,Paramètres!$A$1:$I$89,3,0)*0.475*44/12</f>
        <v>1.9500265477507115E-17</v>
      </c>
      <c r="FT152" s="22">
        <f t="shared" si="132"/>
        <v>0.83289948592328478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3.0945512820512846</v>
      </c>
      <c r="N153" s="13">
        <f>IF('Données projet'!$A$36&gt;35,N152+M153-V152,IF(A153&lt;'Données projet'!$A$36,$K$205^A153,IF(A153='Données projet'!$A$36,'Données projet'!$B$36,N152+M153-V152)))</f>
        <v>185.77403846153794</v>
      </c>
      <c r="O153" s="13">
        <f>N153*VLOOKUP('Données projet'!$B$9,Paramètres!$A$1:$I$89,3,0)*VLOOKUP('Données projet'!$B$9,Paramètres!$A$1:$I$89,5,0)</f>
        <v>168.08834999999954</v>
      </c>
      <c r="P153" s="13">
        <f t="shared" si="141"/>
        <v>42.661596193999998</v>
      </c>
      <c r="Q153" s="20">
        <f t="shared" si="108"/>
        <v>367.05615628788252</v>
      </c>
      <c r="R153" s="59">
        <f t="shared" si="109"/>
        <v>660.38948962121583</v>
      </c>
      <c r="S153" s="59">
        <f ca="1">AVERAGE(OFFSET($R$3,0,0,'Données projet'!$E$9+1,1))-AVERAGE(OFFSET($H$3,0,0,'Données projet'!$E$9+1,1))</f>
        <v>153.45079678708987</v>
      </c>
      <c r="T153" s="59">
        <f t="shared" si="142"/>
        <v>115.4217868409637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0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5.0924145299145307</v>
      </c>
      <c r="AI153" s="13">
        <f>IF('Données projet'!$A$62&gt;35,AI152+AH153-AQ152,IF(A153&lt;'Données projet'!$A$62,$AF$205^A153,IF(A153='Données projet'!$A$62,'Données projet'!$B$62,AI152+AH153-AQ152)))</f>
        <v>252.00961538461522</v>
      </c>
      <c r="AJ153" s="13">
        <f>AI153*VLOOKUP('Données projet'!$B$10,Paramètres!$A$1:$I$89,3,0)*VLOOKUP('Données projet'!$B$10,Paramètres!$A$1:$I$89,5,0)</f>
        <v>228.01829999999987</v>
      </c>
      <c r="AK153" s="13">
        <f t="shared" si="143"/>
        <v>55.85397609795892</v>
      </c>
      <c r="AL153" s="20">
        <f t="shared" si="112"/>
        <v>494.41088087061149</v>
      </c>
      <c r="AM153" s="59">
        <f t="shared" si="113"/>
        <v>787.74421420394481</v>
      </c>
      <c r="AN153" s="59">
        <f ca="1">AVERAGE(OFFSET($AM$3,0,0,'Données projet'!$E$10+1,1))-AVERAGE(OFFSET($H$3,0,0,'Données projet'!$E$10+1,1))</f>
        <v>123.92486590666675</v>
      </c>
      <c r="AO153" s="59">
        <f t="shared" si="144"/>
        <v>54.404493017418986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0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1.1368683772161603E-13</v>
      </c>
      <c r="BE153" s="13">
        <f>BD153*VLOOKUP('Données projet'!$B$11,Paramètres!$A$1:$I$89,3,0)*VLOOKUP('Données projet'!$B$11,Paramètres!$A$1:$I$89,5,0)</f>
        <v>6.3550942286383367E-14</v>
      </c>
      <c r="BF153" s="13">
        <f t="shared" si="145"/>
        <v>1.0064464192543978E-12</v>
      </c>
      <c r="BG153" s="20">
        <f t="shared" si="115"/>
        <v>1.8635787380168604E-12</v>
      </c>
      <c r="BH153" s="59">
        <f t="shared" si="116"/>
        <v>293.33333333333519</v>
      </c>
      <c r="BI153" s="59">
        <f ca="1">AVERAGE(OFFSET($BH$3,0,0,'Données projet'!$E$11+1,1))-AVERAGE(OFFSET($H$3,0,0,'Données projet'!$E$11+1,1))</f>
        <v>224.7049802939942</v>
      </c>
      <c r="BJ153" s="59">
        <f t="shared" si="146"/>
        <v>203.48513862195352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0.20721823608727089</v>
      </c>
      <c r="BQ153" s="21">
        <f>EXP(-LN(2)/25)*BQ152+(1-EXP(-LN(2)/25))/(LN(2)/25)*Calculateur!BL153*Calculateur!BN153*VLOOKUP('Données projet'!$B$11,Paramètres!$A$1:$I$89,3,0)*0.475*44/12</f>
        <v>0.70086852075670258</v>
      </c>
      <c r="BR153" s="21">
        <f>EXP(-LN(2)/2)*BR152+(1-EXP(-LN(2)/2))/(LN(2)/2)*BL153*BO153*VLOOKUP('Données projet'!$B$11,Paramètres!$A$1:$I$89,3,0)*0.475*44/12</f>
        <v>7.7720925104468636E-18</v>
      </c>
      <c r="BS153" s="22">
        <f t="shared" si="117"/>
        <v>0.90808675684397344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6.2527760746888816E-13</v>
      </c>
      <c r="BZ153" s="13">
        <f>BY153*VLOOKUP('Données projet'!$B$12,Paramètres!$A$1:$I$89,3,0)*VLOOKUP('Données projet'!$B$12,Paramètres!$A$1:$I$89,5,0)</f>
        <v>3.4953018257510848E-13</v>
      </c>
      <c r="CA153" s="13">
        <f t="shared" si="147"/>
        <v>4.5391562386470354E-12</v>
      </c>
      <c r="CB153" s="20">
        <f t="shared" si="118"/>
        <v>8.5144621836285662E-12</v>
      </c>
      <c r="CC153" s="59">
        <f t="shared" si="119"/>
        <v>293.33333333334184</v>
      </c>
      <c r="CD153" s="59">
        <f ca="1">AVERAGE(OFFSET($CC$3,0,0,'Données projet'!$E$12+1,1))-AVERAGE(OFFSET($H$3,0,0,'Données projet'!$E$12+1,1))</f>
        <v>190.08613104982993</v>
      </c>
      <c r="CE153" s="59">
        <f t="shared" si="148"/>
        <v>180.55054525447781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0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497</v>
      </c>
      <c r="CU153" s="17">
        <f>CT153*VLOOKUP('Données projet'!$B$13,Paramètres!$A$1:$I$89,3,0)*VLOOKUP('Données projet'!$B$13,Paramètres!$A$1:$I$89,5,0)</f>
        <v>297.20600000000002</v>
      </c>
      <c r="CV153" s="13">
        <f t="shared" si="149"/>
        <v>70.590415164571112</v>
      </c>
      <c r="CW153" s="20">
        <f t="shared" si="121"/>
        <v>640.57875641162809</v>
      </c>
      <c r="CX153" s="59">
        <f t="shared" si="122"/>
        <v>933.91208974496135</v>
      </c>
      <c r="CY153" s="59">
        <f ca="1">AVERAGE(OFFSET($CX$3,0,0,'Données projet'!$E$13+1,1))-AVERAGE(OFFSET($H$3,0,0,'Données projet'!$E$13+1,1))</f>
        <v>270.30888762640245</v>
      </c>
      <c r="CZ153" s="59">
        <f t="shared" si="150"/>
        <v>202.23783851977691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0.19892550182004295</v>
      </c>
      <c r="DG153" s="21">
        <f>EXP(-LN(2)/25)*DG152+(1-EXP(-LN(2)/25))/(LN(2)/25)*Calculateur!DB153*Calculateur!DD153*VLOOKUP('Données projet'!$B$13,Paramètres!$A$1:$I$89,3,0)*0.475*44/12</f>
        <v>0.4413589188062203</v>
      </c>
      <c r="DH153" s="21">
        <f>EXP(-LN(2)/2)*DH152+(1-EXP(-LN(2)/2))/(LN(2)/2)*DB153*DE153*VLOOKUP('Données projet'!$B$13,Paramètres!$A$1:$I$89,3,0)*0.475*44/12</f>
        <v>1.6039781123493461E-17</v>
      </c>
      <c r="DI153" s="22">
        <f t="shared" si="123"/>
        <v>0.64028442062626323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433.00000000000011</v>
      </c>
      <c r="DP153" s="17">
        <f>DO153*VLOOKUP('Données projet'!$B$14,Paramètres!$A$1:$I$89,3,0)*VLOOKUP('Données projet'!$B$14,Paramètres!$A$1:$I$89,5,0)</f>
        <v>258.93400000000008</v>
      </c>
      <c r="DQ153" s="13">
        <f t="shared" si="151"/>
        <v>62.495095530116075</v>
      </c>
      <c r="DR153" s="20">
        <f t="shared" si="124"/>
        <v>559.82234138161891</v>
      </c>
      <c r="DS153" s="59">
        <f t="shared" si="125"/>
        <v>853.15567471495228</v>
      </c>
      <c r="DT153" s="59">
        <f ca="1">AVERAGE(OFFSET($DS$3,0,0,'Données projet'!$E$14+1,1))-AVERAGE(OFFSET($H$3,0,0,'Données projet'!$E$14+1,1))</f>
        <v>221.14988592347311</v>
      </c>
      <c r="DU153" s="59">
        <f t="shared" si="152"/>
        <v>179.09262081171607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0.21218720194137922</v>
      </c>
      <c r="EB153" s="21">
        <f>EXP(-LN(2)/25)*EB152+(1-EXP(-LN(2)/25))/(LN(2)/25)*Calculateur!DW153*Calculateur!DY153*VLOOKUP('Données projet'!$B$14,Paramètres!$A$1:$I$89,3,0)*0.475*44/12</f>
        <v>0.36760144055565447</v>
      </c>
      <c r="EC153" s="21">
        <f>EXP(-LN(2)/2)*EC152+(1-EXP(-LN(2)/2))/(LN(2)/2)*DW153*DZ153*VLOOKUP('Données projet'!$B$14,Paramètres!$A$1:$I$89,3,0)*0.475*44/12</f>
        <v>1.6913343573697454E-17</v>
      </c>
      <c r="ED153" s="22">
        <f t="shared" si="126"/>
        <v>0.57978864249703366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2.2737367544323206E-13</v>
      </c>
      <c r="EK153" s="17">
        <f>EJ153*VLOOKUP('Données projet'!$B$15,Paramètres!$A$1:$I$89,3,0)*VLOOKUP('Données projet'!$B$15,Paramètres!$A$1:$I$89,5,0)</f>
        <v>1.2414602679200471E-13</v>
      </c>
      <c r="EL153" s="13">
        <f t="shared" si="153"/>
        <v>1.8186582995804361E-12</v>
      </c>
      <c r="EM153" s="20">
        <f t="shared" si="127"/>
        <v>3.3837175350986671E-12</v>
      </c>
      <c r="EN153" s="59">
        <f t="shared" si="128"/>
        <v>293.33333333333672</v>
      </c>
      <c r="EO153" s="59">
        <f ca="1">AVERAGE(OFFSET($EN$3,0,0,'Données projet'!$E$15+1,1))-AVERAGE(OFFSET($H$3,0,0,'Données projet'!$E$15+1,1))</f>
        <v>168.72306536277267</v>
      </c>
      <c r="EP153" s="59">
        <f t="shared" si="154"/>
        <v>203.35476578922339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0.28253187215020586</v>
      </c>
      <c r="EW153" s="21">
        <f>EXP(-LN(2)/25)*EW152+(1-EXP(-LN(2)/25))/(LN(2)/25)*Calculateur!ER153*Calculateur!ET153*VLOOKUP('Données projet'!$B$15,Paramètres!$A$1:$I$89,3,0)*0.475*44/12</f>
        <v>0.82508926374710367</v>
      </c>
      <c r="EX153" s="21">
        <f>EXP(-LN(2)/2)*EX152+(1-EXP(-LN(2)/2))/(LN(2)/2)*ER153*EU153*VLOOKUP('Données projet'!$B$15,Paramètres!$A$1:$I$89,3,0)*0.475*44/12</f>
        <v>1.7367918407348569E-17</v>
      </c>
      <c r="EY153" s="22">
        <f t="shared" si="129"/>
        <v>1.1076211358973096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3.4106051316484809E-13</v>
      </c>
      <c r="FF153" s="17">
        <f>FE153*VLOOKUP('Données projet'!$B$16,Paramètres!$A$1:$I$89,3,0)*VLOOKUP('Données projet'!$B$16,Paramètres!$A$1:$I$89,5,0)</f>
        <v>1.8621904018800707E-13</v>
      </c>
      <c r="FG153" s="13">
        <f t="shared" si="155"/>
        <v>2.6022279988572714E-12</v>
      </c>
      <c r="FH153" s="20">
        <f t="shared" si="130"/>
        <v>4.8565452596705266E-12</v>
      </c>
      <c r="FI153" s="59">
        <f t="shared" si="131"/>
        <v>293.33333333333815</v>
      </c>
      <c r="FJ153" s="59">
        <f ca="1">AVERAGE(OFFSET($FI$3,0,0,'Données projet'!$E$16+1,1))-AVERAGE(OFFSET($H$3,0,0,'Données projet'!$E$16+1,1))</f>
        <v>127.76128532861486</v>
      </c>
      <c r="FK153" s="59">
        <f t="shared" si="156"/>
        <v>157.52303491639736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>
        <f>EXP(-LN(2)/35)*FQ152+(1-EXP(-LN(2)/35))/(LN(2)/35)*FM153*FN153*VLOOKUP('Données projet'!$B$16,Paramètres!$A$1:$I$89,3,0)*0.475*44/12</f>
        <v>0.2260254977201647</v>
      </c>
      <c r="FR153" s="21">
        <f>EXP(-LN(2)/25)*FR152+(1-EXP(-LN(2)/25))/(LN(2)/25)*Calculateur!FM153*Calculateur!FO153*VLOOKUP('Données projet'!$B$16,Paramètres!$A$1:$I$89,3,0)*0.475*44/12</f>
        <v>0.58588173688670131</v>
      </c>
      <c r="FS153" s="21">
        <f>EXP(-LN(2)/2)*FS152+(1-EXP(-LN(2)/2))/(LN(2)/2)*FM153*FP153*VLOOKUP('Données projet'!$B$16,Paramètres!$A$1:$I$89,3,0)*0.475*44/12</f>
        <v>1.3788769954083212E-17</v>
      </c>
      <c r="FT153" s="22">
        <f t="shared" si="132"/>
        <v>0.81190723460686598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3.0945512820512846</v>
      </c>
      <c r="N154" s="13">
        <f>IF('Données projet'!$A$36&gt;35,N153+M154-V153,IF(A154&lt;'Données projet'!$A$36,$K$205^A154,IF(A154='Données projet'!$A$36,'Données projet'!$B$36,N153+M154-V153)))</f>
        <v>188.86858974358921</v>
      </c>
      <c r="O154" s="13">
        <f>N154*VLOOKUP('Données projet'!$B$9,Paramètres!$A$1:$I$89,3,0)*VLOOKUP('Données projet'!$B$9,Paramètres!$A$1:$I$89,5,0)</f>
        <v>170.8882999999995</v>
      </c>
      <c r="P154" s="13">
        <f t="shared" si="141"/>
        <v>43.288912849762468</v>
      </c>
      <c r="Q154" s="20">
        <f t="shared" ref="Q154:Q203" si="162">(O154+P154)*0.475*44/12</f>
        <v>373.02531238000211</v>
      </c>
      <c r="R154" s="59">
        <f t="shared" si="109"/>
        <v>666.35864571333536</v>
      </c>
      <c r="S154" s="59">
        <f ca="1">AVERAGE(OFFSET($R$3,0,0,'Données projet'!$E$9+1,1))-AVERAGE(OFFSET($H$3,0,0,'Données projet'!$E$9+1,1))</f>
        <v>153.45079678708987</v>
      </c>
      <c r="T154" s="59">
        <f t="shared" si="142"/>
        <v>115.4217868409637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0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5.0924145299145307</v>
      </c>
      <c r="AI154" s="13">
        <f>IF('Données projet'!$A$62&gt;35,AI153+AH154-AQ153,IF(A154&lt;'Données projet'!$A$62,$AF$205^A154,IF(A154='Données projet'!$A$62,'Données projet'!$B$62,AI153+AH154-AQ153)))</f>
        <v>257.10202991452974</v>
      </c>
      <c r="AJ154" s="13">
        <f>AI154*VLOOKUP('Données projet'!$B$10,Paramètres!$A$1:$I$89,3,0)*VLOOKUP('Données projet'!$B$10,Paramètres!$A$1:$I$89,5,0)</f>
        <v>232.62591666666648</v>
      </c>
      <c r="AK154" s="13">
        <f t="shared" ref="AK154:AK203" si="164">EXP(-1.0587+0.8836*LN(AJ154)+0.284)</f>
        <v>56.850090425284947</v>
      </c>
      <c r="AL154" s="20">
        <f t="shared" ref="AL154:AL203" si="165">(AJ154+AK154)*0.475*44/12</f>
        <v>504.17071235181538</v>
      </c>
      <c r="AM154" s="59">
        <f t="shared" si="113"/>
        <v>797.50404568514864</v>
      </c>
      <c r="AN154" s="59">
        <f ca="1">AVERAGE(OFFSET($AM$3,0,0,'Données projet'!$E$10+1,1))-AVERAGE(OFFSET($H$3,0,0,'Données projet'!$E$10+1,1))</f>
        <v>123.92486590666675</v>
      </c>
      <c r="AO154" s="59">
        <f t="shared" si="144"/>
        <v>54.404493017418986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0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1.1368683772161603E-13</v>
      </c>
      <c r="BE154" s="13">
        <f>BD154*VLOOKUP('Données projet'!$B$11,Paramètres!$A$1:$I$89,3,0)*VLOOKUP('Données projet'!$B$11,Paramètres!$A$1:$I$89,5,0)</f>
        <v>6.3550942286383367E-14</v>
      </c>
      <c r="BF154" s="13">
        <f t="shared" ref="BF154:BF203" si="167">EXP(-1.0587+0.8836*LN(BE154)+0.284)</f>
        <v>1.0064464192543978E-12</v>
      </c>
      <c r="BG154" s="20">
        <f t="shared" ref="BG154:BG203" si="168">(BE154+BF154)*0.475*44/12</f>
        <v>1.8635787380168604E-12</v>
      </c>
      <c r="BH154" s="59">
        <f t="shared" si="116"/>
        <v>293.33333333333519</v>
      </c>
      <c r="BI154" s="59">
        <f ca="1">AVERAGE(OFFSET($BH$3,0,0,'Données projet'!$E$11+1,1))-AVERAGE(OFFSET($H$3,0,0,'Données projet'!$E$11+1,1))</f>
        <v>224.7049802939942</v>
      </c>
      <c r="BJ154" s="59">
        <f t="shared" si="146"/>
        <v>203.48513862195352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0.20315481286824347</v>
      </c>
      <c r="BQ154" s="21">
        <f>EXP(-LN(2)/25)*BQ153+(1-EXP(-LN(2)/25))/(LN(2)/25)*Calculateur!BL154*Calculateur!BN154*VLOOKUP('Données projet'!$B$11,Paramètres!$A$1:$I$89,3,0)*0.475*44/12</f>
        <v>0.68170323419953693</v>
      </c>
      <c r="BR154" s="21">
        <f>EXP(-LN(2)/2)*BR153+(1-EXP(-LN(2)/2))/(LN(2)/2)*BL154*BO154*VLOOKUP('Données projet'!$B$11,Paramètres!$A$1:$I$89,3,0)*0.475*44/12</f>
        <v>5.4956993181461552E-18</v>
      </c>
      <c r="BS154" s="22">
        <f t="shared" ref="BS154:BS203" si="169">SUM(BP154:BR154)</f>
        <v>0.88485804706778037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6.2527760746888816E-13</v>
      </c>
      <c r="BZ154" s="13">
        <f>BY154*VLOOKUP('Données projet'!$B$12,Paramètres!$A$1:$I$89,3,0)*VLOOKUP('Données projet'!$B$12,Paramètres!$A$1:$I$89,5,0)</f>
        <v>3.4953018257510848E-13</v>
      </c>
      <c r="CA154" s="13">
        <f t="shared" ref="CA154:CA203" si="170">EXP(-1.0587+0.8836*LN(BZ154)+0.284)</f>
        <v>4.5391562386470354E-12</v>
      </c>
      <c r="CB154" s="20">
        <f t="shared" ref="CB154:CB203" si="171">(BZ154+CA154)*0.475*44/12</f>
        <v>8.5144621836285662E-12</v>
      </c>
      <c r="CC154" s="59">
        <f t="shared" si="119"/>
        <v>293.33333333334184</v>
      </c>
      <c r="CD154" s="59">
        <f ca="1">AVERAGE(OFFSET($CC$3,0,0,'Données projet'!$E$12+1,1))-AVERAGE(OFFSET($H$3,0,0,'Données projet'!$E$12+1,1))</f>
        <v>190.08613104982993</v>
      </c>
      <c r="CE154" s="59">
        <f t="shared" si="148"/>
        <v>180.55054525447781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0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497</v>
      </c>
      <c r="CU154" s="17">
        <f>CT154*VLOOKUP('Données projet'!$B$13,Paramètres!$A$1:$I$89,3,0)*VLOOKUP('Données projet'!$B$13,Paramètres!$A$1:$I$89,5,0)</f>
        <v>297.20600000000002</v>
      </c>
      <c r="CV154" s="13">
        <f t="shared" ref="CV154:CV203" si="173">EXP(-1.0587+0.8836*LN(CU154)+0.284)</f>
        <v>70.590415164571112</v>
      </c>
      <c r="CW154" s="20">
        <f t="shared" ref="CW154:CW203" si="174">(CU154+CV154)*0.475*44/12</f>
        <v>640.57875641162809</v>
      </c>
      <c r="CX154" s="59">
        <f t="shared" si="122"/>
        <v>933.91208974496135</v>
      </c>
      <c r="CY154" s="59">
        <f ca="1">AVERAGE(OFFSET($CX$3,0,0,'Données projet'!$E$13+1,1))-AVERAGE(OFFSET($H$3,0,0,'Données projet'!$E$13+1,1))</f>
        <v>270.30888762640245</v>
      </c>
      <c r="CZ154" s="59">
        <f t="shared" si="150"/>
        <v>202.23783851977691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0.19502469406192743</v>
      </c>
      <c r="DG154" s="21">
        <f>EXP(-LN(2)/25)*DG153+(1-EXP(-LN(2)/25))/(LN(2)/25)*Calculateur!DB154*Calculateur!DD154*VLOOKUP('Données projet'!$B$13,Paramètres!$A$1:$I$89,3,0)*0.475*44/12</f>
        <v>0.42928993596140741</v>
      </c>
      <c r="DH154" s="21">
        <f>EXP(-LN(2)/2)*DH153+(1-EXP(-LN(2)/2))/(LN(2)/2)*DB154*DE154*VLOOKUP('Données projet'!$B$13,Paramètres!$A$1:$I$89,3,0)*0.475*44/12</f>
        <v>1.1341838001170207E-17</v>
      </c>
      <c r="DI154" s="22">
        <f t="shared" ref="DI154:DI203" si="175">SUM(DF154:DH154)</f>
        <v>0.62431463002333487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433.00000000000011</v>
      </c>
      <c r="DP154" s="17">
        <f>DO154*VLOOKUP('Données projet'!$B$14,Paramètres!$A$1:$I$89,3,0)*VLOOKUP('Données projet'!$B$14,Paramètres!$A$1:$I$89,5,0)</f>
        <v>258.93400000000008</v>
      </c>
      <c r="DQ154" s="13">
        <f t="shared" ref="DQ154:DQ203" si="176">EXP(-1.0587+0.8836*LN(DP154)+0.284)</f>
        <v>62.495095530116075</v>
      </c>
      <c r="DR154" s="20">
        <f t="shared" ref="DR154:DR203" si="177">(DP154+DQ154)*0.475*44/12</f>
        <v>559.82234138161891</v>
      </c>
      <c r="DS154" s="59">
        <f t="shared" si="125"/>
        <v>853.15567471495228</v>
      </c>
      <c r="DT154" s="59">
        <f ca="1">AVERAGE(OFFSET($DS$3,0,0,'Données projet'!$E$14+1,1))-AVERAGE(OFFSET($H$3,0,0,'Données projet'!$E$14+1,1))</f>
        <v>221.14988592347311</v>
      </c>
      <c r="DU154" s="59">
        <f t="shared" si="152"/>
        <v>179.09262081171607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0.20802634033272266</v>
      </c>
      <c r="EB154" s="21">
        <f>EXP(-LN(2)/25)*EB153+(1-EXP(-LN(2)/25))/(LN(2)/25)*Calculateur!DW154*Calculateur!DY154*VLOOKUP('Données projet'!$B$14,Paramètres!$A$1:$I$89,3,0)*0.475*44/12</f>
        <v>0.35754935983234049</v>
      </c>
      <c r="EC154" s="21">
        <f>EXP(-LN(2)/2)*EC153+(1-EXP(-LN(2)/2))/(LN(2)/2)*DW154*DZ154*VLOOKUP('Données projet'!$B$14,Paramètres!$A$1:$I$89,3,0)*0.475*44/12</f>
        <v>1.1959539933499385E-17</v>
      </c>
      <c r="ED154" s="22">
        <f t="shared" ref="ED154:ED203" si="178">SUM(EA154:EC154)</f>
        <v>0.5655757001650632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2.2737367544323206E-13</v>
      </c>
      <c r="EK154" s="17">
        <f>EJ154*VLOOKUP('Données projet'!$B$15,Paramètres!$A$1:$I$89,3,0)*VLOOKUP('Données projet'!$B$15,Paramètres!$A$1:$I$89,5,0)</f>
        <v>1.2414602679200471E-13</v>
      </c>
      <c r="EL154" s="13">
        <f t="shared" ref="EL154:EL203" si="179">EXP(-1.0587+0.8836*LN(EK154)+0.284)</f>
        <v>1.8186582995804361E-12</v>
      </c>
      <c r="EM154" s="20">
        <f t="shared" ref="EM154:EM203" si="180">(EK154+EL154)*0.475*44/12</f>
        <v>3.3837175350986671E-12</v>
      </c>
      <c r="EN154" s="59">
        <f t="shared" si="128"/>
        <v>293.33333333333672</v>
      </c>
      <c r="EO154" s="59">
        <f ca="1">AVERAGE(OFFSET($EN$3,0,0,'Données projet'!$E$15+1,1))-AVERAGE(OFFSET($H$3,0,0,'Données projet'!$E$15+1,1))</f>
        <v>168.72306536277267</v>
      </c>
      <c r="EP154" s="59">
        <f t="shared" si="154"/>
        <v>203.35476578922339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0.2769915944647664</v>
      </c>
      <c r="EW154" s="21">
        <f>EXP(-LN(2)/25)*EW153+(1-EXP(-LN(2)/25))/(LN(2)/25)*Calculateur!ER154*Calculateur!ET154*VLOOKUP('Données projet'!$B$15,Paramètres!$A$1:$I$89,3,0)*0.475*44/12</f>
        <v>0.80252715444038047</v>
      </c>
      <c r="EX154" s="21">
        <f>EXP(-LN(2)/2)*EX153+(1-EXP(-LN(2)/2))/(LN(2)/2)*ER154*EU154*VLOOKUP('Données projet'!$B$15,Paramètres!$A$1:$I$89,3,0)*0.475*44/12</f>
        <v>1.2280972880930836E-17</v>
      </c>
      <c r="EY154" s="22">
        <f t="shared" ref="EY154:EY203" si="181">SUM(EV154:EX154)</f>
        <v>1.079518748905147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3.4106051316484809E-13</v>
      </c>
      <c r="FF154" s="17">
        <f>FE154*VLOOKUP('Données projet'!$B$16,Paramètres!$A$1:$I$89,3,0)*VLOOKUP('Données projet'!$B$16,Paramètres!$A$1:$I$89,5,0)</f>
        <v>1.8621904018800707E-13</v>
      </c>
      <c r="FG154" s="13">
        <f t="shared" ref="FG154:FG203" si="182">EXP(-1.0587+0.8836*LN(FF154)+0.284)</f>
        <v>2.6022279988572714E-12</v>
      </c>
      <c r="FH154" s="20">
        <f t="shared" ref="FH154:FH203" si="183">(FF154+FG154)*0.475*44/12</f>
        <v>4.8565452596705266E-12</v>
      </c>
      <c r="FI154" s="59">
        <f t="shared" si="131"/>
        <v>293.33333333333815</v>
      </c>
      <c r="FJ154" s="59">
        <f ca="1">AVERAGE(OFFSET($FI$3,0,0,'Données projet'!$E$16+1,1))-AVERAGE(OFFSET($H$3,0,0,'Données projet'!$E$16+1,1))</f>
        <v>127.76128532861486</v>
      </c>
      <c r="FK154" s="59">
        <f t="shared" si="156"/>
        <v>157.52303491639736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>
        <f>EXP(-LN(2)/35)*FQ153+(1-EXP(-LN(2)/35))/(LN(2)/35)*FM154*FN154*VLOOKUP('Données projet'!$B$16,Paramètres!$A$1:$I$89,3,0)*0.475*44/12</f>
        <v>0.22159327557181313</v>
      </c>
      <c r="FR154" s="21">
        <f>EXP(-LN(2)/25)*FR153+(1-EXP(-LN(2)/25))/(LN(2)/25)*Calculateur!FM154*Calculateur!FO154*VLOOKUP('Données projet'!$B$16,Paramètres!$A$1:$I$89,3,0)*0.475*44/12</f>
        <v>0.56986076998135293</v>
      </c>
      <c r="FS154" s="21">
        <f>EXP(-LN(2)/2)*FS153+(1-EXP(-LN(2)/2))/(LN(2)/2)*FM154*FP154*VLOOKUP('Données projet'!$B$16,Paramètres!$A$1:$I$89,3,0)*0.475*44/12</f>
        <v>9.7501327387535591E-18</v>
      </c>
      <c r="FT154" s="22">
        <f t="shared" ref="FT154:FT203" si="184">SUM(FQ154:FS154)</f>
        <v>0.79145404555316601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3.0945512820512846</v>
      </c>
      <c r="N155" s="13">
        <f>IF('Données projet'!$A$36&gt;35,N154+M155-V154,IF(A155&lt;'Données projet'!$A$36,$K$205^A155,IF(A155='Données projet'!$A$36,'Données projet'!$B$36,N154+M155-V154)))</f>
        <v>191.96314102564048</v>
      </c>
      <c r="O155" s="13">
        <f>N155*VLOOKUP('Données projet'!$B$9,Paramètres!$A$1:$I$89,3,0)*VLOOKUP('Données projet'!$B$9,Paramètres!$A$1:$I$89,5,0)</f>
        <v>173.6882499999995</v>
      </c>
      <c r="P155" s="13">
        <f t="shared" si="141"/>
        <v>43.915034185437626</v>
      </c>
      <c r="Q155" s="20">
        <f t="shared" si="162"/>
        <v>378.99238662296966</v>
      </c>
      <c r="R155" s="59">
        <f t="shared" si="109"/>
        <v>672.32571995630292</v>
      </c>
      <c r="S155" s="59">
        <f ca="1">AVERAGE(OFFSET($R$3,0,0,'Données projet'!$E$9+1,1))-AVERAGE(OFFSET($H$3,0,0,'Données projet'!$E$9+1,1))</f>
        <v>153.45079678708987</v>
      </c>
      <c r="T155" s="59">
        <f t="shared" si="142"/>
        <v>115.4217868409637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0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5.0924145299145307</v>
      </c>
      <c r="AI155" s="13">
        <f>IF('Données projet'!$A$62&gt;35,AI154+AH155-AQ154,IF(A155&lt;'Données projet'!$A$62,$AF$205^A155,IF(A155='Données projet'!$A$62,'Données projet'!$B$62,AI154+AH155-AQ154)))</f>
        <v>262.19444444444429</v>
      </c>
      <c r="AJ155" s="13">
        <f>AI155*VLOOKUP('Données projet'!$B$10,Paramètres!$A$1:$I$89,3,0)*VLOOKUP('Données projet'!$B$10,Paramètres!$A$1:$I$89,5,0)</f>
        <v>237.23353333333318</v>
      </c>
      <c r="AK155" s="13">
        <f t="shared" si="164"/>
        <v>57.843910665604952</v>
      </c>
      <c r="AL155" s="20">
        <f t="shared" si="165"/>
        <v>513.92654829815058</v>
      </c>
      <c r="AM155" s="59">
        <f t="shared" si="113"/>
        <v>807.25988163148395</v>
      </c>
      <c r="AN155" s="59">
        <f ca="1">AVERAGE(OFFSET($AM$3,0,0,'Données projet'!$E$10+1,1))-AVERAGE(OFFSET($H$3,0,0,'Données projet'!$E$10+1,1))</f>
        <v>123.92486590666675</v>
      </c>
      <c r="AO155" s="59">
        <f t="shared" si="144"/>
        <v>54.404493017418986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0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1.1368683772161603E-13</v>
      </c>
      <c r="BE155" s="13">
        <f>BD155*VLOOKUP('Données projet'!$B$11,Paramètres!$A$1:$I$89,3,0)*VLOOKUP('Données projet'!$B$11,Paramètres!$A$1:$I$89,5,0)</f>
        <v>6.3550942286383367E-14</v>
      </c>
      <c r="BF155" s="13">
        <f t="shared" si="167"/>
        <v>1.0064464192543978E-12</v>
      </c>
      <c r="BG155" s="20">
        <f t="shared" si="168"/>
        <v>1.8635787380168604E-12</v>
      </c>
      <c r="BH155" s="59">
        <f t="shared" si="116"/>
        <v>293.33333333333519</v>
      </c>
      <c r="BI155" s="59">
        <f ca="1">AVERAGE(OFFSET($BH$3,0,0,'Données projet'!$E$11+1,1))-AVERAGE(OFFSET($H$3,0,0,'Données projet'!$E$11+1,1))</f>
        <v>224.7049802939942</v>
      </c>
      <c r="BJ155" s="59">
        <f t="shared" si="146"/>
        <v>203.48513862195352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0.19917107090009775</v>
      </c>
      <c r="BQ155" s="21">
        <f>EXP(-LN(2)/25)*BQ154+(1-EXP(-LN(2)/25))/(LN(2)/25)*Calculateur!BL155*Calculateur!BN155*VLOOKUP('Données projet'!$B$11,Paramètres!$A$1:$I$89,3,0)*0.475*44/12</f>
        <v>0.66306202341113551</v>
      </c>
      <c r="BR155" s="21">
        <f>EXP(-LN(2)/2)*BR154+(1-EXP(-LN(2)/2))/(LN(2)/2)*BL155*BO155*VLOOKUP('Données projet'!$B$11,Paramètres!$A$1:$I$89,3,0)*0.475*44/12</f>
        <v>3.8860462552234318E-18</v>
      </c>
      <c r="BS155" s="22">
        <f t="shared" si="169"/>
        <v>0.86223309431123329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6.2527760746888816E-13</v>
      </c>
      <c r="BZ155" s="13">
        <f>BY155*VLOOKUP('Données projet'!$B$12,Paramètres!$A$1:$I$89,3,0)*VLOOKUP('Données projet'!$B$12,Paramètres!$A$1:$I$89,5,0)</f>
        <v>3.4953018257510848E-13</v>
      </c>
      <c r="CA155" s="13">
        <f t="shared" si="170"/>
        <v>4.5391562386470354E-12</v>
      </c>
      <c r="CB155" s="20">
        <f t="shared" si="171"/>
        <v>8.5144621836285662E-12</v>
      </c>
      <c r="CC155" s="59">
        <f t="shared" si="119"/>
        <v>293.33333333334184</v>
      </c>
      <c r="CD155" s="59">
        <f ca="1">AVERAGE(OFFSET($CC$3,0,0,'Données projet'!$E$12+1,1))-AVERAGE(OFFSET($H$3,0,0,'Données projet'!$E$12+1,1))</f>
        <v>190.08613104982993</v>
      </c>
      <c r="CE155" s="59">
        <f t="shared" si="148"/>
        <v>180.55054525447781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0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497</v>
      </c>
      <c r="CU155" s="17">
        <f>CT155*VLOOKUP('Données projet'!$B$13,Paramètres!$A$1:$I$89,3,0)*VLOOKUP('Données projet'!$B$13,Paramètres!$A$1:$I$89,5,0)</f>
        <v>297.20600000000002</v>
      </c>
      <c r="CV155" s="13">
        <f t="shared" si="173"/>
        <v>70.590415164571112</v>
      </c>
      <c r="CW155" s="20">
        <f t="shared" si="174"/>
        <v>640.57875641162809</v>
      </c>
      <c r="CX155" s="59">
        <f t="shared" si="122"/>
        <v>933.91208974496135</v>
      </c>
      <c r="CY155" s="59">
        <f ca="1">AVERAGE(OFFSET($CX$3,0,0,'Données projet'!$E$13+1,1))-AVERAGE(OFFSET($H$3,0,0,'Données projet'!$E$13+1,1))</f>
        <v>270.30888762640245</v>
      </c>
      <c r="CZ155" s="59">
        <f t="shared" si="150"/>
        <v>202.23783851977691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0.19120037876469076</v>
      </c>
      <c r="DG155" s="21">
        <f>EXP(-LN(2)/25)*DG154+(1-EXP(-LN(2)/25))/(LN(2)/25)*Calculateur!DB155*Calculateur!DD155*VLOOKUP('Données projet'!$B$13,Paramètres!$A$1:$I$89,3,0)*0.475*44/12</f>
        <v>0.41755098008716612</v>
      </c>
      <c r="DH155" s="21">
        <f>EXP(-LN(2)/2)*DH154+(1-EXP(-LN(2)/2))/(LN(2)/2)*DB155*DE155*VLOOKUP('Données projet'!$B$13,Paramètres!$A$1:$I$89,3,0)*0.475*44/12</f>
        <v>8.0198905617467307E-18</v>
      </c>
      <c r="DI155" s="22">
        <f t="shared" si="175"/>
        <v>0.60875135885185694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433.00000000000011</v>
      </c>
      <c r="DP155" s="17">
        <f>DO155*VLOOKUP('Données projet'!$B$14,Paramètres!$A$1:$I$89,3,0)*VLOOKUP('Données projet'!$B$14,Paramètres!$A$1:$I$89,5,0)</f>
        <v>258.93400000000008</v>
      </c>
      <c r="DQ155" s="13">
        <f t="shared" si="176"/>
        <v>62.495095530116075</v>
      </c>
      <c r="DR155" s="20">
        <f t="shared" si="177"/>
        <v>559.82234138161891</v>
      </c>
      <c r="DS155" s="59">
        <f t="shared" si="125"/>
        <v>853.15567471495228</v>
      </c>
      <c r="DT155" s="59">
        <f ca="1">AVERAGE(OFFSET($DS$3,0,0,'Données projet'!$E$14+1,1))-AVERAGE(OFFSET($H$3,0,0,'Données projet'!$E$14+1,1))</f>
        <v>221.14988592347311</v>
      </c>
      <c r="DU155" s="59">
        <f t="shared" si="152"/>
        <v>179.09262081171607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0.20394707068233686</v>
      </c>
      <c r="EB155" s="21">
        <f>EXP(-LN(2)/25)*EB154+(1-EXP(-LN(2)/25))/(LN(2)/25)*Calculateur!DW155*Calculateur!DY155*VLOOKUP('Données projet'!$B$14,Paramètres!$A$1:$I$89,3,0)*0.475*44/12</f>
        <v>0.34777215378502147</v>
      </c>
      <c r="EC155" s="21">
        <f>EXP(-LN(2)/2)*EC154+(1-EXP(-LN(2)/2))/(LN(2)/2)*DW155*DZ155*VLOOKUP('Données projet'!$B$14,Paramètres!$A$1:$I$89,3,0)*0.475*44/12</f>
        <v>8.4566717868487269E-18</v>
      </c>
      <c r="ED155" s="22">
        <f t="shared" si="178"/>
        <v>0.55171922446735833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2.2737367544323206E-13</v>
      </c>
      <c r="EK155" s="17">
        <f>EJ155*VLOOKUP('Données projet'!$B$15,Paramètres!$A$1:$I$89,3,0)*VLOOKUP('Données projet'!$B$15,Paramètres!$A$1:$I$89,5,0)</f>
        <v>1.2414602679200471E-13</v>
      </c>
      <c r="EL155" s="13">
        <f t="shared" si="179"/>
        <v>1.8186582995804361E-12</v>
      </c>
      <c r="EM155" s="20">
        <f t="shared" si="180"/>
        <v>3.3837175350986671E-12</v>
      </c>
      <c r="EN155" s="59">
        <f t="shared" si="128"/>
        <v>293.33333333333672</v>
      </c>
      <c r="EO155" s="59">
        <f ca="1">AVERAGE(OFFSET($EN$3,0,0,'Données projet'!$E$15+1,1))-AVERAGE(OFFSET($H$3,0,0,'Données projet'!$E$15+1,1))</f>
        <v>168.72306536277267</v>
      </c>
      <c r="EP155" s="59">
        <f t="shared" si="154"/>
        <v>203.35476578922339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0.27155995824550272</v>
      </c>
      <c r="EW155" s="21">
        <f>EXP(-LN(2)/25)*EW154+(1-EXP(-LN(2)/25))/(LN(2)/25)*Calculateur!ER155*Calculateur!ET155*VLOOKUP('Données projet'!$B$15,Paramètres!$A$1:$I$89,3,0)*0.475*44/12</f>
        <v>0.78058200719913939</v>
      </c>
      <c r="EX155" s="21">
        <f>EXP(-LN(2)/2)*EX154+(1-EXP(-LN(2)/2))/(LN(2)/2)*ER155*EU155*VLOOKUP('Données projet'!$B$15,Paramètres!$A$1:$I$89,3,0)*0.475*44/12</f>
        <v>8.6839592036742847E-18</v>
      </c>
      <c r="EY155" s="22">
        <f t="shared" si="181"/>
        <v>1.0521419654446422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3.4106051316484809E-13</v>
      </c>
      <c r="FF155" s="17">
        <f>FE155*VLOOKUP('Données projet'!$B$16,Paramètres!$A$1:$I$89,3,0)*VLOOKUP('Données projet'!$B$16,Paramètres!$A$1:$I$89,5,0)</f>
        <v>1.8621904018800707E-13</v>
      </c>
      <c r="FG155" s="13">
        <f t="shared" si="182"/>
        <v>2.6022279988572714E-12</v>
      </c>
      <c r="FH155" s="20">
        <f t="shared" si="183"/>
        <v>4.8565452596705266E-12</v>
      </c>
      <c r="FI155" s="59">
        <f t="shared" si="131"/>
        <v>293.33333333333815</v>
      </c>
      <c r="FJ155" s="59">
        <f ca="1">AVERAGE(OFFSET($FI$3,0,0,'Données projet'!$E$16+1,1))-AVERAGE(OFFSET($H$3,0,0,'Données projet'!$E$16+1,1))</f>
        <v>127.76128532861486</v>
      </c>
      <c r="FK155" s="59">
        <f t="shared" si="156"/>
        <v>157.52303491639736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>
        <f>EXP(-LN(2)/35)*FQ154+(1-EXP(-LN(2)/35))/(LN(2)/35)*FM155*FN155*VLOOKUP('Données projet'!$B$16,Paramètres!$A$1:$I$89,3,0)*0.475*44/12</f>
        <v>0.21724796659640216</v>
      </c>
      <c r="FR155" s="21">
        <f>EXP(-LN(2)/25)*FR154+(1-EXP(-LN(2)/25))/(LN(2)/25)*Calculateur!FM155*Calculateur!FO155*VLOOKUP('Données projet'!$B$16,Paramètres!$A$1:$I$89,3,0)*0.475*44/12</f>
        <v>0.55427789725853738</v>
      </c>
      <c r="FS155" s="21">
        <f>EXP(-LN(2)/2)*FS154+(1-EXP(-LN(2)/2))/(LN(2)/2)*FM155*FP155*VLOOKUP('Données projet'!$B$16,Paramètres!$A$1:$I$89,3,0)*0.475*44/12</f>
        <v>6.8943849770416067E-18</v>
      </c>
      <c r="FT155" s="22">
        <f t="shared" si="184"/>
        <v>0.7715258638549396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>
        <f>VLOOKUP(A156,'Données projet'!$A$35:$I$55,2,0)</f>
        <v>195.05769230769232</v>
      </c>
      <c r="L156" s="12">
        <f>VLOOKUP(A156,'Données projet'!$A$35:$I$55,9,0)</f>
        <v>3.0945512820512846</v>
      </c>
      <c r="M156" s="12">
        <f t="array" ref="M156">INDEX(L:L,MIN(IF(ISNUMBER(L156:L352),ROW(L156:L352),"")))</f>
        <v>3.0945512820512846</v>
      </c>
      <c r="N156" s="13">
        <f>IF('Données projet'!$A$36&gt;35,N155+M156-V155,IF(A156&lt;'Données projet'!$A$36,$K$205^A156,IF(A156='Données projet'!$A$36,'Données projet'!$B$36,N155+M156-V155)))</f>
        <v>195.05769230769175</v>
      </c>
      <c r="O156" s="13">
        <f>N156*VLOOKUP('Données projet'!$B$9,Paramètres!$A$1:$I$89,3,0)*VLOOKUP('Données projet'!$B$9,Paramètres!$A$1:$I$89,5,0)</f>
        <v>176.48819999999949</v>
      </c>
      <c r="P156" s="13">
        <f t="shared" si="141"/>
        <v>44.539981694883714</v>
      </c>
      <c r="Q156" s="20">
        <f t="shared" si="162"/>
        <v>384.95741645192157</v>
      </c>
      <c r="R156" s="59">
        <f t="shared" si="109"/>
        <v>678.29074978525489</v>
      </c>
      <c r="S156" s="59">
        <f ca="1">AVERAGE(OFFSET($R$3,0,0,'Données projet'!$E$9+1,1))-AVERAGE(OFFSET($H$3,0,0,'Données projet'!$E$9+1,1))</f>
        <v>153.45079678708987</v>
      </c>
      <c r="T156" s="59">
        <f t="shared" si="142"/>
        <v>115.4217868409637</v>
      </c>
      <c r="U156" s="15">
        <f>IF(ISNA(VLOOKUP(A156,'Données projet'!$A$35:$I$55,3,0)),0,VLOOKUP(A156,'Données projet'!$A$35:$I$55,3,0))</f>
        <v>13</v>
      </c>
      <c r="V156" s="15">
        <f>IF(ISNA(VLOOKUP(A156,'Données projet'!$A$35:$I$55,4,0)),0,VLOOKUP(A156,'Données projet'!$A$35:$I$55,4,0))</f>
        <v>70.115384615384613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0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5.0924145299145307</v>
      </c>
      <c r="AI156" s="13">
        <f>IF('Données projet'!$A$62&gt;35,AI155+AH156-AQ155,IF(A156&lt;'Données projet'!$A$62,$AF$205^A156,IF(A156='Données projet'!$A$62,'Données projet'!$B$62,AI155+AH156-AQ155)))</f>
        <v>267.28685897435884</v>
      </c>
      <c r="AJ156" s="13">
        <f>AI156*VLOOKUP('Données projet'!$B$10,Paramètres!$A$1:$I$89,3,0)*VLOOKUP('Données projet'!$B$10,Paramètres!$A$1:$I$89,5,0)</f>
        <v>241.84114999999986</v>
      </c>
      <c r="AK156" s="13">
        <f t="shared" si="164"/>
        <v>58.835486511808163</v>
      </c>
      <c r="AL156" s="20">
        <f t="shared" si="165"/>
        <v>523.67847525806553</v>
      </c>
      <c r="AM156" s="59">
        <f t="shared" si="113"/>
        <v>817.0118085913989</v>
      </c>
      <c r="AN156" s="59">
        <f ca="1">AVERAGE(OFFSET($AM$3,0,0,'Données projet'!$E$10+1,1))-AVERAGE(OFFSET($H$3,0,0,'Données projet'!$E$10+1,1))</f>
        <v>123.92486590666675</v>
      </c>
      <c r="AO156" s="59">
        <f t="shared" si="144"/>
        <v>54.404493017418986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0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1.1368683772161603E-13</v>
      </c>
      <c r="BE156" s="13">
        <f>BD156*VLOOKUP('Données projet'!$B$11,Paramètres!$A$1:$I$89,3,0)*VLOOKUP('Données projet'!$B$11,Paramètres!$A$1:$I$89,5,0)</f>
        <v>6.3550942286383367E-14</v>
      </c>
      <c r="BF156" s="13">
        <f t="shared" si="167"/>
        <v>1.0064464192543978E-12</v>
      </c>
      <c r="BG156" s="20">
        <f t="shared" si="168"/>
        <v>1.8635787380168604E-12</v>
      </c>
      <c r="BH156" s="59">
        <f t="shared" si="116"/>
        <v>293.33333333333519</v>
      </c>
      <c r="BI156" s="59">
        <f ca="1">AVERAGE(OFFSET($BH$3,0,0,'Données projet'!$E$11+1,1))-AVERAGE(OFFSET($H$3,0,0,'Données projet'!$E$11+1,1))</f>
        <v>224.7049802939942</v>
      </c>
      <c r="BJ156" s="59">
        <f t="shared" si="146"/>
        <v>203.48513862195352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0.19526544768210469</v>
      </c>
      <c r="BQ156" s="21">
        <f>EXP(-LN(2)/25)*BQ155+(1-EXP(-LN(2)/25))/(LN(2)/25)*Calculateur!BL156*Calculateur!BN156*VLOOKUP('Données projet'!$B$11,Paramètres!$A$1:$I$89,3,0)*0.475*44/12</f>
        <v>0.64493055751204165</v>
      </c>
      <c r="BR156" s="21">
        <f>EXP(-LN(2)/2)*BR155+(1-EXP(-LN(2)/2))/(LN(2)/2)*BL156*BO156*VLOOKUP('Données projet'!$B$11,Paramètres!$A$1:$I$89,3,0)*0.475*44/12</f>
        <v>2.7478496590730776E-18</v>
      </c>
      <c r="BS156" s="22">
        <f t="shared" si="169"/>
        <v>0.84019600519414639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6.2527760746888816E-13</v>
      </c>
      <c r="BZ156" s="13">
        <f>BY156*VLOOKUP('Données projet'!$B$12,Paramètres!$A$1:$I$89,3,0)*VLOOKUP('Données projet'!$B$12,Paramètres!$A$1:$I$89,5,0)</f>
        <v>3.4953018257510848E-13</v>
      </c>
      <c r="CA156" s="13">
        <f t="shared" si="170"/>
        <v>4.5391562386470354E-12</v>
      </c>
      <c r="CB156" s="20">
        <f t="shared" si="171"/>
        <v>8.5144621836285662E-12</v>
      </c>
      <c r="CC156" s="59">
        <f t="shared" si="119"/>
        <v>293.33333333334184</v>
      </c>
      <c r="CD156" s="59">
        <f ca="1">AVERAGE(OFFSET($CC$3,0,0,'Données projet'!$E$12+1,1))-AVERAGE(OFFSET($H$3,0,0,'Données projet'!$E$12+1,1))</f>
        <v>190.08613104982993</v>
      </c>
      <c r="CE156" s="59">
        <f t="shared" si="148"/>
        <v>180.55054525447781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0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497</v>
      </c>
      <c r="CU156" s="17">
        <f>CT156*VLOOKUP('Données projet'!$B$13,Paramètres!$A$1:$I$89,3,0)*VLOOKUP('Données projet'!$B$13,Paramètres!$A$1:$I$89,5,0)</f>
        <v>297.20600000000002</v>
      </c>
      <c r="CV156" s="13">
        <f t="shared" si="173"/>
        <v>70.590415164571112</v>
      </c>
      <c r="CW156" s="20">
        <f t="shared" si="174"/>
        <v>640.57875641162809</v>
      </c>
      <c r="CX156" s="59">
        <f t="shared" si="122"/>
        <v>933.91208974496135</v>
      </c>
      <c r="CY156" s="59">
        <f ca="1">AVERAGE(OFFSET($CX$3,0,0,'Données projet'!$E$13+1,1))-AVERAGE(OFFSET($H$3,0,0,'Données projet'!$E$13+1,1))</f>
        <v>270.30888762640245</v>
      </c>
      <c r="CZ156" s="59">
        <f t="shared" si="150"/>
        <v>202.23783851977691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0.18745105595783088</v>
      </c>
      <c r="DG156" s="21">
        <f>EXP(-LN(2)/25)*DG155+(1-EXP(-LN(2)/25))/(LN(2)/25)*Calculateur!DB156*Calculateur!DD156*VLOOKUP('Données projet'!$B$13,Paramètres!$A$1:$I$89,3,0)*0.475*44/12</f>
        <v>0.40613302657863087</v>
      </c>
      <c r="DH156" s="21">
        <f>EXP(-LN(2)/2)*DH155+(1-EXP(-LN(2)/2))/(LN(2)/2)*DB156*DE156*VLOOKUP('Données projet'!$B$13,Paramètres!$A$1:$I$89,3,0)*0.475*44/12</f>
        <v>5.6709190005851033E-18</v>
      </c>
      <c r="DI156" s="22">
        <f t="shared" si="175"/>
        <v>0.59358408253646178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433.00000000000011</v>
      </c>
      <c r="DP156" s="17">
        <f>DO156*VLOOKUP('Données projet'!$B$14,Paramètres!$A$1:$I$89,3,0)*VLOOKUP('Données projet'!$B$14,Paramètres!$A$1:$I$89,5,0)</f>
        <v>258.93400000000008</v>
      </c>
      <c r="DQ156" s="13">
        <f t="shared" si="176"/>
        <v>62.495095530116075</v>
      </c>
      <c r="DR156" s="20">
        <f t="shared" si="177"/>
        <v>559.82234138161891</v>
      </c>
      <c r="DS156" s="59">
        <f t="shared" si="125"/>
        <v>853.15567471495228</v>
      </c>
      <c r="DT156" s="59">
        <f ca="1">AVERAGE(OFFSET($DS$3,0,0,'Données projet'!$E$14+1,1))-AVERAGE(OFFSET($H$3,0,0,'Données projet'!$E$14+1,1))</f>
        <v>221.14988592347311</v>
      </c>
      <c r="DU156" s="59">
        <f t="shared" si="152"/>
        <v>179.09262081171607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0.19994779302168633</v>
      </c>
      <c r="EB156" s="21">
        <f>EXP(-LN(2)/25)*EB155+(1-EXP(-LN(2)/25))/(LN(2)/25)*Calculateur!DW156*Calculateur!DY156*VLOOKUP('Données projet'!$B$14,Paramètres!$A$1:$I$89,3,0)*0.475*44/12</f>
        <v>0.3382623059512273</v>
      </c>
      <c r="EC156" s="21">
        <f>EXP(-LN(2)/2)*EC155+(1-EXP(-LN(2)/2))/(LN(2)/2)*DW156*DZ156*VLOOKUP('Données projet'!$B$14,Paramètres!$A$1:$I$89,3,0)*0.475*44/12</f>
        <v>5.9797699667496927E-18</v>
      </c>
      <c r="ED156" s="22">
        <f t="shared" si="178"/>
        <v>0.53821009897291361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2.2737367544323206E-13</v>
      </c>
      <c r="EK156" s="17">
        <f>EJ156*VLOOKUP('Données projet'!$B$15,Paramètres!$A$1:$I$89,3,0)*VLOOKUP('Données projet'!$B$15,Paramètres!$A$1:$I$89,5,0)</f>
        <v>1.2414602679200471E-13</v>
      </c>
      <c r="EL156" s="13">
        <f t="shared" si="179"/>
        <v>1.8186582995804361E-12</v>
      </c>
      <c r="EM156" s="20">
        <f t="shared" si="180"/>
        <v>3.3837175350986671E-12</v>
      </c>
      <c r="EN156" s="59">
        <f t="shared" si="128"/>
        <v>293.33333333333672</v>
      </c>
      <c r="EO156" s="59">
        <f ca="1">AVERAGE(OFFSET($EN$3,0,0,'Données projet'!$E$15+1,1))-AVERAGE(OFFSET($H$3,0,0,'Données projet'!$E$15+1,1))</f>
        <v>168.72306536277267</v>
      </c>
      <c r="EP156" s="59">
        <f t="shared" si="154"/>
        <v>203.35476578922339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0.26623483309952783</v>
      </c>
      <c r="EW156" s="21">
        <f>EXP(-LN(2)/25)*EW155+(1-EXP(-LN(2)/25))/(LN(2)/25)*Calculateur!ER156*Calculateur!ET156*VLOOKUP('Données projet'!$B$15,Paramètres!$A$1:$I$89,3,0)*0.475*44/12</f>
        <v>0.75923695116325518</v>
      </c>
      <c r="EX156" s="21">
        <f>EXP(-LN(2)/2)*EX155+(1-EXP(-LN(2)/2))/(LN(2)/2)*ER156*EU156*VLOOKUP('Données projet'!$B$15,Paramètres!$A$1:$I$89,3,0)*0.475*44/12</f>
        <v>6.1404864404654181E-18</v>
      </c>
      <c r="EY156" s="22">
        <f t="shared" si="181"/>
        <v>1.025471784262783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3.4106051316484809E-13</v>
      </c>
      <c r="FF156" s="17">
        <f>FE156*VLOOKUP('Données projet'!$B$16,Paramètres!$A$1:$I$89,3,0)*VLOOKUP('Données projet'!$B$16,Paramètres!$A$1:$I$89,5,0)</f>
        <v>1.8621904018800707E-13</v>
      </c>
      <c r="FG156" s="13">
        <f t="shared" si="182"/>
        <v>2.6022279988572714E-12</v>
      </c>
      <c r="FH156" s="20">
        <f t="shared" si="183"/>
        <v>4.8565452596705266E-12</v>
      </c>
      <c r="FI156" s="59">
        <f t="shared" si="131"/>
        <v>293.33333333333815</v>
      </c>
      <c r="FJ156" s="59">
        <f ca="1">AVERAGE(OFFSET($FI$3,0,0,'Données projet'!$E$16+1,1))-AVERAGE(OFFSET($H$3,0,0,'Données projet'!$E$16+1,1))</f>
        <v>127.76128532861486</v>
      </c>
      <c r="FK156" s="59">
        <f t="shared" si="156"/>
        <v>157.52303491639736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>
        <f>EXP(-LN(2)/35)*FQ155+(1-EXP(-LN(2)/35))/(LN(2)/35)*FM156*FN156*VLOOKUP('Données projet'!$B$16,Paramètres!$A$1:$I$89,3,0)*0.475*44/12</f>
        <v>0.21298786647962226</v>
      </c>
      <c r="FR156" s="21">
        <f>EXP(-LN(2)/25)*FR155+(1-EXP(-LN(2)/25))/(LN(2)/25)*Calculateur!FM156*Calculateur!FO156*VLOOKUP('Données projet'!$B$16,Paramètres!$A$1:$I$89,3,0)*0.475*44/12</f>
        <v>0.53912113900979486</v>
      </c>
      <c r="FS156" s="21">
        <f>EXP(-LN(2)/2)*FS155+(1-EXP(-LN(2)/2))/(LN(2)/2)*FM156*FP156*VLOOKUP('Données projet'!$B$16,Paramètres!$A$1:$I$89,3,0)*0.475*44/12</f>
        <v>4.8750663693767803E-18</v>
      </c>
      <c r="FT156" s="22">
        <f t="shared" si="184"/>
        <v>0.75210900548941706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1.8717948717948687</v>
      </c>
      <c r="N157" s="13">
        <f>IF('Données projet'!$A$36&gt;35,N156+M157-V156,IF(A157&lt;'Données projet'!$A$36,$K$205^A157,IF(A157='Données projet'!$A$36,'Données projet'!$B$36,N156+M157-V156)))</f>
        <v>126.814102564102</v>
      </c>
      <c r="O157" s="13">
        <f>N157*VLOOKUP('Données projet'!$B$9,Paramètres!$A$1:$I$89,3,0)*VLOOKUP('Données projet'!$B$9,Paramètres!$A$1:$I$89,5,0)</f>
        <v>114.74139999999949</v>
      </c>
      <c r="P157" s="13">
        <f t="shared" si="141"/>
        <v>30.445336927793697</v>
      </c>
      <c r="Q157" s="20">
        <f t="shared" si="162"/>
        <v>252.8669001492398</v>
      </c>
      <c r="R157" s="59">
        <f t="shared" si="109"/>
        <v>546.20023348257314</v>
      </c>
      <c r="S157" s="59">
        <f ca="1">AVERAGE(OFFSET($R$3,0,0,'Données projet'!$E$9+1,1))-AVERAGE(OFFSET($H$3,0,0,'Données projet'!$E$9+1,1))</f>
        <v>153.45079678708987</v>
      </c>
      <c r="T157" s="59">
        <f t="shared" si="142"/>
        <v>115.4217868409637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0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5.0924145299145307</v>
      </c>
      <c r="AI157" s="13">
        <f>IF('Données projet'!$A$62&gt;35,AI156+AH157-AQ156,IF(A157&lt;'Données projet'!$A$62,$AF$205^A157,IF(A157='Données projet'!$A$62,'Données projet'!$B$62,AI156+AH157-AQ156)))</f>
        <v>272.37927350427339</v>
      </c>
      <c r="AJ157" s="13">
        <f>AI157*VLOOKUP('Données projet'!$B$10,Paramètres!$A$1:$I$89,3,0)*VLOOKUP('Données projet'!$B$10,Paramètres!$A$1:$I$89,5,0)</f>
        <v>246.44876666666656</v>
      </c>
      <c r="AK157" s="13">
        <f t="shared" si="164"/>
        <v>59.824865654915904</v>
      </c>
      <c r="AL157" s="20">
        <f t="shared" si="165"/>
        <v>533.42657629342273</v>
      </c>
      <c r="AM157" s="59">
        <f t="shared" si="113"/>
        <v>826.7599096267561</v>
      </c>
      <c r="AN157" s="59">
        <f ca="1">AVERAGE(OFFSET($AM$3,0,0,'Données projet'!$E$10+1,1))-AVERAGE(OFFSET($H$3,0,0,'Données projet'!$E$10+1,1))</f>
        <v>123.92486590666675</v>
      </c>
      <c r="AO157" s="59">
        <f t="shared" si="144"/>
        <v>54.404493017418986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0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1.1368683772161603E-13</v>
      </c>
      <c r="BE157" s="13">
        <f>BD157*VLOOKUP('Données projet'!$B$11,Paramètres!$A$1:$I$89,3,0)*VLOOKUP('Données projet'!$B$11,Paramètres!$A$1:$I$89,5,0)</f>
        <v>6.3550942286383367E-14</v>
      </c>
      <c r="BF157" s="13">
        <f t="shared" si="167"/>
        <v>1.0064464192543978E-12</v>
      </c>
      <c r="BG157" s="20">
        <f t="shared" si="168"/>
        <v>1.8635787380168604E-12</v>
      </c>
      <c r="BH157" s="59">
        <f t="shared" si="116"/>
        <v>293.33333333333519</v>
      </c>
      <c r="BI157" s="59">
        <f ca="1">AVERAGE(OFFSET($BH$3,0,0,'Données projet'!$E$11+1,1))-AVERAGE(OFFSET($H$3,0,0,'Données projet'!$E$11+1,1))</f>
        <v>224.7049802939942</v>
      </c>
      <c r="BJ157" s="59">
        <f t="shared" si="146"/>
        <v>203.48513862195352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0.19143641135322154</v>
      </c>
      <c r="BQ157" s="21">
        <f>EXP(-LN(2)/25)*BQ156+(1-EXP(-LN(2)/25))/(LN(2)/25)*Calculateur!BL157*Calculateur!BN157*VLOOKUP('Données projet'!$B$11,Paramètres!$A$1:$I$89,3,0)*0.475*44/12</f>
        <v>0.62729489750145084</v>
      </c>
      <c r="BR157" s="21">
        <f>EXP(-LN(2)/2)*BR156+(1-EXP(-LN(2)/2))/(LN(2)/2)*BL157*BO157*VLOOKUP('Données projet'!$B$11,Paramètres!$A$1:$I$89,3,0)*0.475*44/12</f>
        <v>1.9430231276117159E-18</v>
      </c>
      <c r="BS157" s="22">
        <f t="shared" si="169"/>
        <v>0.81873130885467238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6.2527760746888816E-13</v>
      </c>
      <c r="BZ157" s="13">
        <f>BY157*VLOOKUP('Données projet'!$B$12,Paramètres!$A$1:$I$89,3,0)*VLOOKUP('Données projet'!$B$12,Paramètres!$A$1:$I$89,5,0)</f>
        <v>3.4953018257510848E-13</v>
      </c>
      <c r="CA157" s="13">
        <f t="shared" si="170"/>
        <v>4.5391562386470354E-12</v>
      </c>
      <c r="CB157" s="20">
        <f t="shared" si="171"/>
        <v>8.5144621836285662E-12</v>
      </c>
      <c r="CC157" s="59">
        <f t="shared" si="119"/>
        <v>293.33333333334184</v>
      </c>
      <c r="CD157" s="59">
        <f ca="1">AVERAGE(OFFSET($CC$3,0,0,'Données projet'!$E$12+1,1))-AVERAGE(OFFSET($H$3,0,0,'Données projet'!$E$12+1,1))</f>
        <v>190.08613104982993</v>
      </c>
      <c r="CE157" s="59">
        <f t="shared" si="148"/>
        <v>180.55054525447781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0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497</v>
      </c>
      <c r="CU157" s="17">
        <f>CT157*VLOOKUP('Données projet'!$B$13,Paramètres!$A$1:$I$89,3,0)*VLOOKUP('Données projet'!$B$13,Paramètres!$A$1:$I$89,5,0)</f>
        <v>297.20600000000002</v>
      </c>
      <c r="CV157" s="13">
        <f t="shared" si="173"/>
        <v>70.590415164571112</v>
      </c>
      <c r="CW157" s="20">
        <f t="shared" si="174"/>
        <v>640.57875641162809</v>
      </c>
      <c r="CX157" s="59">
        <f t="shared" si="122"/>
        <v>933.91208974496135</v>
      </c>
      <c r="CY157" s="59">
        <f ca="1">AVERAGE(OFFSET($CX$3,0,0,'Données projet'!$E$13+1,1))-AVERAGE(OFFSET($H$3,0,0,'Données projet'!$E$13+1,1))</f>
        <v>270.30888762640245</v>
      </c>
      <c r="CZ157" s="59">
        <f t="shared" si="150"/>
        <v>202.23783851977691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0.18377525508435241</v>
      </c>
      <c r="DG157" s="21">
        <f>EXP(-LN(2)/25)*DG156+(1-EXP(-LN(2)/25))/(LN(2)/25)*Calculateur!DB157*Calculateur!DD157*VLOOKUP('Données projet'!$B$13,Paramètres!$A$1:$I$89,3,0)*0.475*44/12</f>
        <v>0.39502729760923055</v>
      </c>
      <c r="DH157" s="21">
        <f>EXP(-LN(2)/2)*DH156+(1-EXP(-LN(2)/2))/(LN(2)/2)*DB157*DE157*VLOOKUP('Données projet'!$B$13,Paramètres!$A$1:$I$89,3,0)*0.475*44/12</f>
        <v>4.0099452808733654E-18</v>
      </c>
      <c r="DI157" s="22">
        <f t="shared" si="175"/>
        <v>0.57880255269358294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433.00000000000011</v>
      </c>
      <c r="DP157" s="17">
        <f>DO157*VLOOKUP('Données projet'!$B$14,Paramètres!$A$1:$I$89,3,0)*VLOOKUP('Données projet'!$B$14,Paramètres!$A$1:$I$89,5,0)</f>
        <v>258.93400000000008</v>
      </c>
      <c r="DQ157" s="13">
        <f t="shared" si="176"/>
        <v>62.495095530116075</v>
      </c>
      <c r="DR157" s="20">
        <f t="shared" si="177"/>
        <v>559.82234138161891</v>
      </c>
      <c r="DS157" s="59">
        <f t="shared" si="125"/>
        <v>853.15567471495228</v>
      </c>
      <c r="DT157" s="59">
        <f ca="1">AVERAGE(OFFSET($DS$3,0,0,'Données projet'!$E$14+1,1))-AVERAGE(OFFSET($H$3,0,0,'Données projet'!$E$14+1,1))</f>
        <v>221.14988592347311</v>
      </c>
      <c r="DU157" s="59">
        <f t="shared" si="152"/>
        <v>179.09262081171607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0.19602693875664265</v>
      </c>
      <c r="EB157" s="21">
        <f>EXP(-LN(2)/25)*EB156+(1-EXP(-LN(2)/25))/(LN(2)/25)*Calculateur!DW157*Calculateur!DY157*VLOOKUP('Données projet'!$B$14,Paramètres!$A$1:$I$89,3,0)*0.475*44/12</f>
        <v>0.32901250540654942</v>
      </c>
      <c r="EC157" s="21">
        <f>EXP(-LN(2)/2)*EC156+(1-EXP(-LN(2)/2))/(LN(2)/2)*DW157*DZ157*VLOOKUP('Données projet'!$B$14,Paramètres!$A$1:$I$89,3,0)*0.475*44/12</f>
        <v>4.2283358934243634E-18</v>
      </c>
      <c r="ED157" s="22">
        <f t="shared" si="178"/>
        <v>0.52503944416319204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2.2737367544323206E-13</v>
      </c>
      <c r="EK157" s="17">
        <f>EJ157*VLOOKUP('Données projet'!$B$15,Paramètres!$A$1:$I$89,3,0)*VLOOKUP('Données projet'!$B$15,Paramètres!$A$1:$I$89,5,0)</f>
        <v>1.2414602679200471E-13</v>
      </c>
      <c r="EL157" s="13">
        <f t="shared" si="179"/>
        <v>1.8186582995804361E-12</v>
      </c>
      <c r="EM157" s="20">
        <f t="shared" si="180"/>
        <v>3.3837175350986671E-12</v>
      </c>
      <c r="EN157" s="59">
        <f t="shared" si="128"/>
        <v>293.33333333333672</v>
      </c>
      <c r="EO157" s="59">
        <f ca="1">AVERAGE(OFFSET($EN$3,0,0,'Données projet'!$E$15+1,1))-AVERAGE(OFFSET($H$3,0,0,'Données projet'!$E$15+1,1))</f>
        <v>168.72306536277267</v>
      </c>
      <c r="EP157" s="59">
        <f t="shared" si="154"/>
        <v>203.35476578922339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0.26101413040965987</v>
      </c>
      <c r="EW157" s="21">
        <f>EXP(-LN(2)/25)*EW156+(1-EXP(-LN(2)/25))/(LN(2)/25)*Calculateur!ER157*Calculateur!ET157*VLOOKUP('Données projet'!$B$15,Paramètres!$A$1:$I$89,3,0)*0.475*44/12</f>
        <v>0.73847557680715992</v>
      </c>
      <c r="EX157" s="21">
        <f>EXP(-LN(2)/2)*EX156+(1-EXP(-LN(2)/2))/(LN(2)/2)*ER157*EU157*VLOOKUP('Données projet'!$B$15,Paramètres!$A$1:$I$89,3,0)*0.475*44/12</f>
        <v>4.3419796018371424E-18</v>
      </c>
      <c r="EY157" s="22">
        <f t="shared" si="181"/>
        <v>0.99948970721681984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3.4106051316484809E-13</v>
      </c>
      <c r="FF157" s="17">
        <f>FE157*VLOOKUP('Données projet'!$B$16,Paramètres!$A$1:$I$89,3,0)*VLOOKUP('Données projet'!$B$16,Paramètres!$A$1:$I$89,5,0)</f>
        <v>1.8621904018800707E-13</v>
      </c>
      <c r="FG157" s="13">
        <f t="shared" si="182"/>
        <v>2.6022279988572714E-12</v>
      </c>
      <c r="FH157" s="20">
        <f t="shared" si="183"/>
        <v>4.8565452596705266E-12</v>
      </c>
      <c r="FI157" s="59">
        <f t="shared" si="131"/>
        <v>293.33333333333815</v>
      </c>
      <c r="FJ157" s="59">
        <f ca="1">AVERAGE(OFFSET($FI$3,0,0,'Données projet'!$E$16+1,1))-AVERAGE(OFFSET($H$3,0,0,'Données projet'!$E$16+1,1))</f>
        <v>127.76128532861486</v>
      </c>
      <c r="FK157" s="59">
        <f t="shared" si="156"/>
        <v>157.52303491639736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>
        <f>EXP(-LN(2)/35)*FQ156+(1-EXP(-LN(2)/35))/(LN(2)/35)*FM157*FN157*VLOOKUP('Données projet'!$B$16,Paramètres!$A$1:$I$89,3,0)*0.475*44/12</f>
        <v>0.2088113043277279</v>
      </c>
      <c r="FR157" s="21">
        <f>EXP(-LN(2)/25)*FR156+(1-EXP(-LN(2)/25))/(LN(2)/25)*Calculateur!FM157*Calculateur!FO157*VLOOKUP('Données projet'!$B$16,Paramètres!$A$1:$I$89,3,0)*0.475*44/12</f>
        <v>0.52437884311242344</v>
      </c>
      <c r="FS157" s="21">
        <f>EXP(-LN(2)/2)*FS156+(1-EXP(-LN(2)/2))/(LN(2)/2)*FM157*FP157*VLOOKUP('Données projet'!$B$16,Paramètres!$A$1:$I$89,3,0)*0.475*44/12</f>
        <v>3.4471924885208037E-18</v>
      </c>
      <c r="FT157" s="22">
        <f t="shared" si="184"/>
        <v>0.73319014744015132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1.8717948717948687</v>
      </c>
      <c r="N158" s="13">
        <f>IF('Données projet'!$A$36&gt;35,N157+M158-V157,IF(A158&lt;'Données projet'!$A$36,$K$205^A158,IF(A158='Données projet'!$A$36,'Données projet'!$B$36,N157+M158-V157)))</f>
        <v>128.68589743589686</v>
      </c>
      <c r="O158" s="13">
        <f>N158*VLOOKUP('Données projet'!$B$9,Paramètres!$A$1:$I$89,3,0)*VLOOKUP('Données projet'!$B$9,Paramètres!$A$1:$I$89,5,0)</f>
        <v>116.43499999999946</v>
      </c>
      <c r="P158" s="13">
        <f t="shared" si="141"/>
        <v>30.842067793939275</v>
      </c>
      <c r="Q158" s="20">
        <f t="shared" si="162"/>
        <v>256.5075597411099</v>
      </c>
      <c r="R158" s="59">
        <f t="shared" si="109"/>
        <v>549.84089307444322</v>
      </c>
      <c r="S158" s="59">
        <f ca="1">AVERAGE(OFFSET($R$3,0,0,'Données projet'!$E$9+1,1))-AVERAGE(OFFSET($H$3,0,0,'Données projet'!$E$9+1,1))</f>
        <v>153.45079678708987</v>
      </c>
      <c r="T158" s="59">
        <f t="shared" si="142"/>
        <v>115.4217868409637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0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5.0924145299145307</v>
      </c>
      <c r="AI158" s="13">
        <f>IF('Données projet'!$A$62&gt;35,AI157+AH158-AQ157,IF(A158&lt;'Données projet'!$A$62,$AF$205^A158,IF(A158='Données projet'!$A$62,'Données projet'!$B$62,AI157+AH158-AQ157)))</f>
        <v>277.47168803418793</v>
      </c>
      <c r="AJ158" s="13">
        <f>AI158*VLOOKUP('Données projet'!$B$10,Paramètres!$A$1:$I$89,3,0)*VLOOKUP('Données projet'!$B$10,Paramètres!$A$1:$I$89,5,0)</f>
        <v>251.05638333333323</v>
      </c>
      <c r="AK158" s="13">
        <f t="shared" si="164"/>
        <v>60.812093900619438</v>
      </c>
      <c r="AL158" s="20">
        <f t="shared" si="165"/>
        <v>543.17093118246748</v>
      </c>
      <c r="AM158" s="59">
        <f t="shared" si="113"/>
        <v>836.50426451580074</v>
      </c>
      <c r="AN158" s="59">
        <f ca="1">AVERAGE(OFFSET($AM$3,0,0,'Données projet'!$E$10+1,1))-AVERAGE(OFFSET($H$3,0,0,'Données projet'!$E$10+1,1))</f>
        <v>123.92486590666675</v>
      </c>
      <c r="AO158" s="59">
        <f t="shared" si="144"/>
        <v>54.404493017418986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0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1.1368683772161603E-13</v>
      </c>
      <c r="BE158" s="13">
        <f>BD158*VLOOKUP('Données projet'!$B$11,Paramètres!$A$1:$I$89,3,0)*VLOOKUP('Données projet'!$B$11,Paramètres!$A$1:$I$89,5,0)</f>
        <v>6.3550942286383367E-14</v>
      </c>
      <c r="BF158" s="13">
        <f t="shared" si="167"/>
        <v>1.0064464192543978E-12</v>
      </c>
      <c r="BG158" s="20">
        <f t="shared" si="168"/>
        <v>1.8635787380168604E-12</v>
      </c>
      <c r="BH158" s="59">
        <f t="shared" si="116"/>
        <v>293.33333333333519</v>
      </c>
      <c r="BI158" s="59">
        <f ca="1">AVERAGE(OFFSET($BH$3,0,0,'Données projet'!$E$11+1,1))-AVERAGE(OFFSET($H$3,0,0,'Données projet'!$E$11+1,1))</f>
        <v>224.7049802939942</v>
      </c>
      <c r="BJ158" s="59">
        <f t="shared" si="146"/>
        <v>203.48513862195352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0.18768246009126624</v>
      </c>
      <c r="BQ158" s="21">
        <f>EXP(-LN(2)/25)*BQ157+(1-EXP(-LN(2)/25))/(LN(2)/25)*Calculateur!BL158*Calculateur!BN158*VLOOKUP('Données projet'!$B$11,Paramètres!$A$1:$I$89,3,0)*0.475*44/12</f>
        <v>0.61014148554126868</v>
      </c>
      <c r="BR158" s="21">
        <f>EXP(-LN(2)/2)*BR157+(1-EXP(-LN(2)/2))/(LN(2)/2)*BL158*BO158*VLOOKUP('Données projet'!$B$11,Paramètres!$A$1:$I$89,3,0)*0.475*44/12</f>
        <v>1.3739248295365388E-18</v>
      </c>
      <c r="BS158" s="22">
        <f t="shared" si="169"/>
        <v>0.79782394563253489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6.2527760746888816E-13</v>
      </c>
      <c r="BZ158" s="13">
        <f>BY158*VLOOKUP('Données projet'!$B$12,Paramètres!$A$1:$I$89,3,0)*VLOOKUP('Données projet'!$B$12,Paramètres!$A$1:$I$89,5,0)</f>
        <v>3.4953018257510848E-13</v>
      </c>
      <c r="CA158" s="13">
        <f t="shared" si="170"/>
        <v>4.5391562386470354E-12</v>
      </c>
      <c r="CB158" s="20">
        <f t="shared" si="171"/>
        <v>8.5144621836285662E-12</v>
      </c>
      <c r="CC158" s="59">
        <f t="shared" si="119"/>
        <v>293.33333333334184</v>
      </c>
      <c r="CD158" s="59">
        <f ca="1">AVERAGE(OFFSET($CC$3,0,0,'Données projet'!$E$12+1,1))-AVERAGE(OFFSET($H$3,0,0,'Données projet'!$E$12+1,1))</f>
        <v>190.08613104982993</v>
      </c>
      <c r="CE158" s="59">
        <f t="shared" si="148"/>
        <v>180.55054525447781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0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497</v>
      </c>
      <c r="CU158" s="17">
        <f>CT158*VLOOKUP('Données projet'!$B$13,Paramètres!$A$1:$I$89,3,0)*VLOOKUP('Données projet'!$B$13,Paramètres!$A$1:$I$89,5,0)</f>
        <v>297.20600000000002</v>
      </c>
      <c r="CV158" s="13">
        <f t="shared" si="173"/>
        <v>70.590415164571112</v>
      </c>
      <c r="CW158" s="20">
        <f t="shared" si="174"/>
        <v>640.57875641162809</v>
      </c>
      <c r="CX158" s="59">
        <f t="shared" si="122"/>
        <v>933.91208974496135</v>
      </c>
      <c r="CY158" s="59">
        <f ca="1">AVERAGE(OFFSET($CX$3,0,0,'Données projet'!$E$13+1,1))-AVERAGE(OFFSET($H$3,0,0,'Données projet'!$E$13+1,1))</f>
        <v>270.30888762640245</v>
      </c>
      <c r="CZ158" s="59">
        <f t="shared" si="150"/>
        <v>202.23783851977691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0.1801715344239857</v>
      </c>
      <c r="DG158" s="21">
        <f>EXP(-LN(2)/25)*DG157+(1-EXP(-LN(2)/25))/(LN(2)/25)*Calculateur!DB158*Calculateur!DD158*VLOOKUP('Données projet'!$B$13,Paramètres!$A$1:$I$89,3,0)*0.475*44/12</f>
        <v>0.38422525538252339</v>
      </c>
      <c r="DH158" s="21">
        <f>EXP(-LN(2)/2)*DH157+(1-EXP(-LN(2)/2))/(LN(2)/2)*DB158*DE158*VLOOKUP('Données projet'!$B$13,Paramètres!$A$1:$I$89,3,0)*0.475*44/12</f>
        <v>2.8354595002925516E-18</v>
      </c>
      <c r="DI158" s="22">
        <f t="shared" si="175"/>
        <v>0.56439678980650909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433.00000000000011</v>
      </c>
      <c r="DP158" s="17">
        <f>DO158*VLOOKUP('Données projet'!$B$14,Paramètres!$A$1:$I$89,3,0)*VLOOKUP('Données projet'!$B$14,Paramètres!$A$1:$I$89,5,0)</f>
        <v>258.93400000000008</v>
      </c>
      <c r="DQ158" s="13">
        <f t="shared" si="176"/>
        <v>62.495095530116075</v>
      </c>
      <c r="DR158" s="20">
        <f t="shared" si="177"/>
        <v>559.82234138161891</v>
      </c>
      <c r="DS158" s="59">
        <f t="shared" si="125"/>
        <v>853.15567471495228</v>
      </c>
      <c r="DT158" s="59">
        <f ca="1">AVERAGE(OFFSET($DS$3,0,0,'Données projet'!$E$14+1,1))-AVERAGE(OFFSET($H$3,0,0,'Données projet'!$E$14+1,1))</f>
        <v>221.14988592347311</v>
      </c>
      <c r="DU158" s="59">
        <f t="shared" si="152"/>
        <v>179.09262081171607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0.19218297005225149</v>
      </c>
      <c r="EB158" s="21">
        <f>EXP(-LN(2)/25)*EB157+(1-EXP(-LN(2)/25))/(LN(2)/25)*Calculateur!DW158*Calculateur!DY158*VLOOKUP('Données projet'!$B$14,Paramètres!$A$1:$I$89,3,0)*0.475*44/12</f>
        <v>0.32001564114419162</v>
      </c>
      <c r="EC158" s="21">
        <f>EXP(-LN(2)/2)*EC157+(1-EXP(-LN(2)/2))/(LN(2)/2)*DW158*DZ158*VLOOKUP('Données projet'!$B$14,Paramètres!$A$1:$I$89,3,0)*0.475*44/12</f>
        <v>2.9898849833748463E-18</v>
      </c>
      <c r="ED158" s="22">
        <f t="shared" si="178"/>
        <v>0.51219861119644317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2.2737367544323206E-13</v>
      </c>
      <c r="EK158" s="17">
        <f>EJ158*VLOOKUP('Données projet'!$B$15,Paramètres!$A$1:$I$89,3,0)*VLOOKUP('Données projet'!$B$15,Paramètres!$A$1:$I$89,5,0)</f>
        <v>1.2414602679200471E-13</v>
      </c>
      <c r="EL158" s="13">
        <f t="shared" si="179"/>
        <v>1.8186582995804361E-12</v>
      </c>
      <c r="EM158" s="20">
        <f t="shared" si="180"/>
        <v>3.3837175350986671E-12</v>
      </c>
      <c r="EN158" s="59">
        <f t="shared" si="128"/>
        <v>293.33333333333672</v>
      </c>
      <c r="EO158" s="59">
        <f ca="1">AVERAGE(OFFSET($EN$3,0,0,'Données projet'!$E$15+1,1))-AVERAGE(OFFSET($H$3,0,0,'Données projet'!$E$15+1,1))</f>
        <v>168.72306536277267</v>
      </c>
      <c r="EP158" s="59">
        <f t="shared" si="154"/>
        <v>203.35476578922339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0.25589580251522603</v>
      </c>
      <c r="EW158" s="21">
        <f>EXP(-LN(2)/25)*EW157+(1-EXP(-LN(2)/25))/(LN(2)/25)*Calculateur!ER158*Calculateur!ET158*VLOOKUP('Données projet'!$B$15,Paramètres!$A$1:$I$89,3,0)*0.475*44/12</f>
        <v>0.71828192332462537</v>
      </c>
      <c r="EX158" s="21">
        <f>EXP(-LN(2)/2)*EX157+(1-EXP(-LN(2)/2))/(LN(2)/2)*ER158*EU158*VLOOKUP('Données projet'!$B$15,Paramètres!$A$1:$I$89,3,0)*0.475*44/12</f>
        <v>3.070243220232709E-18</v>
      </c>
      <c r="EY158" s="22">
        <f t="shared" si="181"/>
        <v>0.9741777258398514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3.4106051316484809E-13</v>
      </c>
      <c r="FF158" s="17">
        <f>FE158*VLOOKUP('Données projet'!$B$16,Paramètres!$A$1:$I$89,3,0)*VLOOKUP('Données projet'!$B$16,Paramètres!$A$1:$I$89,5,0)</f>
        <v>1.8621904018800707E-13</v>
      </c>
      <c r="FG158" s="13">
        <f t="shared" si="182"/>
        <v>2.6022279988572714E-12</v>
      </c>
      <c r="FH158" s="20">
        <f t="shared" si="183"/>
        <v>4.8565452596705266E-12</v>
      </c>
      <c r="FI158" s="59">
        <f t="shared" si="131"/>
        <v>293.33333333333815</v>
      </c>
      <c r="FJ158" s="59">
        <f ca="1">AVERAGE(OFFSET($FI$3,0,0,'Données projet'!$E$16+1,1))-AVERAGE(OFFSET($H$3,0,0,'Données projet'!$E$16+1,1))</f>
        <v>127.76128532861486</v>
      </c>
      <c r="FK158" s="59">
        <f t="shared" si="156"/>
        <v>157.52303491639736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>
        <f>EXP(-LN(2)/35)*FQ157+(1-EXP(-LN(2)/35))/(LN(2)/35)*FM158*FN158*VLOOKUP('Données projet'!$B$16,Paramètres!$A$1:$I$89,3,0)*0.475*44/12</f>
        <v>0.20471664201218082</v>
      </c>
      <c r="FR158" s="21">
        <f>EXP(-LN(2)/25)*FR157+(1-EXP(-LN(2)/25))/(LN(2)/25)*Calculateur!FM158*Calculateur!FO158*VLOOKUP('Données projet'!$B$16,Paramètres!$A$1:$I$89,3,0)*0.475*44/12</f>
        <v>0.51003967607162937</v>
      </c>
      <c r="FS158" s="21">
        <f>EXP(-LN(2)/2)*FS157+(1-EXP(-LN(2)/2))/(LN(2)/2)*FM158*FP158*VLOOKUP('Données projet'!$B$16,Paramètres!$A$1:$I$89,3,0)*0.475*44/12</f>
        <v>2.4375331846883905E-18</v>
      </c>
      <c r="FT158" s="22">
        <f t="shared" si="184"/>
        <v>0.71475631808381013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1.8717948717948687</v>
      </c>
      <c r="N159" s="13">
        <f>IF('Données projet'!$A$36&gt;35,N158+M159-V158,IF(A159&lt;'Données projet'!$A$36,$K$205^A159,IF(A159='Données projet'!$A$36,'Données projet'!$B$36,N158+M159-V158)))</f>
        <v>130.55769230769172</v>
      </c>
      <c r="O159" s="13">
        <f>N159*VLOOKUP('Données projet'!$B$9,Paramètres!$A$1:$I$89,3,0)*VLOOKUP('Données projet'!$B$9,Paramètres!$A$1:$I$89,5,0)</f>
        <v>118.12859999999947</v>
      </c>
      <c r="P159" s="13">
        <f t="shared" si="141"/>
        <v>31.238127501943364</v>
      </c>
      <c r="Q159" s="20">
        <f t="shared" si="162"/>
        <v>260.14705039921705</v>
      </c>
      <c r="R159" s="59">
        <f t="shared" si="109"/>
        <v>553.48038373255031</v>
      </c>
      <c r="S159" s="59">
        <f ca="1">AVERAGE(OFFSET($R$3,0,0,'Données projet'!$E$9+1,1))-AVERAGE(OFFSET($H$3,0,0,'Données projet'!$E$9+1,1))</f>
        <v>153.45079678708987</v>
      </c>
      <c r="T159" s="59">
        <f t="shared" si="142"/>
        <v>115.4217868409637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0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>
        <f>VLOOKUP(A159,'Données projet'!$A$61:$I$81,2,0)</f>
        <v>282.56410256410254</v>
      </c>
      <c r="AG159" s="12">
        <f>VLOOKUP(A159,'Données projet'!$A$61:$I$81,9,0)</f>
        <v>5.0924145299145307</v>
      </c>
      <c r="AH159" s="12">
        <f t="array" ref="AH159">INDEX(AG:AG,MIN(IF(ISNUMBER(AG159:AG355),ROW(AG159:AG355),"")))</f>
        <v>5.0924145299145307</v>
      </c>
      <c r="AI159" s="13">
        <f>IF('Données projet'!$A$62&gt;35,AI158+AH159-AQ158,IF(A159&lt;'Données projet'!$A$62,$AF$205^A159,IF(A159='Données projet'!$A$62,'Données projet'!$B$62,AI158+AH159-AQ158)))</f>
        <v>282.56410256410248</v>
      </c>
      <c r="AJ159" s="13">
        <f>AI159*VLOOKUP('Données projet'!$B$10,Paramètres!$A$1:$I$89,3,0)*VLOOKUP('Données projet'!$B$10,Paramètres!$A$1:$I$89,5,0)</f>
        <v>255.6639999999999</v>
      </c>
      <c r="AK159" s="13">
        <f t="shared" si="164"/>
        <v>61.797215277020669</v>
      </c>
      <c r="AL159" s="20">
        <f t="shared" si="165"/>
        <v>552.91161660747753</v>
      </c>
      <c r="AM159" s="59">
        <f t="shared" si="113"/>
        <v>846.24494994081078</v>
      </c>
      <c r="AN159" s="59">
        <f ca="1">AVERAGE(OFFSET($AM$3,0,0,'Données projet'!$E$10+1,1))-AVERAGE(OFFSET($H$3,0,0,'Données projet'!$E$10+1,1))</f>
        <v>123.92486590666675</v>
      </c>
      <c r="AO159" s="59">
        <f t="shared" si="144"/>
        <v>54.404493017418986</v>
      </c>
      <c r="AP159" s="15">
        <f>IF(ISNA(VLOOKUP(A159,'Données projet'!$A$61:$I$81,3,0)),0,VLOOKUP(A159,'Données projet'!$A$61:$I$81,3,0))</f>
        <v>11</v>
      </c>
      <c r="AQ159" s="15">
        <f>IF(ISNA(VLOOKUP(A159,'Données projet'!$A$61:$I$81,4,0)),0,VLOOKUP(A159,'Données projet'!$A$61:$I$81,4,0))</f>
        <v>45.429487179487182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0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1.1368683772161603E-13</v>
      </c>
      <c r="BE159" s="13">
        <f>BD159*VLOOKUP('Données projet'!$B$11,Paramètres!$A$1:$I$89,3,0)*VLOOKUP('Données projet'!$B$11,Paramètres!$A$1:$I$89,5,0)</f>
        <v>6.3550942286383367E-14</v>
      </c>
      <c r="BF159" s="13">
        <f t="shared" si="167"/>
        <v>1.0064464192543978E-12</v>
      </c>
      <c r="BG159" s="20">
        <f t="shared" si="168"/>
        <v>1.8635787380168604E-12</v>
      </c>
      <c r="BH159" s="59">
        <f t="shared" si="116"/>
        <v>293.33333333333519</v>
      </c>
      <c r="BI159" s="59">
        <f ca="1">AVERAGE(OFFSET($BH$3,0,0,'Données projet'!$E$11+1,1))-AVERAGE(OFFSET($H$3,0,0,'Données projet'!$E$11+1,1))</f>
        <v>224.7049802939942</v>
      </c>
      <c r="BJ159" s="59">
        <f t="shared" si="146"/>
        <v>203.48513862195352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0.18400212152387369</v>
      </c>
      <c r="BQ159" s="21">
        <f>EXP(-LN(2)/25)*BQ158+(1-EXP(-LN(2)/25))/(LN(2)/25)*Calculateur!BL159*Calculateur!BN159*VLOOKUP('Données projet'!$B$11,Paramètres!$A$1:$I$89,3,0)*0.475*44/12</f>
        <v>0.59345713453319648</v>
      </c>
      <c r="BR159" s="21">
        <f>EXP(-LN(2)/2)*BR158+(1-EXP(-LN(2)/2))/(LN(2)/2)*BL159*BO159*VLOOKUP('Données projet'!$B$11,Paramètres!$A$1:$I$89,3,0)*0.475*44/12</f>
        <v>9.7151156380585795E-19</v>
      </c>
      <c r="BS159" s="22">
        <f t="shared" si="169"/>
        <v>0.77745925605707011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6.2527760746888816E-13</v>
      </c>
      <c r="BZ159" s="13">
        <f>BY159*VLOOKUP('Données projet'!$B$12,Paramètres!$A$1:$I$89,3,0)*VLOOKUP('Données projet'!$B$12,Paramètres!$A$1:$I$89,5,0)</f>
        <v>3.4953018257510848E-13</v>
      </c>
      <c r="CA159" s="13">
        <f t="shared" si="170"/>
        <v>4.5391562386470354E-12</v>
      </c>
      <c r="CB159" s="20">
        <f t="shared" si="171"/>
        <v>8.5144621836285662E-12</v>
      </c>
      <c r="CC159" s="59">
        <f t="shared" si="119"/>
        <v>293.33333333334184</v>
      </c>
      <c r="CD159" s="59">
        <f ca="1">AVERAGE(OFFSET($CC$3,0,0,'Données projet'!$E$12+1,1))-AVERAGE(OFFSET($H$3,0,0,'Données projet'!$E$12+1,1))</f>
        <v>190.08613104982993</v>
      </c>
      <c r="CE159" s="59">
        <f t="shared" si="148"/>
        <v>180.55054525447781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0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497</v>
      </c>
      <c r="CU159" s="17">
        <f>CT159*VLOOKUP('Données projet'!$B$13,Paramètres!$A$1:$I$89,3,0)*VLOOKUP('Données projet'!$B$13,Paramètres!$A$1:$I$89,5,0)</f>
        <v>297.20600000000002</v>
      </c>
      <c r="CV159" s="13">
        <f t="shared" si="173"/>
        <v>70.590415164571112</v>
      </c>
      <c r="CW159" s="20">
        <f t="shared" si="174"/>
        <v>640.57875641162809</v>
      </c>
      <c r="CX159" s="59">
        <f t="shared" si="122"/>
        <v>933.91208974496135</v>
      </c>
      <c r="CY159" s="59">
        <f ca="1">AVERAGE(OFFSET($CX$3,0,0,'Données projet'!$E$13+1,1))-AVERAGE(OFFSET($H$3,0,0,'Données projet'!$E$13+1,1))</f>
        <v>270.30888762640245</v>
      </c>
      <c r="CZ159" s="59">
        <f t="shared" si="150"/>
        <v>202.23783851977691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0.17663848052771622</v>
      </c>
      <c r="DG159" s="21">
        <f>EXP(-LN(2)/25)*DG158+(1-EXP(-LN(2)/25))/(LN(2)/25)*Calculateur!DB159*Calculateur!DD159*VLOOKUP('Données projet'!$B$13,Paramètres!$A$1:$I$89,3,0)*0.475*44/12</f>
        <v>0.37371859556856024</v>
      </c>
      <c r="DH159" s="21">
        <f>EXP(-LN(2)/2)*DH158+(1-EXP(-LN(2)/2))/(LN(2)/2)*DB159*DE159*VLOOKUP('Données projet'!$B$13,Paramètres!$A$1:$I$89,3,0)*0.475*44/12</f>
        <v>2.0049726404366827E-18</v>
      </c>
      <c r="DI159" s="22">
        <f t="shared" si="175"/>
        <v>0.55035707609627649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433.00000000000011</v>
      </c>
      <c r="DP159" s="17">
        <f>DO159*VLOOKUP('Données projet'!$B$14,Paramètres!$A$1:$I$89,3,0)*VLOOKUP('Données projet'!$B$14,Paramètres!$A$1:$I$89,5,0)</f>
        <v>258.93400000000008</v>
      </c>
      <c r="DQ159" s="13">
        <f t="shared" si="176"/>
        <v>62.495095530116075</v>
      </c>
      <c r="DR159" s="20">
        <f t="shared" si="177"/>
        <v>559.82234138161891</v>
      </c>
      <c r="DS159" s="59">
        <f t="shared" si="125"/>
        <v>853.15567471495228</v>
      </c>
      <c r="DT159" s="59">
        <f ca="1">AVERAGE(OFFSET($DS$3,0,0,'Données projet'!$E$14+1,1))-AVERAGE(OFFSET($H$3,0,0,'Données projet'!$E$14+1,1))</f>
        <v>221.14988592347311</v>
      </c>
      <c r="DU159" s="59">
        <f t="shared" si="152"/>
        <v>179.09262081171607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0.18841437922956406</v>
      </c>
      <c r="EB159" s="21">
        <f>EXP(-LN(2)/25)*EB158+(1-EXP(-LN(2)/25))/(LN(2)/25)*Calculateur!DW159*Calculateur!DY159*VLOOKUP('Données projet'!$B$14,Paramètres!$A$1:$I$89,3,0)*0.475*44/12</f>
        <v>0.31126479660821255</v>
      </c>
      <c r="EC159" s="21">
        <f>EXP(-LN(2)/2)*EC158+(1-EXP(-LN(2)/2))/(LN(2)/2)*DW159*DZ159*VLOOKUP('Données projet'!$B$14,Paramètres!$A$1:$I$89,3,0)*0.475*44/12</f>
        <v>2.1141679467121817E-18</v>
      </c>
      <c r="ED159" s="22">
        <f t="shared" si="178"/>
        <v>0.4996791758377766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2.2737367544323206E-13</v>
      </c>
      <c r="EK159" s="17">
        <f>EJ159*VLOOKUP('Données projet'!$B$15,Paramètres!$A$1:$I$89,3,0)*VLOOKUP('Données projet'!$B$15,Paramètres!$A$1:$I$89,5,0)</f>
        <v>1.2414602679200471E-13</v>
      </c>
      <c r="EL159" s="13">
        <f t="shared" si="179"/>
        <v>1.8186582995804361E-12</v>
      </c>
      <c r="EM159" s="20">
        <f t="shared" si="180"/>
        <v>3.3837175350986671E-12</v>
      </c>
      <c r="EN159" s="59">
        <f t="shared" si="128"/>
        <v>293.33333333333672</v>
      </c>
      <c r="EO159" s="59">
        <f ca="1">AVERAGE(OFFSET($EN$3,0,0,'Données projet'!$E$15+1,1))-AVERAGE(OFFSET($H$3,0,0,'Données projet'!$E$15+1,1))</f>
        <v>168.72306536277267</v>
      </c>
      <c r="EP159" s="59">
        <f t="shared" si="154"/>
        <v>203.35476578922339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0.25087784190893025</v>
      </c>
      <c r="EW159" s="21">
        <f>EXP(-LN(2)/25)*EW158+(1-EXP(-LN(2)/25))/(LN(2)/25)*Calculateur!ER159*Calculateur!ET159*VLOOKUP('Données projet'!$B$15,Paramètres!$A$1:$I$89,3,0)*0.475*44/12</f>
        <v>0.69864046635850885</v>
      </c>
      <c r="EX159" s="21">
        <f>EXP(-LN(2)/2)*EX158+(1-EXP(-LN(2)/2))/(LN(2)/2)*ER159*EU159*VLOOKUP('Données projet'!$B$15,Paramètres!$A$1:$I$89,3,0)*0.475*44/12</f>
        <v>2.1709898009185712E-18</v>
      </c>
      <c r="EY159" s="22">
        <f t="shared" si="181"/>
        <v>0.9495183082674391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3.4106051316484809E-13</v>
      </c>
      <c r="FF159" s="17">
        <f>FE159*VLOOKUP('Données projet'!$B$16,Paramètres!$A$1:$I$89,3,0)*VLOOKUP('Données projet'!$B$16,Paramètres!$A$1:$I$89,5,0)</f>
        <v>1.8621904018800707E-13</v>
      </c>
      <c r="FG159" s="13">
        <f t="shared" si="182"/>
        <v>2.6022279988572714E-12</v>
      </c>
      <c r="FH159" s="20">
        <f t="shared" si="183"/>
        <v>4.8565452596705266E-12</v>
      </c>
      <c r="FI159" s="59">
        <f t="shared" si="131"/>
        <v>293.33333333333815</v>
      </c>
      <c r="FJ159" s="59">
        <f ca="1">AVERAGE(OFFSET($FI$3,0,0,'Données projet'!$E$16+1,1))-AVERAGE(OFFSET($H$3,0,0,'Données projet'!$E$16+1,1))</f>
        <v>127.76128532861486</v>
      </c>
      <c r="FK159" s="59">
        <f t="shared" si="156"/>
        <v>157.52303491639736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>
        <f>EXP(-LN(2)/35)*FQ158+(1-EXP(-LN(2)/35))/(LN(2)/35)*FM159*FN159*VLOOKUP('Données projet'!$B$16,Paramètres!$A$1:$I$89,3,0)*0.475*44/12</f>
        <v>0.2007022735271442</v>
      </c>
      <c r="FR159" s="21">
        <f>EXP(-LN(2)/25)*FR158+(1-EXP(-LN(2)/25))/(LN(2)/25)*Calculateur!FM159*Calculateur!FO159*VLOOKUP('Données projet'!$B$16,Paramètres!$A$1:$I$89,3,0)*0.475*44/12</f>
        <v>0.4960926143076298</v>
      </c>
      <c r="FS159" s="21">
        <f>EXP(-LN(2)/2)*FS158+(1-EXP(-LN(2)/2))/(LN(2)/2)*FM159*FP159*VLOOKUP('Données projet'!$B$16,Paramètres!$A$1:$I$89,3,0)*0.475*44/12</f>
        <v>1.7235962442604022E-18</v>
      </c>
      <c r="FT159" s="22">
        <f t="shared" si="184"/>
        <v>0.69679488783477406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>
        <f>VLOOKUP(A160,'Données projet'!$A$35:$I$55,2,0)</f>
        <v>132.42948717948718</v>
      </c>
      <c r="L160" s="12">
        <f>VLOOKUP(A160,'Données projet'!$A$35:$I$55,9,0)</f>
        <v>1.8717948717948687</v>
      </c>
      <c r="M160" s="12">
        <f t="array" ref="M160">INDEX(L:L,MIN(IF(ISNUMBER(L160:L356),ROW(L160:L356),"")))</f>
        <v>1.8717948717948687</v>
      </c>
      <c r="N160" s="13">
        <f>IF('Données projet'!$A$36&gt;35,N159+M160-V159,IF(A160&lt;'Données projet'!$A$36,$K$205^A160,IF(A160='Données projet'!$A$36,'Données projet'!$B$36,N159+M160-V159)))</f>
        <v>132.42948717948659</v>
      </c>
      <c r="O160" s="13">
        <f>N160*VLOOKUP('Données projet'!$B$9,Paramètres!$A$1:$I$89,3,0)*VLOOKUP('Données projet'!$B$9,Paramètres!$A$1:$I$89,5,0)</f>
        <v>119.82219999999947</v>
      </c>
      <c r="P160" s="13">
        <f t="shared" si="141"/>
        <v>31.633526785966847</v>
      </c>
      <c r="Q160" s="20">
        <f t="shared" si="162"/>
        <v>263.7853908188913</v>
      </c>
      <c r="R160" s="59">
        <f t="shared" si="109"/>
        <v>557.11872415222456</v>
      </c>
      <c r="S160" s="59">
        <f ca="1">AVERAGE(OFFSET($R$3,0,0,'Données projet'!$E$9+1,1))-AVERAGE(OFFSET($H$3,0,0,'Données projet'!$E$9+1,1))</f>
        <v>153.45079678708987</v>
      </c>
      <c r="T160" s="59">
        <f t="shared" si="142"/>
        <v>115.4217868409637</v>
      </c>
      <c r="U160" s="15">
        <f>IF(ISNA(VLOOKUP(A160,'Données projet'!$A$35:$I$55,3,0)),0,VLOOKUP(A160,'Données projet'!$A$35:$I$55,3,0))</f>
        <v>14</v>
      </c>
      <c r="V160" s="15">
        <f>IF(ISNA(VLOOKUP(A160,'Données projet'!$A$35:$I$55,4,0)),0,VLOOKUP(A160,'Données projet'!$A$35:$I$55,4,0))</f>
        <v>45.71153846153846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0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5.1821581196581219</v>
      </c>
      <c r="AI160" s="13">
        <f>IF('Données projet'!$A$62&gt;35,AI159+AH160-AQ159,IF(A160&lt;'Données projet'!$A$62,$AF$205^A160,IF(A160='Données projet'!$A$62,'Données projet'!$B$62,AI159+AH160-AQ159)))</f>
        <v>242.31677350427344</v>
      </c>
      <c r="AJ160" s="13">
        <f>AI160*VLOOKUP('Données projet'!$B$10,Paramètres!$A$1:$I$89,3,0)*VLOOKUP('Données projet'!$B$10,Paramètres!$A$1:$I$89,5,0)</f>
        <v>219.24821666666659</v>
      </c>
      <c r="AK160" s="13">
        <f t="shared" si="164"/>
        <v>53.951456789696664</v>
      </c>
      <c r="AL160" s="20">
        <f t="shared" si="165"/>
        <v>475.82276460316598</v>
      </c>
      <c r="AM160" s="59">
        <f t="shared" si="113"/>
        <v>769.15609793649924</v>
      </c>
      <c r="AN160" s="59">
        <f ca="1">AVERAGE(OFFSET($AM$3,0,0,'Données projet'!$E$10+1,1))-AVERAGE(OFFSET($H$3,0,0,'Données projet'!$E$10+1,1))</f>
        <v>123.92486590666675</v>
      </c>
      <c r="AO160" s="59">
        <f t="shared" si="144"/>
        <v>54.404493017418986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0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1.1368683772161603E-13</v>
      </c>
      <c r="BE160" s="13">
        <f>BD160*VLOOKUP('Données projet'!$B$11,Paramètres!$A$1:$I$89,3,0)*VLOOKUP('Données projet'!$B$11,Paramètres!$A$1:$I$89,5,0)</f>
        <v>6.3550942286383367E-14</v>
      </c>
      <c r="BF160" s="13">
        <f t="shared" si="167"/>
        <v>1.0064464192543978E-12</v>
      </c>
      <c r="BG160" s="20">
        <f t="shared" si="168"/>
        <v>1.8635787380168604E-12</v>
      </c>
      <c r="BH160" s="59">
        <f t="shared" si="116"/>
        <v>293.33333333333519</v>
      </c>
      <c r="BI160" s="59">
        <f ca="1">AVERAGE(OFFSET($BH$3,0,0,'Données projet'!$E$11+1,1))-AVERAGE(OFFSET($H$3,0,0,'Données projet'!$E$11+1,1))</f>
        <v>224.7049802939942</v>
      </c>
      <c r="BJ160" s="59">
        <f t="shared" si="146"/>
        <v>203.48513862195352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0.18039395215100285</v>
      </c>
      <c r="BQ160" s="21">
        <f>EXP(-LN(2)/25)*BQ159+(1-EXP(-LN(2)/25))/(LN(2)/25)*Calculateur!BL160*Calculateur!BN160*VLOOKUP('Données projet'!$B$11,Paramètres!$A$1:$I$89,3,0)*0.475*44/12</f>
        <v>0.57722901798083193</v>
      </c>
      <c r="BR160" s="21">
        <f>EXP(-LN(2)/2)*BR159+(1-EXP(-LN(2)/2))/(LN(2)/2)*BL160*BO160*VLOOKUP('Données projet'!$B$11,Paramètres!$A$1:$I$89,3,0)*0.475*44/12</f>
        <v>6.869624147682694E-19</v>
      </c>
      <c r="BS160" s="22">
        <f t="shared" si="169"/>
        <v>0.75762297013183477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6.2527760746888816E-13</v>
      </c>
      <c r="BZ160" s="13">
        <f>BY160*VLOOKUP('Données projet'!$B$12,Paramètres!$A$1:$I$89,3,0)*VLOOKUP('Données projet'!$B$12,Paramètres!$A$1:$I$89,5,0)</f>
        <v>3.4953018257510848E-13</v>
      </c>
      <c r="CA160" s="13">
        <f t="shared" si="170"/>
        <v>4.5391562386470354E-12</v>
      </c>
      <c r="CB160" s="20">
        <f t="shared" si="171"/>
        <v>8.5144621836285662E-12</v>
      </c>
      <c r="CC160" s="59">
        <f t="shared" si="119"/>
        <v>293.33333333334184</v>
      </c>
      <c r="CD160" s="59">
        <f ca="1">AVERAGE(OFFSET($CC$3,0,0,'Données projet'!$E$12+1,1))-AVERAGE(OFFSET($H$3,0,0,'Données projet'!$E$12+1,1))</f>
        <v>190.08613104982993</v>
      </c>
      <c r="CE160" s="59">
        <f t="shared" si="148"/>
        <v>180.55054525447781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0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497</v>
      </c>
      <c r="CU160" s="17">
        <f>CT160*VLOOKUP('Données projet'!$B$13,Paramètres!$A$1:$I$89,3,0)*VLOOKUP('Données projet'!$B$13,Paramètres!$A$1:$I$89,5,0)</f>
        <v>297.20600000000002</v>
      </c>
      <c r="CV160" s="13">
        <f t="shared" si="173"/>
        <v>70.590415164571112</v>
      </c>
      <c r="CW160" s="20">
        <f t="shared" si="174"/>
        <v>640.57875641162809</v>
      </c>
      <c r="CX160" s="59">
        <f t="shared" si="122"/>
        <v>933.91208974496135</v>
      </c>
      <c r="CY160" s="59">
        <f ca="1">AVERAGE(OFFSET($CX$3,0,0,'Données projet'!$E$13+1,1))-AVERAGE(OFFSET($H$3,0,0,'Données projet'!$E$13+1,1))</f>
        <v>270.30888762640245</v>
      </c>
      <c r="CZ160" s="59">
        <f t="shared" si="150"/>
        <v>202.23783851977691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0.17317470766340251</v>
      </c>
      <c r="DG160" s="21">
        <f>EXP(-LN(2)/25)*DG159+(1-EXP(-LN(2)/25))/(LN(2)/25)*Calculateur!DB160*Calculateur!DD160*VLOOKUP('Données projet'!$B$13,Paramètres!$A$1:$I$89,3,0)*0.475*44/12</f>
        <v>0.36349924091973118</v>
      </c>
      <c r="DH160" s="21">
        <f>EXP(-LN(2)/2)*DH159+(1-EXP(-LN(2)/2))/(LN(2)/2)*DB160*DE160*VLOOKUP('Données projet'!$B$13,Paramètres!$A$1:$I$89,3,0)*0.475*44/12</f>
        <v>1.4177297501462758E-18</v>
      </c>
      <c r="DI160" s="22">
        <f t="shared" si="175"/>
        <v>0.53667394858313366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433.00000000000011</v>
      </c>
      <c r="DP160" s="17">
        <f>DO160*VLOOKUP('Données projet'!$B$14,Paramètres!$A$1:$I$89,3,0)*VLOOKUP('Données projet'!$B$14,Paramètres!$A$1:$I$89,5,0)</f>
        <v>258.93400000000008</v>
      </c>
      <c r="DQ160" s="13">
        <f t="shared" si="176"/>
        <v>62.495095530116075</v>
      </c>
      <c r="DR160" s="20">
        <f t="shared" si="177"/>
        <v>559.82234138161891</v>
      </c>
      <c r="DS160" s="59">
        <f t="shared" si="125"/>
        <v>853.15567471495228</v>
      </c>
      <c r="DT160" s="59">
        <f ca="1">AVERAGE(OFFSET($DS$3,0,0,'Données projet'!$E$14+1,1))-AVERAGE(OFFSET($H$3,0,0,'Données projet'!$E$14+1,1))</f>
        <v>221.14988592347311</v>
      </c>
      <c r="DU160" s="59">
        <f t="shared" si="152"/>
        <v>179.09262081171607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0.1847196881742961</v>
      </c>
      <c r="EB160" s="21">
        <f>EXP(-LN(2)/25)*EB159+(1-EXP(-LN(2)/25))/(LN(2)/25)*Calculateur!DW160*Calculateur!DY160*VLOOKUP('Données projet'!$B$14,Paramètres!$A$1:$I$89,3,0)*0.475*44/12</f>
        <v>0.30275324437625672</v>
      </c>
      <c r="EC160" s="21">
        <f>EXP(-LN(2)/2)*EC159+(1-EXP(-LN(2)/2))/(LN(2)/2)*DW160*DZ160*VLOOKUP('Données projet'!$B$14,Paramètres!$A$1:$I$89,3,0)*0.475*44/12</f>
        <v>1.4949424916874232E-18</v>
      </c>
      <c r="ED160" s="22">
        <f t="shared" si="178"/>
        <v>0.4874729325505528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2.2737367544323206E-13</v>
      </c>
      <c r="EK160" s="17">
        <f>EJ160*VLOOKUP('Données projet'!$B$15,Paramètres!$A$1:$I$89,3,0)*VLOOKUP('Données projet'!$B$15,Paramètres!$A$1:$I$89,5,0)</f>
        <v>1.2414602679200471E-13</v>
      </c>
      <c r="EL160" s="13">
        <f t="shared" si="179"/>
        <v>1.8186582995804361E-12</v>
      </c>
      <c r="EM160" s="20">
        <f t="shared" si="180"/>
        <v>3.3837175350986671E-12</v>
      </c>
      <c r="EN160" s="59">
        <f t="shared" si="128"/>
        <v>293.33333333333672</v>
      </c>
      <c r="EO160" s="59">
        <f ca="1">AVERAGE(OFFSET($EN$3,0,0,'Données projet'!$E$15+1,1))-AVERAGE(OFFSET($H$3,0,0,'Données projet'!$E$15+1,1))</f>
        <v>168.72306536277267</v>
      </c>
      <c r="EP160" s="59">
        <f t="shared" si="154"/>
        <v>203.35476578922339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0.24595828044947018</v>
      </c>
      <c r="EW160" s="21">
        <f>EXP(-LN(2)/25)*EW159+(1-EXP(-LN(2)/25))/(LN(2)/25)*Calculateur!ER160*Calculateur!ET160*VLOOKUP('Données projet'!$B$15,Paramètres!$A$1:$I$89,3,0)*0.475*44/12</f>
        <v>0.6795361060660301</v>
      </c>
      <c r="EX160" s="21">
        <f>EXP(-LN(2)/2)*EX159+(1-EXP(-LN(2)/2))/(LN(2)/2)*ER160*EU160*VLOOKUP('Données projet'!$B$15,Paramètres!$A$1:$I$89,3,0)*0.475*44/12</f>
        <v>1.5351216101163545E-18</v>
      </c>
      <c r="EY160" s="22">
        <f t="shared" si="181"/>
        <v>0.92549438651550031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3.4106051316484809E-13</v>
      </c>
      <c r="FF160" s="17">
        <f>FE160*VLOOKUP('Données projet'!$B$16,Paramètres!$A$1:$I$89,3,0)*VLOOKUP('Données projet'!$B$16,Paramètres!$A$1:$I$89,5,0)</f>
        <v>1.8621904018800707E-13</v>
      </c>
      <c r="FG160" s="13">
        <f t="shared" si="182"/>
        <v>2.6022279988572714E-12</v>
      </c>
      <c r="FH160" s="20">
        <f t="shared" si="183"/>
        <v>4.8565452596705266E-12</v>
      </c>
      <c r="FI160" s="59">
        <f t="shared" si="131"/>
        <v>293.33333333333815</v>
      </c>
      <c r="FJ160" s="59">
        <f ca="1">AVERAGE(OFFSET($FI$3,0,0,'Données projet'!$E$16+1,1))-AVERAGE(OFFSET($H$3,0,0,'Données projet'!$E$16+1,1))</f>
        <v>127.76128532861486</v>
      </c>
      <c r="FK160" s="59">
        <f t="shared" si="156"/>
        <v>157.52303491639736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>
        <f>EXP(-LN(2)/35)*FQ159+(1-EXP(-LN(2)/35))/(LN(2)/35)*FM160*FN160*VLOOKUP('Données projet'!$B$16,Paramètres!$A$1:$I$89,3,0)*0.475*44/12</f>
        <v>0.19676662435957615</v>
      </c>
      <c r="FR160" s="21">
        <f>EXP(-LN(2)/25)*FR159+(1-EXP(-LN(2)/25))/(LN(2)/25)*Calculateur!FM160*Calculateur!FO160*VLOOKUP('Données projet'!$B$16,Paramètres!$A$1:$I$89,3,0)*0.475*44/12</f>
        <v>0.4825269356810109</v>
      </c>
      <c r="FS160" s="21">
        <f>EXP(-LN(2)/2)*FS159+(1-EXP(-LN(2)/2))/(LN(2)/2)*FM160*FP160*VLOOKUP('Données projet'!$B$16,Paramètres!$A$1:$I$89,3,0)*0.475*44/12</f>
        <v>1.2187665923441955E-18</v>
      </c>
      <c r="FT160" s="22">
        <f t="shared" si="184"/>
        <v>0.67929356004058705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1.1618589743589709</v>
      </c>
      <c r="N161" s="13">
        <f>IF('Données projet'!$A$36&gt;35,N160+M161-V160,IF(A161&lt;'Données projet'!$A$36,$K$205^A161,IF(A161='Données projet'!$A$36,'Données projet'!$B$36,N160+M161-V160)))</f>
        <v>87.879807692307111</v>
      </c>
      <c r="O161" s="13">
        <f>N161*VLOOKUP('Données projet'!$B$9,Paramètres!$A$1:$I$89,3,0)*VLOOKUP('Données projet'!$B$9,Paramètres!$A$1:$I$89,5,0)</f>
        <v>79.513649999999473</v>
      </c>
      <c r="P161" s="13">
        <f t="shared" si="141"/>
        <v>22.01822685528159</v>
      </c>
      <c r="Q161" s="20">
        <f t="shared" si="162"/>
        <v>176.83468552294786</v>
      </c>
      <c r="R161" s="59">
        <f t="shared" si="109"/>
        <v>470.16801885628115</v>
      </c>
      <c r="S161" s="59">
        <f ca="1">AVERAGE(OFFSET($R$3,0,0,'Données projet'!$E$9+1,1))-AVERAGE(OFFSET($H$3,0,0,'Données projet'!$E$9+1,1))</f>
        <v>153.45079678708987</v>
      </c>
      <c r="T161" s="59">
        <f t="shared" si="142"/>
        <v>115.4217868409637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0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5.1821581196581219</v>
      </c>
      <c r="AI161" s="13">
        <f>IF('Données projet'!$A$62&gt;35,AI160+AH161-AQ160,IF(A161&lt;'Données projet'!$A$62,$AF$205^A161,IF(A161='Données projet'!$A$62,'Données projet'!$B$62,AI160+AH161-AQ160)))</f>
        <v>247.49893162393155</v>
      </c>
      <c r="AJ161" s="13">
        <f>AI161*VLOOKUP('Données projet'!$B$10,Paramètres!$A$1:$I$89,3,0)*VLOOKUP('Données projet'!$B$10,Paramètres!$A$1:$I$89,5,0)</f>
        <v>223.93703333333326</v>
      </c>
      <c r="AK161" s="13">
        <f t="shared" si="164"/>
        <v>54.969695116226767</v>
      </c>
      <c r="AL161" s="20">
        <f t="shared" si="165"/>
        <v>485.76255204965037</v>
      </c>
      <c r="AM161" s="59">
        <f t="shared" si="113"/>
        <v>779.09588538298362</v>
      </c>
      <c r="AN161" s="59">
        <f ca="1">AVERAGE(OFFSET($AM$3,0,0,'Données projet'!$E$10+1,1))-AVERAGE(OFFSET($H$3,0,0,'Données projet'!$E$10+1,1))</f>
        <v>123.92486590666675</v>
      </c>
      <c r="AO161" s="59">
        <f t="shared" si="144"/>
        <v>54.404493017418986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0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1.1368683772161603E-13</v>
      </c>
      <c r="BE161" s="13">
        <f>BD161*VLOOKUP('Données projet'!$B$11,Paramètres!$A$1:$I$89,3,0)*VLOOKUP('Données projet'!$B$11,Paramètres!$A$1:$I$89,5,0)</f>
        <v>6.3550942286383367E-14</v>
      </c>
      <c r="BF161" s="13">
        <f t="shared" si="167"/>
        <v>1.0064464192543978E-12</v>
      </c>
      <c r="BG161" s="20">
        <f t="shared" si="168"/>
        <v>1.8635787380168604E-12</v>
      </c>
      <c r="BH161" s="59">
        <f t="shared" si="116"/>
        <v>293.33333333333519</v>
      </c>
      <c r="BI161" s="59">
        <f ca="1">AVERAGE(OFFSET($BH$3,0,0,'Données projet'!$E$11+1,1))-AVERAGE(OFFSET($H$3,0,0,'Données projet'!$E$11+1,1))</f>
        <v>224.7049802939942</v>
      </c>
      <c r="BJ161" s="59">
        <f t="shared" si="146"/>
        <v>203.48513862195352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0.17685653677876798</v>
      </c>
      <c r="BQ161" s="21">
        <f>EXP(-LN(2)/25)*BQ160+(1-EXP(-LN(2)/25))/(LN(2)/25)*Calculateur!BL161*Calculateur!BN161*VLOOKUP('Données projet'!$B$11,Paramètres!$A$1:$I$89,3,0)*0.475*44/12</f>
        <v>0.5614446601289913</v>
      </c>
      <c r="BR161" s="21">
        <f>EXP(-LN(2)/2)*BR160+(1-EXP(-LN(2)/2))/(LN(2)/2)*BL161*BO161*VLOOKUP('Données projet'!$B$11,Paramètres!$A$1:$I$89,3,0)*0.475*44/12</f>
        <v>4.8575578190292898E-19</v>
      </c>
      <c r="BS161" s="22">
        <f t="shared" si="169"/>
        <v>0.73830119690775931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6.2527760746888816E-13</v>
      </c>
      <c r="BZ161" s="13">
        <f>BY161*VLOOKUP('Données projet'!$B$12,Paramètres!$A$1:$I$89,3,0)*VLOOKUP('Données projet'!$B$12,Paramètres!$A$1:$I$89,5,0)</f>
        <v>3.4953018257510848E-13</v>
      </c>
      <c r="CA161" s="13">
        <f t="shared" si="170"/>
        <v>4.5391562386470354E-12</v>
      </c>
      <c r="CB161" s="20">
        <f t="shared" si="171"/>
        <v>8.5144621836285662E-12</v>
      </c>
      <c r="CC161" s="59">
        <f t="shared" si="119"/>
        <v>293.33333333334184</v>
      </c>
      <c r="CD161" s="59">
        <f ca="1">AVERAGE(OFFSET($CC$3,0,0,'Données projet'!$E$12+1,1))-AVERAGE(OFFSET($H$3,0,0,'Données projet'!$E$12+1,1))</f>
        <v>190.08613104982993</v>
      </c>
      <c r="CE161" s="59">
        <f t="shared" si="148"/>
        <v>180.55054525447781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0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497</v>
      </c>
      <c r="CU161" s="17">
        <f>CT161*VLOOKUP('Données projet'!$B$13,Paramètres!$A$1:$I$89,3,0)*VLOOKUP('Données projet'!$B$13,Paramètres!$A$1:$I$89,5,0)</f>
        <v>297.20600000000002</v>
      </c>
      <c r="CV161" s="13">
        <f t="shared" si="173"/>
        <v>70.590415164571112</v>
      </c>
      <c r="CW161" s="20">
        <f t="shared" si="174"/>
        <v>640.57875641162809</v>
      </c>
      <c r="CX161" s="59">
        <f t="shared" si="122"/>
        <v>933.91208974496135</v>
      </c>
      <c r="CY161" s="59">
        <f ca="1">AVERAGE(OFFSET($CX$3,0,0,'Données projet'!$E$13+1,1))-AVERAGE(OFFSET($H$3,0,0,'Données projet'!$E$13+1,1))</f>
        <v>270.30888762640245</v>
      </c>
      <c r="CZ161" s="59">
        <f t="shared" si="150"/>
        <v>202.23783851977691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0.16977885727226516</v>
      </c>
      <c r="DG161" s="21">
        <f>EXP(-LN(2)/25)*DG160+(1-EXP(-LN(2)/25))/(LN(2)/25)*Calculateur!DB161*Calculateur!DD161*VLOOKUP('Données projet'!$B$13,Paramètres!$A$1:$I$89,3,0)*0.475*44/12</f>
        <v>0.35355933506118686</v>
      </c>
      <c r="DH161" s="21">
        <f>EXP(-LN(2)/2)*DH160+(1-EXP(-LN(2)/2))/(LN(2)/2)*DB161*DE161*VLOOKUP('Données projet'!$B$13,Paramètres!$A$1:$I$89,3,0)*0.475*44/12</f>
        <v>1.0024863202183413E-18</v>
      </c>
      <c r="DI161" s="22">
        <f t="shared" si="175"/>
        <v>0.52333819233345202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433.00000000000011</v>
      </c>
      <c r="DP161" s="17">
        <f>DO161*VLOOKUP('Données projet'!$B$14,Paramètres!$A$1:$I$89,3,0)*VLOOKUP('Données projet'!$B$14,Paramètres!$A$1:$I$89,5,0)</f>
        <v>258.93400000000008</v>
      </c>
      <c r="DQ161" s="13">
        <f t="shared" si="176"/>
        <v>62.495095530116075</v>
      </c>
      <c r="DR161" s="20">
        <f t="shared" si="177"/>
        <v>559.82234138161891</v>
      </c>
      <c r="DS161" s="59">
        <f t="shared" si="125"/>
        <v>853.15567471495228</v>
      </c>
      <c r="DT161" s="59">
        <f ca="1">AVERAGE(OFFSET($DS$3,0,0,'Données projet'!$E$14+1,1))-AVERAGE(OFFSET($H$3,0,0,'Données projet'!$E$14+1,1))</f>
        <v>221.14988592347311</v>
      </c>
      <c r="DU161" s="59">
        <f t="shared" si="152"/>
        <v>179.09262081171607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0.18109744775708292</v>
      </c>
      <c r="EB161" s="21">
        <f>EXP(-LN(2)/25)*EB160+(1-EXP(-LN(2)/25))/(LN(2)/25)*Calculateur!DW161*Calculateur!DY161*VLOOKUP('Données projet'!$B$14,Paramètres!$A$1:$I$89,3,0)*0.475*44/12</f>
        <v>0.29447444098768683</v>
      </c>
      <c r="EC161" s="21">
        <f>EXP(-LN(2)/2)*EC160+(1-EXP(-LN(2)/2))/(LN(2)/2)*DW161*DZ161*VLOOKUP('Données projet'!$B$14,Paramètres!$A$1:$I$89,3,0)*0.475*44/12</f>
        <v>1.0570839733560909E-18</v>
      </c>
      <c r="ED161" s="22">
        <f t="shared" si="178"/>
        <v>0.47557188874476974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2.2737367544323206E-13</v>
      </c>
      <c r="EK161" s="17">
        <f>EJ161*VLOOKUP('Données projet'!$B$15,Paramètres!$A$1:$I$89,3,0)*VLOOKUP('Données projet'!$B$15,Paramètres!$A$1:$I$89,5,0)</f>
        <v>1.2414602679200471E-13</v>
      </c>
      <c r="EL161" s="13">
        <f t="shared" si="179"/>
        <v>1.8186582995804361E-12</v>
      </c>
      <c r="EM161" s="20">
        <f t="shared" si="180"/>
        <v>3.3837175350986671E-12</v>
      </c>
      <c r="EN161" s="59">
        <f t="shared" si="128"/>
        <v>293.33333333333672</v>
      </c>
      <c r="EO161" s="59">
        <f ca="1">AVERAGE(OFFSET($EN$3,0,0,'Données projet'!$E$15+1,1))-AVERAGE(OFFSET($H$3,0,0,'Données projet'!$E$15+1,1))</f>
        <v>168.72306536277267</v>
      </c>
      <c r="EP161" s="59">
        <f t="shared" si="154"/>
        <v>203.35476578922339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0.24113518858959393</v>
      </c>
      <c r="EW161" s="21">
        <f>EXP(-LN(2)/25)*EW160+(1-EXP(-LN(2)/25))/(LN(2)/25)*Calculateur!ER161*Calculateur!ET161*VLOOKUP('Données projet'!$B$15,Paramètres!$A$1:$I$89,3,0)*0.475*44/12</f>
        <v>0.66095415551040382</v>
      </c>
      <c r="EX161" s="21">
        <f>EXP(-LN(2)/2)*EX160+(1-EXP(-LN(2)/2))/(LN(2)/2)*ER161*EU161*VLOOKUP('Données projet'!$B$15,Paramètres!$A$1:$I$89,3,0)*0.475*44/12</f>
        <v>1.0854949004592856E-18</v>
      </c>
      <c r="EY161" s="22">
        <f t="shared" si="181"/>
        <v>0.90208934409999775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3.4106051316484809E-13</v>
      </c>
      <c r="FF161" s="17">
        <f>FE161*VLOOKUP('Données projet'!$B$16,Paramètres!$A$1:$I$89,3,0)*VLOOKUP('Données projet'!$B$16,Paramètres!$A$1:$I$89,5,0)</f>
        <v>1.8621904018800707E-13</v>
      </c>
      <c r="FG161" s="13">
        <f t="shared" si="182"/>
        <v>2.6022279988572714E-12</v>
      </c>
      <c r="FH161" s="20">
        <f t="shared" si="183"/>
        <v>4.8565452596705266E-12</v>
      </c>
      <c r="FI161" s="59">
        <f t="shared" si="131"/>
        <v>293.33333333333815</v>
      </c>
      <c r="FJ161" s="59">
        <f ca="1">AVERAGE(OFFSET($FI$3,0,0,'Données projet'!$E$16+1,1))-AVERAGE(OFFSET($H$3,0,0,'Données projet'!$E$16+1,1))</f>
        <v>127.76128532861486</v>
      </c>
      <c r="FK161" s="59">
        <f t="shared" si="156"/>
        <v>157.52303491639736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>
        <f>EXP(-LN(2)/35)*FQ160+(1-EXP(-LN(2)/35))/(LN(2)/35)*FM161*FN161*VLOOKUP('Données projet'!$B$16,Paramètres!$A$1:$I$89,3,0)*0.475*44/12</f>
        <v>0.19290815087167515</v>
      </c>
      <c r="FR161" s="21">
        <f>EXP(-LN(2)/25)*FR160+(1-EXP(-LN(2)/25))/(LN(2)/25)*Calculateur!FM161*Calculateur!FO161*VLOOKUP('Données projet'!$B$16,Paramètres!$A$1:$I$89,3,0)*0.475*44/12</f>
        <v>0.46933221124982494</v>
      </c>
      <c r="FS161" s="21">
        <f>EXP(-LN(2)/2)*FS160+(1-EXP(-LN(2)/2))/(LN(2)/2)*FM161*FP161*VLOOKUP('Données projet'!$B$16,Paramètres!$A$1:$I$89,3,0)*0.475*44/12</f>
        <v>8.6179812213020122E-19</v>
      </c>
      <c r="FT161" s="22">
        <f t="shared" si="184"/>
        <v>0.66224036212150006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1.1618589743589709</v>
      </c>
      <c r="N162" s="13">
        <f>IF('Données projet'!$A$36&gt;35,N161+M162-V161,IF(A162&lt;'Données projet'!$A$36,$K$205^A162,IF(A162='Données projet'!$A$36,'Données projet'!$B$36,N161+M162-V161)))</f>
        <v>89.041666666666089</v>
      </c>
      <c r="O162" s="13">
        <f>N162*VLOOKUP('Données projet'!$B$9,Paramètres!$A$1:$I$89,3,0)*VLOOKUP('Données projet'!$B$9,Paramètres!$A$1:$I$89,5,0)</f>
        <v>80.564899999999483</v>
      </c>
      <c r="P162" s="13">
        <f t="shared" si="141"/>
        <v>22.275248501153087</v>
      </c>
      <c r="Q162" s="20">
        <f t="shared" si="162"/>
        <v>179.11325863950739</v>
      </c>
      <c r="R162" s="59">
        <f t="shared" si="109"/>
        <v>472.44659197284068</v>
      </c>
      <c r="S162" s="59">
        <f ca="1">AVERAGE(OFFSET($R$3,0,0,'Données projet'!$E$9+1,1))-AVERAGE(OFFSET($H$3,0,0,'Données projet'!$E$9+1,1))</f>
        <v>153.45079678708987</v>
      </c>
      <c r="T162" s="59">
        <f t="shared" si="142"/>
        <v>115.4217868409637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0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5.1821581196581219</v>
      </c>
      <c r="AI162" s="13">
        <f>IF('Données projet'!$A$62&gt;35,AI161+AH162-AQ161,IF(A162&lt;'Données projet'!$A$62,$AF$205^A162,IF(A162='Données projet'!$A$62,'Données projet'!$B$62,AI161+AH162-AQ161)))</f>
        <v>252.68108974358967</v>
      </c>
      <c r="AJ162" s="13">
        <f>AI162*VLOOKUP('Données projet'!$B$10,Paramètres!$A$1:$I$89,3,0)*VLOOKUP('Données projet'!$B$10,Paramètres!$A$1:$I$89,5,0)</f>
        <v>228.6258499999999</v>
      </c>
      <c r="AK162" s="13">
        <f t="shared" si="164"/>
        <v>55.985454627430912</v>
      </c>
      <c r="AL162" s="20">
        <f t="shared" si="165"/>
        <v>495.69802222610861</v>
      </c>
      <c r="AM162" s="59">
        <f t="shared" si="113"/>
        <v>789.03135555944186</v>
      </c>
      <c r="AN162" s="59">
        <f ca="1">AVERAGE(OFFSET($AM$3,0,0,'Données projet'!$E$10+1,1))-AVERAGE(OFFSET($H$3,0,0,'Données projet'!$E$10+1,1))</f>
        <v>123.92486590666675</v>
      </c>
      <c r="AO162" s="59">
        <f t="shared" si="144"/>
        <v>54.404493017418986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0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1.1368683772161603E-13</v>
      </c>
      <c r="BE162" s="13">
        <f>BD162*VLOOKUP('Données projet'!$B$11,Paramètres!$A$1:$I$89,3,0)*VLOOKUP('Données projet'!$B$11,Paramètres!$A$1:$I$89,5,0)</f>
        <v>6.3550942286383367E-14</v>
      </c>
      <c r="BF162" s="13">
        <f t="shared" si="167"/>
        <v>1.0064464192543978E-12</v>
      </c>
      <c r="BG162" s="20">
        <f t="shared" si="168"/>
        <v>1.8635787380168604E-12</v>
      </c>
      <c r="BH162" s="59">
        <f t="shared" si="116"/>
        <v>293.33333333333519</v>
      </c>
      <c r="BI162" s="59">
        <f ca="1">AVERAGE(OFFSET($BH$3,0,0,'Données projet'!$E$11+1,1))-AVERAGE(OFFSET($H$3,0,0,'Données projet'!$E$11+1,1))</f>
        <v>224.7049802939942</v>
      </c>
      <c r="BJ162" s="59">
        <f t="shared" si="146"/>
        <v>203.48513862195352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0.17338848796437231</v>
      </c>
      <c r="BQ162" s="21">
        <f>EXP(-LN(2)/25)*BQ161+(1-EXP(-LN(2)/25))/(LN(2)/25)*Calculateur!BL162*Calculateur!BN162*VLOOKUP('Données projet'!$B$11,Paramètres!$A$1:$I$89,3,0)*0.475*44/12</f>
        <v>0.54609192637267256</v>
      </c>
      <c r="BR162" s="21">
        <f>EXP(-LN(2)/2)*BR161+(1-EXP(-LN(2)/2))/(LN(2)/2)*BL162*BO162*VLOOKUP('Données projet'!$B$11,Paramètres!$A$1:$I$89,3,0)*0.475*44/12</f>
        <v>3.434812073841347E-19</v>
      </c>
      <c r="BS162" s="22">
        <f t="shared" si="169"/>
        <v>0.7194804143370449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6.2527760746888816E-13</v>
      </c>
      <c r="BZ162" s="13">
        <f>BY162*VLOOKUP('Données projet'!$B$12,Paramètres!$A$1:$I$89,3,0)*VLOOKUP('Données projet'!$B$12,Paramètres!$A$1:$I$89,5,0)</f>
        <v>3.4953018257510848E-13</v>
      </c>
      <c r="CA162" s="13">
        <f t="shared" si="170"/>
        <v>4.5391562386470354E-12</v>
      </c>
      <c r="CB162" s="20">
        <f t="shared" si="171"/>
        <v>8.5144621836285662E-12</v>
      </c>
      <c r="CC162" s="59">
        <f t="shared" si="119"/>
        <v>293.33333333334184</v>
      </c>
      <c r="CD162" s="59">
        <f ca="1">AVERAGE(OFFSET($CC$3,0,0,'Données projet'!$E$12+1,1))-AVERAGE(OFFSET($H$3,0,0,'Données projet'!$E$12+1,1))</f>
        <v>190.08613104982993</v>
      </c>
      <c r="CE162" s="59">
        <f t="shared" si="148"/>
        <v>180.55054525447781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0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497</v>
      </c>
      <c r="CU162" s="17">
        <f>CT162*VLOOKUP('Données projet'!$B$13,Paramètres!$A$1:$I$89,3,0)*VLOOKUP('Données projet'!$B$13,Paramètres!$A$1:$I$89,5,0)</f>
        <v>297.20600000000002</v>
      </c>
      <c r="CV162" s="13">
        <f t="shared" si="173"/>
        <v>70.590415164571112</v>
      </c>
      <c r="CW162" s="20">
        <f t="shared" si="174"/>
        <v>640.57875641162809</v>
      </c>
      <c r="CX162" s="59">
        <f t="shared" si="122"/>
        <v>933.91208974496135</v>
      </c>
      <c r="CY162" s="59">
        <f ca="1">AVERAGE(OFFSET($CX$3,0,0,'Données projet'!$E$13+1,1))-AVERAGE(OFFSET($H$3,0,0,'Données projet'!$E$13+1,1))</f>
        <v>270.30888762640245</v>
      </c>
      <c r="CZ162" s="59">
        <f t="shared" si="150"/>
        <v>202.23783851977691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0.16644959743603377</v>
      </c>
      <c r="DG162" s="21">
        <f>EXP(-LN(2)/25)*DG161+(1-EXP(-LN(2)/25))/(LN(2)/25)*Calculateur!DB162*Calculateur!DD162*VLOOKUP('Données projet'!$B$13,Paramètres!$A$1:$I$89,3,0)*0.475*44/12</f>
        <v>0.34389123645106134</v>
      </c>
      <c r="DH162" s="21">
        <f>EXP(-LN(2)/2)*DH161+(1-EXP(-LN(2)/2))/(LN(2)/2)*DB162*DE162*VLOOKUP('Données projet'!$B$13,Paramètres!$A$1:$I$89,3,0)*0.475*44/12</f>
        <v>7.0886487507313791E-19</v>
      </c>
      <c r="DI162" s="22">
        <f t="shared" si="175"/>
        <v>0.51034083388709517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433.00000000000011</v>
      </c>
      <c r="DP162" s="17">
        <f>DO162*VLOOKUP('Données projet'!$B$14,Paramètres!$A$1:$I$89,3,0)*VLOOKUP('Données projet'!$B$14,Paramètres!$A$1:$I$89,5,0)</f>
        <v>258.93400000000008</v>
      </c>
      <c r="DQ162" s="13">
        <f t="shared" si="176"/>
        <v>62.495095530116075</v>
      </c>
      <c r="DR162" s="20">
        <f t="shared" si="177"/>
        <v>559.82234138161891</v>
      </c>
      <c r="DS162" s="59">
        <f t="shared" si="125"/>
        <v>853.15567471495228</v>
      </c>
      <c r="DT162" s="59">
        <f ca="1">AVERAGE(OFFSET($DS$3,0,0,'Données projet'!$E$14+1,1))-AVERAGE(OFFSET($H$3,0,0,'Données projet'!$E$14+1,1))</f>
        <v>221.14988592347311</v>
      </c>
      <c r="DU162" s="59">
        <f t="shared" si="152"/>
        <v>179.09262081171607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0.17754623726510277</v>
      </c>
      <c r="EB162" s="21">
        <f>EXP(-LN(2)/25)*EB161+(1-EXP(-LN(2)/25))/(LN(2)/25)*Calculateur!DW162*Calculateur!DY162*VLOOKUP('Données projet'!$B$14,Paramètres!$A$1:$I$89,3,0)*0.475*44/12</f>
        <v>0.2864220219131407</v>
      </c>
      <c r="EC162" s="21">
        <f>EXP(-LN(2)/2)*EC161+(1-EXP(-LN(2)/2))/(LN(2)/2)*DW162*DZ162*VLOOKUP('Données projet'!$B$14,Paramètres!$A$1:$I$89,3,0)*0.475*44/12</f>
        <v>7.4747124584371159E-19</v>
      </c>
      <c r="ED162" s="22">
        <f t="shared" si="178"/>
        <v>0.46396825917824347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2.2737367544323206E-13</v>
      </c>
      <c r="EK162" s="17">
        <f>EJ162*VLOOKUP('Données projet'!$B$15,Paramètres!$A$1:$I$89,3,0)*VLOOKUP('Données projet'!$B$15,Paramètres!$A$1:$I$89,5,0)</f>
        <v>1.2414602679200471E-13</v>
      </c>
      <c r="EL162" s="13">
        <f t="shared" si="179"/>
        <v>1.8186582995804361E-12</v>
      </c>
      <c r="EM162" s="20">
        <f t="shared" si="180"/>
        <v>3.3837175350986671E-12</v>
      </c>
      <c r="EN162" s="59">
        <f t="shared" si="128"/>
        <v>293.33333333333672</v>
      </c>
      <c r="EO162" s="59">
        <f ca="1">AVERAGE(OFFSET($EN$3,0,0,'Données projet'!$E$15+1,1))-AVERAGE(OFFSET($H$3,0,0,'Données projet'!$E$15+1,1))</f>
        <v>168.72306536277267</v>
      </c>
      <c r="EP162" s="59">
        <f t="shared" si="154"/>
        <v>203.35476578922339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0.23640667461929429</v>
      </c>
      <c r="EW162" s="21">
        <f>EXP(-LN(2)/25)*EW161+(1-EXP(-LN(2)/25))/(LN(2)/25)*Calculateur!ER162*Calculateur!ET162*VLOOKUP('Données projet'!$B$15,Paramètres!$A$1:$I$89,3,0)*0.475*44/12</f>
        <v>0.64288032936990347</v>
      </c>
      <c r="EX162" s="21">
        <f>EXP(-LN(2)/2)*EX161+(1-EXP(-LN(2)/2))/(LN(2)/2)*ER162*EU162*VLOOKUP('Données projet'!$B$15,Paramètres!$A$1:$I$89,3,0)*0.475*44/12</f>
        <v>7.6756080505817726E-19</v>
      </c>
      <c r="EY162" s="22">
        <f t="shared" si="181"/>
        <v>0.87928700398919779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3.4106051316484809E-13</v>
      </c>
      <c r="FF162" s="17">
        <f>FE162*VLOOKUP('Données projet'!$B$16,Paramètres!$A$1:$I$89,3,0)*VLOOKUP('Données projet'!$B$16,Paramètres!$A$1:$I$89,5,0)</f>
        <v>1.8621904018800707E-13</v>
      </c>
      <c r="FG162" s="13">
        <f t="shared" si="182"/>
        <v>2.6022279988572714E-12</v>
      </c>
      <c r="FH162" s="20">
        <f t="shared" si="183"/>
        <v>4.8565452596705266E-12</v>
      </c>
      <c r="FI162" s="59">
        <f t="shared" si="131"/>
        <v>293.33333333333815</v>
      </c>
      <c r="FJ162" s="59">
        <f ca="1">AVERAGE(OFFSET($FI$3,0,0,'Données projet'!$E$16+1,1))-AVERAGE(OFFSET($H$3,0,0,'Données projet'!$E$16+1,1))</f>
        <v>127.76128532861486</v>
      </c>
      <c r="FK162" s="59">
        <f t="shared" si="156"/>
        <v>157.52303491639736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>
        <f>EXP(-LN(2)/35)*FQ161+(1-EXP(-LN(2)/35))/(LN(2)/35)*FM162*FN162*VLOOKUP('Données projet'!$B$16,Paramètres!$A$1:$I$89,3,0)*0.475*44/12</f>
        <v>0.18912533969543543</v>
      </c>
      <c r="FR162" s="21">
        <f>EXP(-LN(2)/25)*FR161+(1-EXP(-LN(2)/25))/(LN(2)/25)*Calculateur!FM162*Calculateur!FO162*VLOOKUP('Données projet'!$B$16,Paramètres!$A$1:$I$89,3,0)*0.475*44/12</f>
        <v>0.45649829725209018</v>
      </c>
      <c r="FS162" s="21">
        <f>EXP(-LN(2)/2)*FS161+(1-EXP(-LN(2)/2))/(LN(2)/2)*FM162*FP162*VLOOKUP('Données projet'!$B$16,Paramètres!$A$1:$I$89,3,0)*0.475*44/12</f>
        <v>6.0938329617209783E-19</v>
      </c>
      <c r="FT162" s="22">
        <f t="shared" si="184"/>
        <v>0.64562363694752567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1.1618589743589709</v>
      </c>
      <c r="N163" s="13">
        <f>IF('Données projet'!$A$36&gt;35,N162+M163-V162,IF(A163&lt;'Données projet'!$A$36,$K$205^A163,IF(A163='Données projet'!$A$36,'Données projet'!$B$36,N162+M163-V162)))</f>
        <v>90.203525641025067</v>
      </c>
      <c r="O163" s="13">
        <f>N163*VLOOKUP('Données projet'!$B$9,Paramètres!$A$1:$I$89,3,0)*VLOOKUP('Données projet'!$B$9,Paramètres!$A$1:$I$89,5,0)</f>
        <v>81.616149999999479</v>
      </c>
      <c r="P163" s="13">
        <f t="shared" si="141"/>
        <v>22.531880055891996</v>
      </c>
      <c r="Q163" s="20">
        <f t="shared" si="162"/>
        <v>181.39115234734427</v>
      </c>
      <c r="R163" s="59">
        <f t="shared" si="109"/>
        <v>474.72448568067762</v>
      </c>
      <c r="S163" s="59">
        <f ca="1">AVERAGE(OFFSET($R$3,0,0,'Données projet'!$E$9+1,1))-AVERAGE(OFFSET($H$3,0,0,'Données projet'!$E$9+1,1))</f>
        <v>153.45079678708987</v>
      </c>
      <c r="T163" s="59">
        <f t="shared" si="142"/>
        <v>115.4217868409637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0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5.1821581196581219</v>
      </c>
      <c r="AI163" s="13">
        <f>IF('Données projet'!$A$62&gt;35,AI162+AH163-AQ162,IF(A163&lt;'Données projet'!$A$62,$AF$205^A163,IF(A163='Données projet'!$A$62,'Données projet'!$B$62,AI162+AH163-AQ162)))</f>
        <v>257.86324786324781</v>
      </c>
      <c r="AJ163" s="13">
        <f>AI163*VLOOKUP('Données projet'!$B$10,Paramètres!$A$1:$I$89,3,0)*VLOOKUP('Données projet'!$B$10,Paramètres!$A$1:$I$89,5,0)</f>
        <v>233.31466666666662</v>
      </c>
      <c r="AK163" s="13">
        <f t="shared" si="164"/>
        <v>56.998792018354763</v>
      </c>
      <c r="AL163" s="20">
        <f t="shared" si="165"/>
        <v>505.62927387641224</v>
      </c>
      <c r="AM163" s="59">
        <f t="shared" si="113"/>
        <v>798.96260720974556</v>
      </c>
      <c r="AN163" s="59">
        <f ca="1">AVERAGE(OFFSET($AM$3,0,0,'Données projet'!$E$10+1,1))-AVERAGE(OFFSET($H$3,0,0,'Données projet'!$E$10+1,1))</f>
        <v>123.92486590666675</v>
      </c>
      <c r="AO163" s="59">
        <f t="shared" si="144"/>
        <v>54.404493017418986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0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1.1368683772161603E-13</v>
      </c>
      <c r="BE163" s="13">
        <f>BD163*VLOOKUP('Données projet'!$B$11,Paramètres!$A$1:$I$89,3,0)*VLOOKUP('Données projet'!$B$11,Paramètres!$A$1:$I$89,5,0)</f>
        <v>6.3550942286383367E-14</v>
      </c>
      <c r="BF163" s="13">
        <f t="shared" si="167"/>
        <v>1.0064464192543978E-12</v>
      </c>
      <c r="BG163" s="20">
        <f t="shared" si="168"/>
        <v>1.8635787380168604E-12</v>
      </c>
      <c r="BH163" s="59">
        <f t="shared" si="116"/>
        <v>293.33333333333519</v>
      </c>
      <c r="BI163" s="59">
        <f ca="1">AVERAGE(OFFSET($BH$3,0,0,'Données projet'!$E$11+1,1))-AVERAGE(OFFSET($H$3,0,0,'Données projet'!$E$11+1,1))</f>
        <v>224.7049802939942</v>
      </c>
      <c r="BJ163" s="59">
        <f t="shared" si="146"/>
        <v>203.48513862195352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0.16998844547192604</v>
      </c>
      <c r="BQ163" s="21">
        <f>EXP(-LN(2)/25)*BQ162+(1-EXP(-LN(2)/25))/(LN(2)/25)*Calculateur!BL163*Calculateur!BN163*VLOOKUP('Données projet'!$B$11,Paramètres!$A$1:$I$89,3,0)*0.475*44/12</f>
        <v>0.53115901392828557</v>
      </c>
      <c r="BR163" s="21">
        <f>EXP(-LN(2)/2)*BR162+(1-EXP(-LN(2)/2))/(LN(2)/2)*BL163*BO163*VLOOKUP('Données projet'!$B$11,Paramètres!$A$1:$I$89,3,0)*0.475*44/12</f>
        <v>2.4287789095146449E-19</v>
      </c>
      <c r="BS163" s="22">
        <f t="shared" si="169"/>
        <v>0.70114745940021161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6.2527760746888816E-13</v>
      </c>
      <c r="BZ163" s="13">
        <f>BY163*VLOOKUP('Données projet'!$B$12,Paramètres!$A$1:$I$89,3,0)*VLOOKUP('Données projet'!$B$12,Paramètres!$A$1:$I$89,5,0)</f>
        <v>3.4953018257510848E-13</v>
      </c>
      <c r="CA163" s="13">
        <f t="shared" si="170"/>
        <v>4.5391562386470354E-12</v>
      </c>
      <c r="CB163" s="20">
        <f t="shared" si="171"/>
        <v>8.5144621836285662E-12</v>
      </c>
      <c r="CC163" s="59">
        <f t="shared" si="119"/>
        <v>293.33333333334184</v>
      </c>
      <c r="CD163" s="59">
        <f ca="1">AVERAGE(OFFSET($CC$3,0,0,'Données projet'!$E$12+1,1))-AVERAGE(OFFSET($H$3,0,0,'Données projet'!$E$12+1,1))</f>
        <v>190.08613104982993</v>
      </c>
      <c r="CE163" s="59">
        <f t="shared" si="148"/>
        <v>180.55054525447781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0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497</v>
      </c>
      <c r="CU163" s="17">
        <f>CT163*VLOOKUP('Données projet'!$B$13,Paramètres!$A$1:$I$89,3,0)*VLOOKUP('Données projet'!$B$13,Paramètres!$A$1:$I$89,5,0)</f>
        <v>297.20600000000002</v>
      </c>
      <c r="CV163" s="13">
        <f t="shared" si="173"/>
        <v>70.590415164571112</v>
      </c>
      <c r="CW163" s="20">
        <f t="shared" si="174"/>
        <v>640.57875641162809</v>
      </c>
      <c r="CX163" s="59">
        <f t="shared" si="122"/>
        <v>933.91208974496135</v>
      </c>
      <c r="CY163" s="59">
        <f ca="1">AVERAGE(OFFSET($CX$3,0,0,'Données projet'!$E$13+1,1))-AVERAGE(OFFSET($H$3,0,0,'Données projet'!$E$13+1,1))</f>
        <v>270.30888762640245</v>
      </c>
      <c r="CZ163" s="59">
        <f t="shared" si="150"/>
        <v>202.23783851977691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0.1631856223545429</v>
      </c>
      <c r="DG163" s="21">
        <f>EXP(-LN(2)/25)*DG162+(1-EXP(-LN(2)/25))/(LN(2)/25)*Calculateur!DB163*Calculateur!DD163*VLOOKUP('Données projet'!$B$13,Paramètres!$A$1:$I$89,3,0)*0.475*44/12</f>
        <v>0.3344875125058529</v>
      </c>
      <c r="DH163" s="21">
        <f>EXP(-LN(2)/2)*DH162+(1-EXP(-LN(2)/2))/(LN(2)/2)*DB163*DE163*VLOOKUP('Données projet'!$B$13,Paramètres!$A$1:$I$89,3,0)*0.475*44/12</f>
        <v>5.0124316010917067E-19</v>
      </c>
      <c r="DI163" s="22">
        <f t="shared" si="175"/>
        <v>0.49767313486039577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433.00000000000011</v>
      </c>
      <c r="DP163" s="17">
        <f>DO163*VLOOKUP('Données projet'!$B$14,Paramètres!$A$1:$I$89,3,0)*VLOOKUP('Données projet'!$B$14,Paramètres!$A$1:$I$89,5,0)</f>
        <v>258.93400000000008</v>
      </c>
      <c r="DQ163" s="13">
        <f t="shared" si="176"/>
        <v>62.495095530116075</v>
      </c>
      <c r="DR163" s="20">
        <f t="shared" si="177"/>
        <v>559.82234138161891</v>
      </c>
      <c r="DS163" s="59">
        <f t="shared" si="125"/>
        <v>853.15567471495228</v>
      </c>
      <c r="DT163" s="59">
        <f ca="1">AVERAGE(OFFSET($DS$3,0,0,'Données projet'!$E$14+1,1))-AVERAGE(OFFSET($H$3,0,0,'Données projet'!$E$14+1,1))</f>
        <v>221.14988592347311</v>
      </c>
      <c r="DU163" s="59">
        <f t="shared" si="152"/>
        <v>179.09262081171607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0.17406466384484584</v>
      </c>
      <c r="EB163" s="21">
        <f>EXP(-LN(2)/25)*EB162+(1-EXP(-LN(2)/25))/(LN(2)/25)*Calculateur!DW163*Calculateur!DY163*VLOOKUP('Données projet'!$B$14,Paramètres!$A$1:$I$89,3,0)*0.475*44/12</f>
        <v>0.27858979666164635</v>
      </c>
      <c r="EC163" s="21">
        <f>EXP(-LN(2)/2)*EC162+(1-EXP(-LN(2)/2))/(LN(2)/2)*DW163*DZ163*VLOOKUP('Données projet'!$B$14,Paramètres!$A$1:$I$89,3,0)*0.475*44/12</f>
        <v>5.2854198667804543E-19</v>
      </c>
      <c r="ED163" s="22">
        <f t="shared" si="178"/>
        <v>0.45265446050649216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2.2737367544323206E-13</v>
      </c>
      <c r="EK163" s="17">
        <f>EJ163*VLOOKUP('Données projet'!$B$15,Paramètres!$A$1:$I$89,3,0)*VLOOKUP('Données projet'!$B$15,Paramètres!$A$1:$I$89,5,0)</f>
        <v>1.2414602679200471E-13</v>
      </c>
      <c r="EL163" s="13">
        <f t="shared" si="179"/>
        <v>1.8186582995804361E-12</v>
      </c>
      <c r="EM163" s="20">
        <f t="shared" si="180"/>
        <v>3.3837175350986671E-12</v>
      </c>
      <c r="EN163" s="59">
        <f t="shared" si="128"/>
        <v>293.33333333333672</v>
      </c>
      <c r="EO163" s="59">
        <f ca="1">AVERAGE(OFFSET($EN$3,0,0,'Données projet'!$E$15+1,1))-AVERAGE(OFFSET($H$3,0,0,'Données projet'!$E$15+1,1))</f>
        <v>168.72306536277267</v>
      </c>
      <c r="EP163" s="59">
        <f t="shared" si="154"/>
        <v>203.35476578922339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0.23177088392384348</v>
      </c>
      <c r="EW163" s="21">
        <f>EXP(-LN(2)/25)*EW162+(1-EXP(-LN(2)/25))/(LN(2)/25)*Calculateur!ER163*Calculateur!ET163*VLOOKUP('Données projet'!$B$15,Paramètres!$A$1:$I$89,3,0)*0.475*44/12</f>
        <v>0.62530073295567623</v>
      </c>
      <c r="EX163" s="21">
        <f>EXP(-LN(2)/2)*EX162+(1-EXP(-LN(2)/2))/(LN(2)/2)*ER163*EU163*VLOOKUP('Données projet'!$B$15,Paramètres!$A$1:$I$89,3,0)*0.475*44/12</f>
        <v>5.427474502296428E-19</v>
      </c>
      <c r="EY163" s="22">
        <f t="shared" si="181"/>
        <v>0.85707161687951972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3.4106051316484809E-13</v>
      </c>
      <c r="FF163" s="17">
        <f>FE163*VLOOKUP('Données projet'!$B$16,Paramètres!$A$1:$I$89,3,0)*VLOOKUP('Données projet'!$B$16,Paramètres!$A$1:$I$89,5,0)</f>
        <v>1.8621904018800707E-13</v>
      </c>
      <c r="FG163" s="13">
        <f t="shared" si="182"/>
        <v>2.6022279988572714E-12</v>
      </c>
      <c r="FH163" s="20">
        <f t="shared" si="183"/>
        <v>4.8565452596705266E-12</v>
      </c>
      <c r="FI163" s="59">
        <f t="shared" si="131"/>
        <v>293.33333333333815</v>
      </c>
      <c r="FJ163" s="59">
        <f ca="1">AVERAGE(OFFSET($FI$3,0,0,'Données projet'!$E$16+1,1))-AVERAGE(OFFSET($H$3,0,0,'Données projet'!$E$16+1,1))</f>
        <v>127.76128532861486</v>
      </c>
      <c r="FK163" s="59">
        <f t="shared" si="156"/>
        <v>157.52303491639736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>
        <f>EXP(-LN(2)/35)*FQ162+(1-EXP(-LN(2)/35))/(LN(2)/35)*FM163*FN163*VLOOKUP('Données projet'!$B$16,Paramètres!$A$1:$I$89,3,0)*0.475*44/12</f>
        <v>0.18541670713907479</v>
      </c>
      <c r="FR163" s="21">
        <f>EXP(-LN(2)/25)*FR162+(1-EXP(-LN(2)/25))/(LN(2)/25)*Calculateur!FM163*Calculateur!FO163*VLOOKUP('Données projet'!$B$16,Paramètres!$A$1:$I$89,3,0)*0.475*44/12</f>
        <v>0.44401532730752968</v>
      </c>
      <c r="FS163" s="21">
        <f>EXP(-LN(2)/2)*FS162+(1-EXP(-LN(2)/2))/(LN(2)/2)*FM163*FP163*VLOOKUP('Données projet'!$B$16,Paramètres!$A$1:$I$89,3,0)*0.475*44/12</f>
        <v>4.3089906106510071E-19</v>
      </c>
      <c r="FT163" s="22">
        <f t="shared" si="184"/>
        <v>0.62943203444660445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>
        <f>VLOOKUP(A164,'Données projet'!$A$35:$I$55,2,0)</f>
        <v>91.365384615384613</v>
      </c>
      <c r="L164" s="12">
        <f>VLOOKUP(A164,'Données projet'!$A$35:$I$55,9,0)</f>
        <v>1.1618589743589709</v>
      </c>
      <c r="M164" s="12">
        <f t="array" ref="M164">INDEX(L:L,MIN(IF(ISNUMBER(L164:L360),ROW(L164:L360),"")))</f>
        <v>1.1618589743589709</v>
      </c>
      <c r="N164" s="13">
        <f>IF('Données projet'!$A$36&gt;35,N163+M164-V163,IF(A164&lt;'Données projet'!$A$36,$K$205^A164,IF(A164='Données projet'!$A$36,'Données projet'!$B$36,N163+M164-V163)))</f>
        <v>91.365384615384045</v>
      </c>
      <c r="O164" s="13">
        <f>N164*VLOOKUP('Données projet'!$B$9,Paramètres!$A$1:$I$89,3,0)*VLOOKUP('Données projet'!$B$9,Paramètres!$A$1:$I$89,5,0)</f>
        <v>82.667399999999489</v>
      </c>
      <c r="P164" s="13">
        <f t="shared" si="141"/>
        <v>22.788127124999448</v>
      </c>
      <c r="Q164" s="20">
        <f t="shared" si="162"/>
        <v>183.66837640937317</v>
      </c>
      <c r="R164" s="59">
        <f t="shared" si="109"/>
        <v>477.00170974270645</v>
      </c>
      <c r="S164" s="59">
        <f ca="1">AVERAGE(OFFSET($R$3,0,0,'Données projet'!$E$9+1,1))-AVERAGE(OFFSET($H$3,0,0,'Données projet'!$E$9+1,1))</f>
        <v>153.45079678708987</v>
      </c>
      <c r="T164" s="59">
        <f t="shared" si="142"/>
        <v>115.4217868409637</v>
      </c>
      <c r="U164" s="15">
        <f>IF(ISNA(VLOOKUP(A164,'Données projet'!$A$35:$I$55,3,0)),0,VLOOKUP(A164,'Données projet'!$A$35:$I$55,3,0))</f>
        <v>15</v>
      </c>
      <c r="V164" s="15">
        <f>IF(ISNA(VLOOKUP(A164,'Données projet'!$A$35:$I$55,4,0)),0,VLOOKUP(A164,'Données projet'!$A$35:$I$55,4,0))</f>
        <v>91.365384615384613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0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5.1821581196581219</v>
      </c>
      <c r="AI164" s="13">
        <f>IF('Données projet'!$A$62&gt;35,AI163+AH164-AQ163,IF(A164&lt;'Données projet'!$A$62,$AF$205^A164,IF(A164='Données projet'!$A$62,'Données projet'!$B$62,AI163+AH164-AQ163)))</f>
        <v>263.04540598290595</v>
      </c>
      <c r="AJ164" s="13">
        <f>AI164*VLOOKUP('Données projet'!$B$10,Paramètres!$A$1:$I$89,3,0)*VLOOKUP('Données projet'!$B$10,Paramètres!$A$1:$I$89,5,0)</f>
        <v>238.00348333333332</v>
      </c>
      <c r="AK164" s="13">
        <f t="shared" si="164"/>
        <v>58.009761575004511</v>
      </c>
      <c r="AL164" s="20">
        <f t="shared" si="165"/>
        <v>515.55640154868831</v>
      </c>
      <c r="AM164" s="59">
        <f t="shared" si="113"/>
        <v>808.88973488202168</v>
      </c>
      <c r="AN164" s="59">
        <f ca="1">AVERAGE(OFFSET($AM$3,0,0,'Données projet'!$E$10+1,1))-AVERAGE(OFFSET($H$3,0,0,'Données projet'!$E$10+1,1))</f>
        <v>123.92486590666675</v>
      </c>
      <c r="AO164" s="59">
        <f t="shared" si="144"/>
        <v>54.404493017418986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0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1.1368683772161603E-13</v>
      </c>
      <c r="BE164" s="13">
        <f>BD164*VLOOKUP('Données projet'!$B$11,Paramètres!$A$1:$I$89,3,0)*VLOOKUP('Données projet'!$B$11,Paramètres!$A$1:$I$89,5,0)</f>
        <v>6.3550942286383367E-14</v>
      </c>
      <c r="BF164" s="13">
        <f t="shared" si="167"/>
        <v>1.0064464192543978E-12</v>
      </c>
      <c r="BG164" s="20">
        <f t="shared" si="168"/>
        <v>1.8635787380168604E-12</v>
      </c>
      <c r="BH164" s="59">
        <f t="shared" si="116"/>
        <v>293.33333333333519</v>
      </c>
      <c r="BI164" s="59">
        <f ca="1">AVERAGE(OFFSET($BH$3,0,0,'Données projet'!$E$11+1,1))-AVERAGE(OFFSET($H$3,0,0,'Données projet'!$E$11+1,1))</f>
        <v>224.7049802939942</v>
      </c>
      <c r="BJ164" s="59">
        <f t="shared" si="146"/>
        <v>203.48513862195352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0.16665507573893548</v>
      </c>
      <c r="BQ164" s="21">
        <f>EXP(-LN(2)/25)*BQ163+(1-EXP(-LN(2)/25))/(LN(2)/25)*Calculateur!BL164*Calculateur!BN164*VLOOKUP('Données projet'!$B$11,Paramètres!$A$1:$I$89,3,0)*0.475*44/12</f>
        <v>0.51663444275997805</v>
      </c>
      <c r="BR164" s="21">
        <f>EXP(-LN(2)/2)*BR163+(1-EXP(-LN(2)/2))/(LN(2)/2)*BL164*BO164*VLOOKUP('Données projet'!$B$11,Paramètres!$A$1:$I$89,3,0)*0.475*44/12</f>
        <v>1.7174060369206735E-19</v>
      </c>
      <c r="BS164" s="22">
        <f t="shared" si="169"/>
        <v>0.68328951849891351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6.2527760746888816E-13</v>
      </c>
      <c r="BZ164" s="13">
        <f>BY164*VLOOKUP('Données projet'!$B$12,Paramètres!$A$1:$I$89,3,0)*VLOOKUP('Données projet'!$B$12,Paramètres!$A$1:$I$89,5,0)</f>
        <v>3.4953018257510848E-13</v>
      </c>
      <c r="CA164" s="13">
        <f t="shared" si="170"/>
        <v>4.5391562386470354E-12</v>
      </c>
      <c r="CB164" s="20">
        <f t="shared" si="171"/>
        <v>8.5144621836285662E-12</v>
      </c>
      <c r="CC164" s="59">
        <f t="shared" si="119"/>
        <v>293.33333333334184</v>
      </c>
      <c r="CD164" s="59">
        <f ca="1">AVERAGE(OFFSET($CC$3,0,0,'Données projet'!$E$12+1,1))-AVERAGE(OFFSET($H$3,0,0,'Données projet'!$E$12+1,1))</f>
        <v>190.08613104982993</v>
      </c>
      <c r="CE164" s="59">
        <f t="shared" si="148"/>
        <v>180.55054525447781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0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497</v>
      </c>
      <c r="CU164" s="17">
        <f>CT164*VLOOKUP('Données projet'!$B$13,Paramètres!$A$1:$I$89,3,0)*VLOOKUP('Données projet'!$B$13,Paramètres!$A$1:$I$89,5,0)</f>
        <v>297.20600000000002</v>
      </c>
      <c r="CV164" s="13">
        <f t="shared" si="173"/>
        <v>70.590415164571112</v>
      </c>
      <c r="CW164" s="20">
        <f t="shared" si="174"/>
        <v>640.57875641162809</v>
      </c>
      <c r="CX164" s="59">
        <f t="shared" si="122"/>
        <v>933.91208974496135</v>
      </c>
      <c r="CY164" s="59">
        <f ca="1">AVERAGE(OFFSET($CX$3,0,0,'Données projet'!$E$13+1,1))-AVERAGE(OFFSET($H$3,0,0,'Données projet'!$E$13+1,1))</f>
        <v>270.30888762640245</v>
      </c>
      <c r="CZ164" s="59">
        <f t="shared" si="150"/>
        <v>202.23783851977691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0.15998565183357183</v>
      </c>
      <c r="DG164" s="21">
        <f>EXP(-LN(2)/25)*DG163+(1-EXP(-LN(2)/25))/(LN(2)/25)*Calculateur!DB164*Calculateur!DD164*VLOOKUP('Données projet'!$B$13,Paramètres!$A$1:$I$89,3,0)*0.475*44/12</f>
        <v>0.32534093388644653</v>
      </c>
      <c r="DH164" s="21">
        <f>EXP(-LN(2)/2)*DH163+(1-EXP(-LN(2)/2))/(LN(2)/2)*DB164*DE164*VLOOKUP('Données projet'!$B$13,Paramètres!$A$1:$I$89,3,0)*0.475*44/12</f>
        <v>3.5443243753656895E-19</v>
      </c>
      <c r="DI164" s="22">
        <f t="shared" si="175"/>
        <v>0.48532658572001836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433.00000000000011</v>
      </c>
      <c r="DP164" s="17">
        <f>DO164*VLOOKUP('Données projet'!$B$14,Paramètres!$A$1:$I$89,3,0)*VLOOKUP('Données projet'!$B$14,Paramètres!$A$1:$I$89,5,0)</f>
        <v>258.93400000000008</v>
      </c>
      <c r="DQ164" s="13">
        <f t="shared" si="176"/>
        <v>62.495095530116075</v>
      </c>
      <c r="DR164" s="20">
        <f t="shared" si="177"/>
        <v>559.82234138161891</v>
      </c>
      <c r="DS164" s="59">
        <f t="shared" si="125"/>
        <v>853.15567471495228</v>
      </c>
      <c r="DT164" s="59">
        <f ca="1">AVERAGE(OFFSET($DS$3,0,0,'Données projet'!$E$14+1,1))-AVERAGE(OFFSET($H$3,0,0,'Données projet'!$E$14+1,1))</f>
        <v>221.14988592347311</v>
      </c>
      <c r="DU164" s="59">
        <f t="shared" si="152"/>
        <v>179.09262081171607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0.17065136195581004</v>
      </c>
      <c r="EB164" s="21">
        <f>EXP(-LN(2)/25)*EB163+(1-EXP(-LN(2)/25))/(LN(2)/25)*Calculateur!DW164*Calculateur!DY164*VLOOKUP('Données projet'!$B$14,Paramètres!$A$1:$I$89,3,0)*0.475*44/12</f>
        <v>0.27097174402153296</v>
      </c>
      <c r="EC164" s="21">
        <f>EXP(-LN(2)/2)*EC163+(1-EXP(-LN(2)/2))/(LN(2)/2)*DW164*DZ164*VLOOKUP('Données projet'!$B$14,Paramètres!$A$1:$I$89,3,0)*0.475*44/12</f>
        <v>3.7373562292185579E-19</v>
      </c>
      <c r="ED164" s="22">
        <f t="shared" si="178"/>
        <v>0.441623105977343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2.2737367544323206E-13</v>
      </c>
      <c r="EK164" s="17">
        <f>EJ164*VLOOKUP('Données projet'!$B$15,Paramètres!$A$1:$I$89,3,0)*VLOOKUP('Données projet'!$B$15,Paramètres!$A$1:$I$89,5,0)</f>
        <v>1.2414602679200471E-13</v>
      </c>
      <c r="EL164" s="13">
        <f t="shared" si="179"/>
        <v>1.8186582995804361E-12</v>
      </c>
      <c r="EM164" s="20">
        <f t="shared" si="180"/>
        <v>3.3837175350986671E-12</v>
      </c>
      <c r="EN164" s="59">
        <f t="shared" si="128"/>
        <v>293.33333333333672</v>
      </c>
      <c r="EO164" s="59">
        <f ca="1">AVERAGE(OFFSET($EN$3,0,0,'Données projet'!$E$15+1,1))-AVERAGE(OFFSET($H$3,0,0,'Données projet'!$E$15+1,1))</f>
        <v>168.72306536277267</v>
      </c>
      <c r="EP164" s="59">
        <f t="shared" si="154"/>
        <v>203.35476578922339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0.22722599825637735</v>
      </c>
      <c r="EW164" s="21">
        <f>EXP(-LN(2)/25)*EW163+(1-EXP(-LN(2)/25))/(LN(2)/25)*Calculateur!ER164*Calculateur!ET164*VLOOKUP('Données projet'!$B$15,Paramètres!$A$1:$I$89,3,0)*0.475*44/12</f>
        <v>0.60820185152986683</v>
      </c>
      <c r="EX164" s="21">
        <f>EXP(-LN(2)/2)*EX163+(1-EXP(-LN(2)/2))/(LN(2)/2)*ER164*EU164*VLOOKUP('Données projet'!$B$15,Paramètres!$A$1:$I$89,3,0)*0.475*44/12</f>
        <v>3.8378040252908863E-19</v>
      </c>
      <c r="EY164" s="22">
        <f t="shared" si="181"/>
        <v>0.83542784978624418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3.4106051316484809E-13</v>
      </c>
      <c r="FF164" s="17">
        <f>FE164*VLOOKUP('Données projet'!$B$16,Paramètres!$A$1:$I$89,3,0)*VLOOKUP('Données projet'!$B$16,Paramètres!$A$1:$I$89,5,0)</f>
        <v>1.8621904018800707E-13</v>
      </c>
      <c r="FG164" s="13">
        <f t="shared" si="182"/>
        <v>2.6022279988572714E-12</v>
      </c>
      <c r="FH164" s="20">
        <f t="shared" si="183"/>
        <v>4.8565452596705266E-12</v>
      </c>
      <c r="FI164" s="59">
        <f t="shared" si="131"/>
        <v>293.33333333333815</v>
      </c>
      <c r="FJ164" s="59">
        <f ca="1">AVERAGE(OFFSET($FI$3,0,0,'Données projet'!$E$16+1,1))-AVERAGE(OFFSET($H$3,0,0,'Données projet'!$E$16+1,1))</f>
        <v>127.76128532861486</v>
      </c>
      <c r="FK164" s="59">
        <f t="shared" si="156"/>
        <v>157.52303491639736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>
        <f>EXP(-LN(2)/35)*FQ163+(1-EXP(-LN(2)/35))/(LN(2)/35)*FM164*FN164*VLOOKUP('Données projet'!$B$16,Paramètres!$A$1:$I$89,3,0)*0.475*44/12</f>
        <v>0.18178079860510188</v>
      </c>
      <c r="FR164" s="21">
        <f>EXP(-LN(2)/25)*FR163+(1-EXP(-LN(2)/25))/(LN(2)/25)*Calculateur!FM164*Calculateur!FO164*VLOOKUP('Données projet'!$B$16,Paramètres!$A$1:$I$89,3,0)*0.475*44/12</f>
        <v>0.43187370483255405</v>
      </c>
      <c r="FS164" s="21">
        <f>EXP(-LN(2)/2)*FS163+(1-EXP(-LN(2)/2))/(LN(2)/2)*FM164*FP164*VLOOKUP('Données projet'!$B$16,Paramètres!$A$1:$I$89,3,0)*0.475*44/12</f>
        <v>3.0469164808604896E-19</v>
      </c>
      <c r="FT164" s="22">
        <f t="shared" si="184"/>
        <v>0.61365450343765593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-5.6843418860808015E-13</v>
      </c>
      <c r="O165" s="13">
        <f>N165*VLOOKUP('Données projet'!$B$9,Paramètres!$A$1:$I$89,3,0)*VLOOKUP('Données projet'!$B$9,Paramètres!$A$1:$I$89,5,0)</f>
        <v>-5.1431925385259092E-13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153.45079678708987</v>
      </c>
      <c r="T165" s="59">
        <f t="shared" si="142"/>
        <v>115.4217868409637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0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5.1821581196581219</v>
      </c>
      <c r="AI165" s="13">
        <f>IF('Données projet'!$A$62&gt;35,AI164+AH165-AQ164,IF(A165&lt;'Données projet'!$A$62,$AF$205^A165,IF(A165='Données projet'!$A$62,'Données projet'!$B$62,AI164+AH165-AQ164)))</f>
        <v>268.22756410256409</v>
      </c>
      <c r="AJ165" s="13">
        <f>AI165*VLOOKUP('Données projet'!$B$10,Paramètres!$A$1:$I$89,3,0)*VLOOKUP('Données projet'!$B$10,Paramètres!$A$1:$I$89,5,0)</f>
        <v>242.69229999999999</v>
      </c>
      <c r="AK165" s="13">
        <f t="shared" si="164"/>
        <v>59.018415322118827</v>
      </c>
      <c r="AL165" s="20">
        <f t="shared" si="165"/>
        <v>525.47949585269021</v>
      </c>
      <c r="AM165" s="59">
        <f t="shared" si="113"/>
        <v>818.81282918602346</v>
      </c>
      <c r="AN165" s="59">
        <f ca="1">AVERAGE(OFFSET($AM$3,0,0,'Données projet'!$E$10+1,1))-AVERAGE(OFFSET($H$3,0,0,'Données projet'!$E$10+1,1))</f>
        <v>123.92486590666675</v>
      </c>
      <c r="AO165" s="59">
        <f t="shared" si="144"/>
        <v>54.404493017418986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0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1.1368683772161603E-13</v>
      </c>
      <c r="BE165" s="13">
        <f>BD165*VLOOKUP('Données projet'!$B$11,Paramètres!$A$1:$I$89,3,0)*VLOOKUP('Données projet'!$B$11,Paramètres!$A$1:$I$89,5,0)</f>
        <v>6.3550942286383367E-14</v>
      </c>
      <c r="BF165" s="13">
        <f t="shared" si="167"/>
        <v>1.0064464192543978E-12</v>
      </c>
      <c r="BG165" s="20">
        <f t="shared" si="168"/>
        <v>1.8635787380168604E-12</v>
      </c>
      <c r="BH165" s="59">
        <f t="shared" si="116"/>
        <v>293.33333333333519</v>
      </c>
      <c r="BI165" s="59">
        <f ca="1">AVERAGE(OFFSET($BH$3,0,0,'Données projet'!$E$11+1,1))-AVERAGE(OFFSET($H$3,0,0,'Données projet'!$E$11+1,1))</f>
        <v>224.7049802939942</v>
      </c>
      <c r="BJ165" s="59">
        <f t="shared" si="146"/>
        <v>203.48513862195352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0.16338707135325409</v>
      </c>
      <c r="BQ165" s="21">
        <f>EXP(-LN(2)/25)*BQ164+(1-EXP(-LN(2)/25))/(LN(2)/25)*Calculateur!BL165*Calculateur!BN165*VLOOKUP('Données projet'!$B$11,Paramètres!$A$1:$I$89,3,0)*0.475*44/12</f>
        <v>0.50250704675408187</v>
      </c>
      <c r="BR165" s="21">
        <f>EXP(-LN(2)/2)*BR164+(1-EXP(-LN(2)/2))/(LN(2)/2)*BL165*BO165*VLOOKUP('Données projet'!$B$11,Paramètres!$A$1:$I$89,3,0)*0.475*44/12</f>
        <v>1.2143894547573224E-19</v>
      </c>
      <c r="BS165" s="22">
        <f t="shared" si="169"/>
        <v>0.6658941181073359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6.2527760746888816E-13</v>
      </c>
      <c r="BZ165" s="13">
        <f>BY165*VLOOKUP('Données projet'!$B$12,Paramètres!$A$1:$I$89,3,0)*VLOOKUP('Données projet'!$B$12,Paramètres!$A$1:$I$89,5,0)</f>
        <v>3.4953018257510848E-13</v>
      </c>
      <c r="CA165" s="13">
        <f t="shared" si="170"/>
        <v>4.5391562386470354E-12</v>
      </c>
      <c r="CB165" s="20">
        <f t="shared" si="171"/>
        <v>8.5144621836285662E-12</v>
      </c>
      <c r="CC165" s="59">
        <f t="shared" si="119"/>
        <v>293.33333333334184</v>
      </c>
      <c r="CD165" s="59">
        <f ca="1">AVERAGE(OFFSET($CC$3,0,0,'Données projet'!$E$12+1,1))-AVERAGE(OFFSET($H$3,0,0,'Données projet'!$E$12+1,1))</f>
        <v>190.08613104982993</v>
      </c>
      <c r="CE165" s="59">
        <f t="shared" si="148"/>
        <v>180.55054525447781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0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497</v>
      </c>
      <c r="CU165" s="17">
        <f>CT165*VLOOKUP('Données projet'!$B$13,Paramètres!$A$1:$I$89,3,0)*VLOOKUP('Données projet'!$B$13,Paramètres!$A$1:$I$89,5,0)</f>
        <v>297.20600000000002</v>
      </c>
      <c r="CV165" s="13">
        <f t="shared" si="173"/>
        <v>70.590415164571112</v>
      </c>
      <c r="CW165" s="20">
        <f t="shared" si="174"/>
        <v>640.57875641162809</v>
      </c>
      <c r="CX165" s="59">
        <f t="shared" si="122"/>
        <v>933.91208974496135</v>
      </c>
      <c r="CY165" s="59">
        <f ca="1">AVERAGE(OFFSET($CX$3,0,0,'Données projet'!$E$13+1,1))-AVERAGE(OFFSET($H$3,0,0,'Données projet'!$E$13+1,1))</f>
        <v>270.30888762640245</v>
      </c>
      <c r="CZ165" s="59">
        <f t="shared" si="150"/>
        <v>202.23783851977691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0.15684843078272773</v>
      </c>
      <c r="DG165" s="21">
        <f>EXP(-LN(2)/25)*DG164+(1-EXP(-LN(2)/25))/(LN(2)/25)*Calculateur!DB165*Calculateur!DD165*VLOOKUP('Données projet'!$B$13,Paramètres!$A$1:$I$89,3,0)*0.475*44/12</f>
        <v>0.31644446894038553</v>
      </c>
      <c r="DH165" s="21">
        <f>EXP(-LN(2)/2)*DH164+(1-EXP(-LN(2)/2))/(LN(2)/2)*DB165*DE165*VLOOKUP('Données projet'!$B$13,Paramètres!$A$1:$I$89,3,0)*0.475*44/12</f>
        <v>2.5062158005458534E-19</v>
      </c>
      <c r="DI165" s="22">
        <f t="shared" si="175"/>
        <v>0.47329289972311328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433.00000000000011</v>
      </c>
      <c r="DP165" s="17">
        <f>DO165*VLOOKUP('Données projet'!$B$14,Paramètres!$A$1:$I$89,3,0)*VLOOKUP('Données projet'!$B$14,Paramètres!$A$1:$I$89,5,0)</f>
        <v>258.93400000000008</v>
      </c>
      <c r="DQ165" s="13">
        <f t="shared" si="176"/>
        <v>62.495095530116075</v>
      </c>
      <c r="DR165" s="20">
        <f t="shared" si="177"/>
        <v>559.82234138161891</v>
      </c>
      <c r="DS165" s="59">
        <f t="shared" si="125"/>
        <v>853.15567471495228</v>
      </c>
      <c r="DT165" s="59">
        <f ca="1">AVERAGE(OFFSET($DS$3,0,0,'Données projet'!$E$14+1,1))-AVERAGE(OFFSET($H$3,0,0,'Données projet'!$E$14+1,1))</f>
        <v>221.14988592347311</v>
      </c>
      <c r="DU165" s="59">
        <f t="shared" si="152"/>
        <v>179.09262081171607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0.16730499283490965</v>
      </c>
      <c r="EB165" s="21">
        <f>EXP(-LN(2)/25)*EB164+(1-EXP(-LN(2)/25))/(LN(2)/25)*Calculateur!DW165*Calculateur!DY165*VLOOKUP('Données projet'!$B$14,Paramètres!$A$1:$I$89,3,0)*0.475*44/12</f>
        <v>0.26356200743147945</v>
      </c>
      <c r="EC165" s="21">
        <f>EXP(-LN(2)/2)*EC164+(1-EXP(-LN(2)/2))/(LN(2)/2)*DW165*DZ165*VLOOKUP('Données projet'!$B$14,Paramètres!$A$1:$I$89,3,0)*0.475*44/12</f>
        <v>2.6427099333902271E-19</v>
      </c>
      <c r="ED165" s="22">
        <f t="shared" si="178"/>
        <v>0.43086700026638913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2.2737367544323206E-13</v>
      </c>
      <c r="EK165" s="17">
        <f>EJ165*VLOOKUP('Données projet'!$B$15,Paramètres!$A$1:$I$89,3,0)*VLOOKUP('Données projet'!$B$15,Paramètres!$A$1:$I$89,5,0)</f>
        <v>1.2414602679200471E-13</v>
      </c>
      <c r="EL165" s="13">
        <f t="shared" si="179"/>
        <v>1.8186582995804361E-12</v>
      </c>
      <c r="EM165" s="20">
        <f t="shared" si="180"/>
        <v>3.3837175350986671E-12</v>
      </c>
      <c r="EN165" s="59">
        <f t="shared" si="128"/>
        <v>293.33333333333672</v>
      </c>
      <c r="EO165" s="59">
        <f ca="1">AVERAGE(OFFSET($EN$3,0,0,'Données projet'!$E$15+1,1))-AVERAGE(OFFSET($H$3,0,0,'Données projet'!$E$15+1,1))</f>
        <v>168.72306536277267</v>
      </c>
      <c r="EP165" s="59">
        <f t="shared" si="154"/>
        <v>203.35476578922339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0.22277023502474369</v>
      </c>
      <c r="EW165" s="21">
        <f>EXP(-LN(2)/25)*EW164+(1-EXP(-LN(2)/25))/(LN(2)/25)*Calculateur!ER165*Calculateur!ET165*VLOOKUP('Données projet'!$B$15,Paramètres!$A$1:$I$89,3,0)*0.475*44/12</f>
        <v>0.5915705399158373</v>
      </c>
      <c r="EX165" s="21">
        <f>EXP(-LN(2)/2)*EX164+(1-EXP(-LN(2)/2))/(LN(2)/2)*ER165*EU165*VLOOKUP('Données projet'!$B$15,Paramètres!$A$1:$I$89,3,0)*0.475*44/12</f>
        <v>2.713737251148214E-19</v>
      </c>
      <c r="EY165" s="22">
        <f t="shared" si="181"/>
        <v>0.81434077494058099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3.4106051316484809E-13</v>
      </c>
      <c r="FF165" s="17">
        <f>FE165*VLOOKUP('Données projet'!$B$16,Paramètres!$A$1:$I$89,3,0)*VLOOKUP('Données projet'!$B$16,Paramètres!$A$1:$I$89,5,0)</f>
        <v>1.8621904018800707E-13</v>
      </c>
      <c r="FG165" s="13">
        <f t="shared" si="182"/>
        <v>2.6022279988572714E-12</v>
      </c>
      <c r="FH165" s="20">
        <f t="shared" si="183"/>
        <v>4.8565452596705266E-12</v>
      </c>
      <c r="FI165" s="59">
        <f t="shared" si="131"/>
        <v>293.33333333333815</v>
      </c>
      <c r="FJ165" s="59">
        <f ca="1">AVERAGE(OFFSET($FI$3,0,0,'Données projet'!$E$16+1,1))-AVERAGE(OFFSET($H$3,0,0,'Données projet'!$E$16+1,1))</f>
        <v>127.76128532861486</v>
      </c>
      <c r="FK165" s="59">
        <f t="shared" si="156"/>
        <v>157.52303491639736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>
        <f>EXP(-LN(2)/35)*FQ164+(1-EXP(-LN(2)/35))/(LN(2)/35)*FM165*FN165*VLOOKUP('Données projet'!$B$16,Paramètres!$A$1:$I$89,3,0)*0.475*44/12</f>
        <v>0.17821618801979494</v>
      </c>
      <c r="FR165" s="21">
        <f>EXP(-LN(2)/25)*FR164+(1-EXP(-LN(2)/25))/(LN(2)/25)*Calculateur!FM165*Calculateur!FO165*VLOOKUP('Données projet'!$B$16,Paramètres!$A$1:$I$89,3,0)*0.475*44/12</f>
        <v>0.42006409566265679</v>
      </c>
      <c r="FS165" s="21">
        <f>EXP(-LN(2)/2)*FS164+(1-EXP(-LN(2)/2))/(LN(2)/2)*FM165*FP165*VLOOKUP('Données projet'!$B$16,Paramètres!$A$1:$I$89,3,0)*0.475*44/12</f>
        <v>2.1544953053255038E-19</v>
      </c>
      <c r="FT165" s="22">
        <f t="shared" si="184"/>
        <v>0.59828028368245167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-5.6843418860808015E-13</v>
      </c>
      <c r="O166" s="13">
        <f>N166*VLOOKUP('Données projet'!$B$9,Paramètres!$A$1:$I$89,3,0)*VLOOKUP('Données projet'!$B$9,Paramètres!$A$1:$I$89,5,0)</f>
        <v>-5.1431925385259092E-13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153.45079678708987</v>
      </c>
      <c r="T166" s="59">
        <f t="shared" si="142"/>
        <v>115.4217868409637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0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5.1821581196581219</v>
      </c>
      <c r="AI166" s="13">
        <f>IF('Données projet'!$A$62&gt;35,AI165+AH166-AQ165,IF(A166&lt;'Données projet'!$A$62,$AF$205^A166,IF(A166='Données projet'!$A$62,'Données projet'!$B$62,AI165+AH166-AQ165)))</f>
        <v>273.40972222222223</v>
      </c>
      <c r="AJ166" s="13">
        <f>AI166*VLOOKUP('Données projet'!$B$10,Paramètres!$A$1:$I$89,3,0)*VLOOKUP('Données projet'!$B$10,Paramètres!$A$1:$I$89,5,0)</f>
        <v>247.38111666666666</v>
      </c>
      <c r="AK166" s="13">
        <f t="shared" si="164"/>
        <v>60.024803159197688</v>
      </c>
      <c r="AL166" s="20">
        <f t="shared" si="165"/>
        <v>535.39864369671363</v>
      </c>
      <c r="AM166" s="59">
        <f t="shared" si="113"/>
        <v>828.73197703004689</v>
      </c>
      <c r="AN166" s="59">
        <f ca="1">AVERAGE(OFFSET($AM$3,0,0,'Données projet'!$E$10+1,1))-AVERAGE(OFFSET($H$3,0,0,'Données projet'!$E$10+1,1))</f>
        <v>123.92486590666675</v>
      </c>
      <c r="AO166" s="59">
        <f t="shared" si="144"/>
        <v>54.404493017418986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0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1.1368683772161603E-13</v>
      </c>
      <c r="BE166" s="13">
        <f>BD166*VLOOKUP('Données projet'!$B$11,Paramètres!$A$1:$I$89,3,0)*VLOOKUP('Données projet'!$B$11,Paramètres!$A$1:$I$89,5,0)</f>
        <v>6.3550942286383367E-14</v>
      </c>
      <c r="BF166" s="13">
        <f t="shared" si="167"/>
        <v>1.0064464192543978E-12</v>
      </c>
      <c r="BG166" s="20">
        <f t="shared" si="168"/>
        <v>1.8635787380168604E-12</v>
      </c>
      <c r="BH166" s="59">
        <f t="shared" si="116"/>
        <v>293.33333333333519</v>
      </c>
      <c r="BI166" s="59">
        <f ca="1">AVERAGE(OFFSET($BH$3,0,0,'Données projet'!$E$11+1,1))-AVERAGE(OFFSET($H$3,0,0,'Données projet'!$E$11+1,1))</f>
        <v>224.7049802939942</v>
      </c>
      <c r="BJ166" s="59">
        <f t="shared" si="146"/>
        <v>203.48513862195352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0.16018315054029006</v>
      </c>
      <c r="BQ166" s="21">
        <f>EXP(-LN(2)/25)*BQ165+(1-EXP(-LN(2)/25))/(LN(2)/25)*Calculateur!BL166*Calculateur!BN166*VLOOKUP('Données projet'!$B$11,Paramètres!$A$1:$I$89,3,0)*0.475*44/12</f>
        <v>0.4887659651348944</v>
      </c>
      <c r="BR166" s="21">
        <f>EXP(-LN(2)/2)*BR165+(1-EXP(-LN(2)/2))/(LN(2)/2)*BL166*BO166*VLOOKUP('Données projet'!$B$11,Paramètres!$A$1:$I$89,3,0)*0.475*44/12</f>
        <v>8.5870301846033675E-20</v>
      </c>
      <c r="BS166" s="22">
        <f t="shared" si="169"/>
        <v>0.64894911567518443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6.2527760746888816E-13</v>
      </c>
      <c r="BZ166" s="13">
        <f>BY166*VLOOKUP('Données projet'!$B$12,Paramètres!$A$1:$I$89,3,0)*VLOOKUP('Données projet'!$B$12,Paramètres!$A$1:$I$89,5,0)</f>
        <v>3.4953018257510848E-13</v>
      </c>
      <c r="CA166" s="13">
        <f t="shared" si="170"/>
        <v>4.5391562386470354E-12</v>
      </c>
      <c r="CB166" s="20">
        <f t="shared" si="171"/>
        <v>8.5144621836285662E-12</v>
      </c>
      <c r="CC166" s="59">
        <f t="shared" si="119"/>
        <v>293.33333333334184</v>
      </c>
      <c r="CD166" s="59">
        <f ca="1">AVERAGE(OFFSET($CC$3,0,0,'Données projet'!$E$12+1,1))-AVERAGE(OFFSET($H$3,0,0,'Données projet'!$E$12+1,1))</f>
        <v>190.08613104982993</v>
      </c>
      <c r="CE166" s="59">
        <f t="shared" si="148"/>
        <v>180.55054525447781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0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497</v>
      </c>
      <c r="CU166" s="17">
        <f>CT166*VLOOKUP('Données projet'!$B$13,Paramètres!$A$1:$I$89,3,0)*VLOOKUP('Données projet'!$B$13,Paramètres!$A$1:$I$89,5,0)</f>
        <v>297.20600000000002</v>
      </c>
      <c r="CV166" s="13">
        <f t="shared" si="173"/>
        <v>70.590415164571112</v>
      </c>
      <c r="CW166" s="20">
        <f t="shared" si="174"/>
        <v>640.57875641162809</v>
      </c>
      <c r="CX166" s="59">
        <f t="shared" si="122"/>
        <v>933.91208974496135</v>
      </c>
      <c r="CY166" s="59">
        <f ca="1">AVERAGE(OFFSET($CX$3,0,0,'Données projet'!$E$13+1,1))-AVERAGE(OFFSET($H$3,0,0,'Données projet'!$E$13+1,1))</f>
        <v>270.30888762640245</v>
      </c>
      <c r="CZ166" s="59">
        <f t="shared" si="150"/>
        <v>202.23783851977691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0.15377272872317477</v>
      </c>
      <c r="DG166" s="21">
        <f>EXP(-LN(2)/25)*DG165+(1-EXP(-LN(2)/25))/(LN(2)/25)*Calculateur!DB166*Calculateur!DD166*VLOOKUP('Données projet'!$B$13,Paramètres!$A$1:$I$89,3,0)*0.475*44/12</f>
        <v>0.3077912782961193</v>
      </c>
      <c r="DH166" s="21">
        <f>EXP(-LN(2)/2)*DH165+(1-EXP(-LN(2)/2))/(LN(2)/2)*DB166*DE166*VLOOKUP('Données projet'!$B$13,Paramètres!$A$1:$I$89,3,0)*0.475*44/12</f>
        <v>1.7721621876828448E-19</v>
      </c>
      <c r="DI166" s="22">
        <f t="shared" si="175"/>
        <v>0.46156400701929406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433.00000000000011</v>
      </c>
      <c r="DP166" s="17">
        <f>DO166*VLOOKUP('Données projet'!$B$14,Paramètres!$A$1:$I$89,3,0)*VLOOKUP('Données projet'!$B$14,Paramètres!$A$1:$I$89,5,0)</f>
        <v>258.93400000000008</v>
      </c>
      <c r="DQ166" s="13">
        <f t="shared" si="176"/>
        <v>62.495095530116075</v>
      </c>
      <c r="DR166" s="20">
        <f t="shared" si="177"/>
        <v>559.82234138161891</v>
      </c>
      <c r="DS166" s="59">
        <f t="shared" si="125"/>
        <v>853.15567471495228</v>
      </c>
      <c r="DT166" s="59">
        <f ca="1">AVERAGE(OFFSET($DS$3,0,0,'Données projet'!$E$14+1,1))-AVERAGE(OFFSET($H$3,0,0,'Données projet'!$E$14+1,1))</f>
        <v>221.14988592347311</v>
      </c>
      <c r="DU166" s="59">
        <f t="shared" si="152"/>
        <v>179.09262081171607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0.16402424397138651</v>
      </c>
      <c r="EB166" s="21">
        <f>EXP(-LN(2)/25)*EB165+(1-EXP(-LN(2)/25))/(LN(2)/25)*Calculateur!DW166*Calculateur!DY166*VLOOKUP('Données projet'!$B$14,Paramètres!$A$1:$I$89,3,0)*0.475*44/12</f>
        <v>0.25635489047814203</v>
      </c>
      <c r="EC166" s="21">
        <f>EXP(-LN(2)/2)*EC165+(1-EXP(-LN(2)/2))/(LN(2)/2)*DW166*DZ166*VLOOKUP('Données projet'!$B$14,Paramètres!$A$1:$I$89,3,0)*0.475*44/12</f>
        <v>1.868678114609279E-19</v>
      </c>
      <c r="ED166" s="22">
        <f t="shared" si="178"/>
        <v>0.42037913444952857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2.2737367544323206E-13</v>
      </c>
      <c r="EK166" s="17">
        <f>EJ166*VLOOKUP('Données projet'!$B$15,Paramètres!$A$1:$I$89,3,0)*VLOOKUP('Données projet'!$B$15,Paramètres!$A$1:$I$89,5,0)</f>
        <v>1.2414602679200471E-13</v>
      </c>
      <c r="EL166" s="13">
        <f t="shared" si="179"/>
        <v>1.8186582995804361E-12</v>
      </c>
      <c r="EM166" s="20">
        <f t="shared" si="180"/>
        <v>3.3837175350986671E-12</v>
      </c>
      <c r="EN166" s="59">
        <f t="shared" si="128"/>
        <v>293.33333333333672</v>
      </c>
      <c r="EO166" s="59">
        <f ca="1">AVERAGE(OFFSET($EN$3,0,0,'Données projet'!$E$15+1,1))-AVERAGE(OFFSET($H$3,0,0,'Données projet'!$E$15+1,1))</f>
        <v>168.72306536277267</v>
      </c>
      <c r="EP166" s="59">
        <f t="shared" si="154"/>
        <v>203.35476578922339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0.21840184659233514</v>
      </c>
      <c r="EW166" s="21">
        <f>EXP(-LN(2)/25)*EW165+(1-EXP(-LN(2)/25))/(LN(2)/25)*Calculateur!ER166*Calculateur!ET166*VLOOKUP('Données projet'!$B$15,Paramètres!$A$1:$I$89,3,0)*0.475*44/12</f>
        <v>0.5753940123924961</v>
      </c>
      <c r="EX166" s="21">
        <f>EXP(-LN(2)/2)*EX165+(1-EXP(-LN(2)/2))/(LN(2)/2)*ER166*EU166*VLOOKUP('Données projet'!$B$15,Paramètres!$A$1:$I$89,3,0)*0.475*44/12</f>
        <v>1.9189020126454431E-19</v>
      </c>
      <c r="EY166" s="22">
        <f t="shared" si="181"/>
        <v>0.79379585898483129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3.4106051316484809E-13</v>
      </c>
      <c r="FF166" s="17">
        <f>FE166*VLOOKUP('Données projet'!$B$16,Paramètres!$A$1:$I$89,3,0)*VLOOKUP('Données projet'!$B$16,Paramètres!$A$1:$I$89,5,0)</f>
        <v>1.8621904018800707E-13</v>
      </c>
      <c r="FG166" s="13">
        <f t="shared" si="182"/>
        <v>2.6022279988572714E-12</v>
      </c>
      <c r="FH166" s="20">
        <f t="shared" si="183"/>
        <v>4.8565452596705266E-12</v>
      </c>
      <c r="FI166" s="59">
        <f t="shared" si="131"/>
        <v>293.33333333333815</v>
      </c>
      <c r="FJ166" s="59">
        <f ca="1">AVERAGE(OFFSET($FI$3,0,0,'Données projet'!$E$16+1,1))-AVERAGE(OFFSET($H$3,0,0,'Données projet'!$E$16+1,1))</f>
        <v>127.76128532861486</v>
      </c>
      <c r="FK166" s="59">
        <f t="shared" si="156"/>
        <v>157.52303491639736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>
        <f>EXP(-LN(2)/35)*FQ165+(1-EXP(-LN(2)/35))/(LN(2)/35)*FM166*FN166*VLOOKUP('Données projet'!$B$16,Paramètres!$A$1:$I$89,3,0)*0.475*44/12</f>
        <v>0.17472147727386811</v>
      </c>
      <c r="FR166" s="21">
        <f>EXP(-LN(2)/25)*FR165+(1-EXP(-LN(2)/25))/(LN(2)/25)*Calculateur!FM166*Calculateur!FO166*VLOOKUP('Données projet'!$B$16,Paramètres!$A$1:$I$89,3,0)*0.475*44/12</f>
        <v>0.40857742087655075</v>
      </c>
      <c r="FS166" s="21">
        <f>EXP(-LN(2)/2)*FS165+(1-EXP(-LN(2)/2))/(LN(2)/2)*FM166*FP166*VLOOKUP('Données projet'!$B$16,Paramètres!$A$1:$I$89,3,0)*0.475*44/12</f>
        <v>1.5234582404302451E-19</v>
      </c>
      <c r="FT166" s="22">
        <f t="shared" si="184"/>
        <v>0.5832988981504188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-5.6843418860808015E-13</v>
      </c>
      <c r="O167" s="13">
        <f>N167*VLOOKUP('Données projet'!$B$9,Paramètres!$A$1:$I$89,3,0)*VLOOKUP('Données projet'!$B$9,Paramètres!$A$1:$I$89,5,0)</f>
        <v>-5.1431925385259092E-13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153.45079678708987</v>
      </c>
      <c r="T167" s="59">
        <f t="shared" si="142"/>
        <v>115.4217868409637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0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5.1821581196581219</v>
      </c>
      <c r="AI167" s="13">
        <f>IF('Données projet'!$A$62&gt;35,AI166+AH167-AQ166,IF(A167&lt;'Données projet'!$A$62,$AF$205^A167,IF(A167='Données projet'!$A$62,'Données projet'!$B$62,AI166+AH167-AQ166)))</f>
        <v>278.59188034188037</v>
      </c>
      <c r="AJ167" s="13">
        <f>AI167*VLOOKUP('Données projet'!$B$10,Paramètres!$A$1:$I$89,3,0)*VLOOKUP('Données projet'!$B$10,Paramètres!$A$1:$I$89,5,0)</f>
        <v>252.06993333333335</v>
      </c>
      <c r="AK167" s="13">
        <f t="shared" si="164"/>
        <v>61.028972985927304</v>
      </c>
      <c r="AL167" s="20">
        <f t="shared" si="165"/>
        <v>545.31392850604561</v>
      </c>
      <c r="AM167" s="59">
        <f t="shared" si="113"/>
        <v>838.64726183937887</v>
      </c>
      <c r="AN167" s="59">
        <f ca="1">AVERAGE(OFFSET($AM$3,0,0,'Données projet'!$E$10+1,1))-AVERAGE(OFFSET($H$3,0,0,'Données projet'!$E$10+1,1))</f>
        <v>123.92486590666675</v>
      </c>
      <c r="AO167" s="59">
        <f t="shared" si="144"/>
        <v>54.404493017418986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0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1.1368683772161603E-13</v>
      </c>
      <c r="BE167" s="13">
        <f>BD167*VLOOKUP('Données projet'!$B$11,Paramètres!$A$1:$I$89,3,0)*VLOOKUP('Données projet'!$B$11,Paramètres!$A$1:$I$89,5,0)</f>
        <v>6.3550942286383367E-14</v>
      </c>
      <c r="BF167" s="13">
        <f t="shared" si="167"/>
        <v>1.0064464192543978E-12</v>
      </c>
      <c r="BG167" s="20">
        <f t="shared" si="168"/>
        <v>1.8635787380168604E-12</v>
      </c>
      <c r="BH167" s="59">
        <f t="shared" si="116"/>
        <v>293.33333333333519</v>
      </c>
      <c r="BI167" s="59">
        <f ca="1">AVERAGE(OFFSET($BH$3,0,0,'Données projet'!$E$11+1,1))-AVERAGE(OFFSET($H$3,0,0,'Données projet'!$E$11+1,1))</f>
        <v>224.7049802939942</v>
      </c>
      <c r="BJ167" s="59">
        <f t="shared" si="146"/>
        <v>203.48513862195352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0.15704205666026952</v>
      </c>
      <c r="BQ167" s="21">
        <f>EXP(-LN(2)/25)*BQ166+(1-EXP(-LN(2)/25))/(LN(2)/25)*Calculateur!BL167*Calculateur!BN167*VLOOKUP('Données projet'!$B$11,Paramètres!$A$1:$I$89,3,0)*0.475*44/12</f>
        <v>0.47540063411519567</v>
      </c>
      <c r="BR167" s="21">
        <f>EXP(-LN(2)/2)*BR166+(1-EXP(-LN(2)/2))/(LN(2)/2)*BL167*BO167*VLOOKUP('Données projet'!$B$11,Paramètres!$A$1:$I$89,3,0)*0.475*44/12</f>
        <v>6.0719472737866122E-20</v>
      </c>
      <c r="BS167" s="22">
        <f t="shared" si="169"/>
        <v>0.63244269077546522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6.2527760746888816E-13</v>
      </c>
      <c r="BZ167" s="13">
        <f>BY167*VLOOKUP('Données projet'!$B$12,Paramètres!$A$1:$I$89,3,0)*VLOOKUP('Données projet'!$B$12,Paramètres!$A$1:$I$89,5,0)</f>
        <v>3.4953018257510848E-13</v>
      </c>
      <c r="CA167" s="13">
        <f t="shared" si="170"/>
        <v>4.5391562386470354E-12</v>
      </c>
      <c r="CB167" s="20">
        <f t="shared" si="171"/>
        <v>8.5144621836285662E-12</v>
      </c>
      <c r="CC167" s="59">
        <f t="shared" si="119"/>
        <v>293.33333333334184</v>
      </c>
      <c r="CD167" s="59">
        <f ca="1">AVERAGE(OFFSET($CC$3,0,0,'Données projet'!$E$12+1,1))-AVERAGE(OFFSET($H$3,0,0,'Données projet'!$E$12+1,1))</f>
        <v>190.08613104982993</v>
      </c>
      <c r="CE167" s="59">
        <f t="shared" si="148"/>
        <v>180.55054525447781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0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497</v>
      </c>
      <c r="CU167" s="17">
        <f>CT167*VLOOKUP('Données projet'!$B$13,Paramètres!$A$1:$I$89,3,0)*VLOOKUP('Données projet'!$B$13,Paramètres!$A$1:$I$89,5,0)</f>
        <v>297.20600000000002</v>
      </c>
      <c r="CV167" s="13">
        <f t="shared" si="173"/>
        <v>70.590415164571112</v>
      </c>
      <c r="CW167" s="20">
        <f t="shared" si="174"/>
        <v>640.57875641162809</v>
      </c>
      <c r="CX167" s="59">
        <f t="shared" si="122"/>
        <v>933.91208974496135</v>
      </c>
      <c r="CY167" s="59">
        <f ca="1">AVERAGE(OFFSET($CX$3,0,0,'Données projet'!$E$13+1,1))-AVERAGE(OFFSET($H$3,0,0,'Données projet'!$E$13+1,1))</f>
        <v>270.30888762640245</v>
      </c>
      <c r="CZ167" s="59">
        <f t="shared" si="150"/>
        <v>202.23783851977691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0.15075733930501664</v>
      </c>
      <c r="DG167" s="21">
        <f>EXP(-LN(2)/25)*DG166+(1-EXP(-LN(2)/25))/(LN(2)/25)*Calculateur!DB167*Calculateur!DD167*VLOOKUP('Données projet'!$B$13,Paramètres!$A$1:$I$89,3,0)*0.475*44/12</f>
        <v>0.29937470960507206</v>
      </c>
      <c r="DH167" s="21">
        <f>EXP(-LN(2)/2)*DH166+(1-EXP(-LN(2)/2))/(LN(2)/2)*DB167*DE167*VLOOKUP('Données projet'!$B$13,Paramètres!$A$1:$I$89,3,0)*0.475*44/12</f>
        <v>1.2531079002729267E-19</v>
      </c>
      <c r="DI167" s="22">
        <f t="shared" si="175"/>
        <v>0.45013204891008873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433.00000000000011</v>
      </c>
      <c r="DP167" s="17">
        <f>DO167*VLOOKUP('Données projet'!$B$14,Paramètres!$A$1:$I$89,3,0)*VLOOKUP('Données projet'!$B$14,Paramètres!$A$1:$I$89,5,0)</f>
        <v>258.93400000000008</v>
      </c>
      <c r="DQ167" s="13">
        <f t="shared" si="176"/>
        <v>62.495095530116075</v>
      </c>
      <c r="DR167" s="20">
        <f t="shared" si="177"/>
        <v>559.82234138161891</v>
      </c>
      <c r="DS167" s="59">
        <f t="shared" si="125"/>
        <v>853.15567471495228</v>
      </c>
      <c r="DT167" s="59">
        <f ca="1">AVERAGE(OFFSET($DS$3,0,0,'Données projet'!$E$14+1,1))-AVERAGE(OFFSET($H$3,0,0,'Données projet'!$E$14+1,1))</f>
        <v>221.14988592347311</v>
      </c>
      <c r="DU167" s="59">
        <f t="shared" si="152"/>
        <v>179.09262081171607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0.16080782859201784</v>
      </c>
      <c r="EB167" s="21">
        <f>EXP(-LN(2)/25)*EB166+(1-EXP(-LN(2)/25))/(LN(2)/25)*Calculateur!DW167*Calculateur!DY167*VLOOKUP('Données projet'!$B$14,Paramètres!$A$1:$I$89,3,0)*0.475*44/12</f>
        <v>0.24934485251689945</v>
      </c>
      <c r="EC167" s="21">
        <f>EXP(-LN(2)/2)*EC166+(1-EXP(-LN(2)/2))/(LN(2)/2)*DW167*DZ167*VLOOKUP('Données projet'!$B$14,Paramètres!$A$1:$I$89,3,0)*0.475*44/12</f>
        <v>1.3213549666951136E-19</v>
      </c>
      <c r="ED167" s="22">
        <f t="shared" si="178"/>
        <v>0.41015268110891728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2.2737367544323206E-13</v>
      </c>
      <c r="EK167" s="17">
        <f>EJ167*VLOOKUP('Données projet'!$B$15,Paramètres!$A$1:$I$89,3,0)*VLOOKUP('Données projet'!$B$15,Paramètres!$A$1:$I$89,5,0)</f>
        <v>1.2414602679200471E-13</v>
      </c>
      <c r="EL167" s="13">
        <f t="shared" si="179"/>
        <v>1.8186582995804361E-12</v>
      </c>
      <c r="EM167" s="20">
        <f t="shared" si="180"/>
        <v>3.3837175350986671E-12</v>
      </c>
      <c r="EN167" s="59">
        <f t="shared" si="128"/>
        <v>293.33333333333672</v>
      </c>
      <c r="EO167" s="59">
        <f ca="1">AVERAGE(OFFSET($EN$3,0,0,'Données projet'!$E$15+1,1))-AVERAGE(OFFSET($H$3,0,0,'Données projet'!$E$15+1,1))</f>
        <v>168.72306536277267</v>
      </c>
      <c r="EP167" s="59">
        <f t="shared" si="154"/>
        <v>203.35476578922339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0.21411911959263227</v>
      </c>
      <c r="EW167" s="21">
        <f>EXP(-LN(2)/25)*EW166+(1-EXP(-LN(2)/25))/(LN(2)/25)*Calculateur!ER167*Calculateur!ET167*VLOOKUP('Données projet'!$B$15,Paramètres!$A$1:$I$89,3,0)*0.475*44/12</f>
        <v>0.55965983286496723</v>
      </c>
      <c r="EX167" s="21">
        <f>EXP(-LN(2)/2)*EX166+(1-EXP(-LN(2)/2))/(LN(2)/2)*ER167*EU167*VLOOKUP('Données projet'!$B$15,Paramètres!$A$1:$I$89,3,0)*0.475*44/12</f>
        <v>1.356868625574107E-19</v>
      </c>
      <c r="EY167" s="22">
        <f t="shared" si="181"/>
        <v>0.77377895245759953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3.4106051316484809E-13</v>
      </c>
      <c r="FF167" s="17">
        <f>FE167*VLOOKUP('Données projet'!$B$16,Paramètres!$A$1:$I$89,3,0)*VLOOKUP('Données projet'!$B$16,Paramètres!$A$1:$I$89,5,0)</f>
        <v>1.8621904018800707E-13</v>
      </c>
      <c r="FG167" s="13">
        <f t="shared" si="182"/>
        <v>2.6022279988572714E-12</v>
      </c>
      <c r="FH167" s="20">
        <f t="shared" si="183"/>
        <v>4.8565452596705266E-12</v>
      </c>
      <c r="FI167" s="59">
        <f t="shared" si="131"/>
        <v>293.33333333333815</v>
      </c>
      <c r="FJ167" s="59">
        <f ca="1">AVERAGE(OFFSET($FI$3,0,0,'Données projet'!$E$16+1,1))-AVERAGE(OFFSET($H$3,0,0,'Données projet'!$E$16+1,1))</f>
        <v>127.76128532861486</v>
      </c>
      <c r="FK167" s="59">
        <f t="shared" si="156"/>
        <v>157.52303491639736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>
        <f>EXP(-LN(2)/35)*FQ166+(1-EXP(-LN(2)/35))/(LN(2)/35)*FM167*FN167*VLOOKUP('Données projet'!$B$16,Paramètres!$A$1:$I$89,3,0)*0.475*44/12</f>
        <v>0.17129529567410581</v>
      </c>
      <c r="FR167" s="21">
        <f>EXP(-LN(2)/25)*FR166+(1-EXP(-LN(2)/25))/(LN(2)/25)*Calculateur!FM167*Calculateur!FO167*VLOOKUP('Données projet'!$B$16,Paramètres!$A$1:$I$89,3,0)*0.475*44/12</f>
        <v>0.39740484981652874</v>
      </c>
      <c r="FS167" s="21">
        <f>EXP(-LN(2)/2)*FS166+(1-EXP(-LN(2)/2))/(LN(2)/2)*FM167*FP167*VLOOKUP('Données projet'!$B$16,Paramètres!$A$1:$I$89,3,0)*0.475*44/12</f>
        <v>1.0772476526627521E-19</v>
      </c>
      <c r="FT167" s="22">
        <f t="shared" si="184"/>
        <v>0.56870014549063452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-5.6843418860808015E-13</v>
      </c>
      <c r="O168" s="13">
        <f>N168*VLOOKUP('Données projet'!$B$9,Paramètres!$A$1:$I$89,3,0)*VLOOKUP('Données projet'!$B$9,Paramètres!$A$1:$I$89,5,0)</f>
        <v>-5.1431925385259092E-13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153.45079678708987</v>
      </c>
      <c r="T168" s="59">
        <f t="shared" si="142"/>
        <v>115.4217868409637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0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5.1821581196581219</v>
      </c>
      <c r="AI168" s="13">
        <f>IF('Données projet'!$A$62&gt;35,AI167+AH168-AQ167,IF(A168&lt;'Données projet'!$A$62,$AF$205^A168,IF(A168='Données projet'!$A$62,'Données projet'!$B$62,AI167+AH168-AQ167)))</f>
        <v>283.77403846153851</v>
      </c>
      <c r="AJ168" s="13">
        <f>AI168*VLOOKUP('Données projet'!$B$10,Paramètres!$A$1:$I$89,3,0)*VLOOKUP('Données projet'!$B$10,Paramètres!$A$1:$I$89,5,0)</f>
        <v>256.75875000000002</v>
      </c>
      <c r="AK168" s="13">
        <f t="shared" si="164"/>
        <v>62.030970818008434</v>
      </c>
      <c r="AL168" s="20">
        <f t="shared" si="165"/>
        <v>555.22543042469806</v>
      </c>
      <c r="AM168" s="59">
        <f t="shared" si="113"/>
        <v>848.55876375803132</v>
      </c>
      <c r="AN168" s="59">
        <f ca="1">AVERAGE(OFFSET($AM$3,0,0,'Données projet'!$E$10+1,1))-AVERAGE(OFFSET($H$3,0,0,'Données projet'!$E$10+1,1))</f>
        <v>123.92486590666675</v>
      </c>
      <c r="AO168" s="59">
        <f t="shared" si="144"/>
        <v>54.404493017418986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1.1368683772161603E-13</v>
      </c>
      <c r="BE168" s="13">
        <f>BD168*VLOOKUP('Données projet'!$B$11,Paramètres!$A$1:$I$89,3,0)*VLOOKUP('Données projet'!$B$11,Paramètres!$A$1:$I$89,5,0)</f>
        <v>6.3550942286383367E-14</v>
      </c>
      <c r="BF168" s="13">
        <f t="shared" si="167"/>
        <v>1.0064464192543978E-12</v>
      </c>
      <c r="BG168" s="20">
        <f t="shared" si="168"/>
        <v>1.8635787380168604E-12</v>
      </c>
      <c r="BH168" s="59">
        <f t="shared" si="116"/>
        <v>293.33333333333519</v>
      </c>
      <c r="BI168" s="59">
        <f ca="1">AVERAGE(OFFSET($BH$3,0,0,'Données projet'!$E$11+1,1))-AVERAGE(OFFSET($H$3,0,0,'Données projet'!$E$11+1,1))</f>
        <v>224.7049802939942</v>
      </c>
      <c r="BJ168" s="59">
        <f t="shared" si="146"/>
        <v>203.48513862195352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0.15396255771535811</v>
      </c>
      <c r="BQ168" s="21">
        <f>EXP(-LN(2)/25)*BQ167+(1-EXP(-LN(2)/25))/(LN(2)/25)*Calculateur!BL168*Calculateur!BN168*VLOOKUP('Données projet'!$B$11,Paramètres!$A$1:$I$89,3,0)*0.475*44/12</f>
        <v>0.46240077877508284</v>
      </c>
      <c r="BR168" s="21">
        <f>EXP(-LN(2)/2)*BR167+(1-EXP(-LN(2)/2))/(LN(2)/2)*BL168*BO168*VLOOKUP('Données projet'!$B$11,Paramètres!$A$1:$I$89,3,0)*0.475*44/12</f>
        <v>4.2935150923016838E-20</v>
      </c>
      <c r="BS168" s="22">
        <f t="shared" si="169"/>
        <v>0.61636333649044095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6.2527760746888816E-13</v>
      </c>
      <c r="BZ168" s="13">
        <f>BY168*VLOOKUP('Données projet'!$B$12,Paramètres!$A$1:$I$89,3,0)*VLOOKUP('Données projet'!$B$12,Paramètres!$A$1:$I$89,5,0)</f>
        <v>3.4953018257510848E-13</v>
      </c>
      <c r="CA168" s="13">
        <f t="shared" si="170"/>
        <v>4.5391562386470354E-12</v>
      </c>
      <c r="CB168" s="20">
        <f t="shared" si="171"/>
        <v>8.5144621836285662E-12</v>
      </c>
      <c r="CC168" s="59">
        <f t="shared" si="119"/>
        <v>293.33333333334184</v>
      </c>
      <c r="CD168" s="59">
        <f ca="1">AVERAGE(OFFSET($CC$3,0,0,'Données projet'!$E$12+1,1))-AVERAGE(OFFSET($H$3,0,0,'Données projet'!$E$12+1,1))</f>
        <v>190.08613104982993</v>
      </c>
      <c r="CE168" s="59">
        <f t="shared" si="148"/>
        <v>180.55054525447781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0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497</v>
      </c>
      <c r="CU168" s="17">
        <f>CT168*VLOOKUP('Données projet'!$B$13,Paramètres!$A$1:$I$89,3,0)*VLOOKUP('Données projet'!$B$13,Paramètres!$A$1:$I$89,5,0)</f>
        <v>297.20600000000002</v>
      </c>
      <c r="CV168" s="13">
        <f t="shared" si="173"/>
        <v>70.590415164571112</v>
      </c>
      <c r="CW168" s="20">
        <f t="shared" si="174"/>
        <v>640.57875641162809</v>
      </c>
      <c r="CX168" s="59">
        <f t="shared" si="122"/>
        <v>933.91208974496135</v>
      </c>
      <c r="CY168" s="59">
        <f ca="1">AVERAGE(OFFSET($CX$3,0,0,'Données projet'!$E$13+1,1))-AVERAGE(OFFSET($H$3,0,0,'Données projet'!$E$13+1,1))</f>
        <v>270.30888762640245</v>
      </c>
      <c r="CZ168" s="59">
        <f t="shared" si="150"/>
        <v>202.23783851977691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0.14780107983414265</v>
      </c>
      <c r="DG168" s="21">
        <f>EXP(-LN(2)/25)*DG167+(1-EXP(-LN(2)/25))/(LN(2)/25)*Calculateur!DB168*Calculateur!DD168*VLOOKUP('Données projet'!$B$13,Paramètres!$A$1:$I$89,3,0)*0.475*44/12</f>
        <v>0.29118829242748961</v>
      </c>
      <c r="DH168" s="21">
        <f>EXP(-LN(2)/2)*DH167+(1-EXP(-LN(2)/2))/(LN(2)/2)*DB168*DE168*VLOOKUP('Données projet'!$B$13,Paramètres!$A$1:$I$89,3,0)*0.475*44/12</f>
        <v>8.8608109384142239E-20</v>
      </c>
      <c r="DI168" s="22">
        <f t="shared" si="175"/>
        <v>0.43898937226163226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433.00000000000011</v>
      </c>
      <c r="DP168" s="17">
        <f>DO168*VLOOKUP('Données projet'!$B$14,Paramètres!$A$1:$I$89,3,0)*VLOOKUP('Données projet'!$B$14,Paramètres!$A$1:$I$89,5,0)</f>
        <v>258.93400000000008</v>
      </c>
      <c r="DQ168" s="13">
        <f t="shared" si="176"/>
        <v>62.495095530116075</v>
      </c>
      <c r="DR168" s="20">
        <f t="shared" si="177"/>
        <v>559.82234138161891</v>
      </c>
      <c r="DS168" s="59">
        <f t="shared" si="125"/>
        <v>853.15567471495228</v>
      </c>
      <c r="DT168" s="59">
        <f ca="1">AVERAGE(OFFSET($DS$3,0,0,'Données projet'!$E$14+1,1))-AVERAGE(OFFSET($H$3,0,0,'Données projet'!$E$14+1,1))</f>
        <v>221.14988592347311</v>
      </c>
      <c r="DU168" s="59">
        <f t="shared" si="152"/>
        <v>179.09262081171607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0.15765448515641892</v>
      </c>
      <c r="EB168" s="21">
        <f>EXP(-LN(2)/25)*EB167+(1-EXP(-LN(2)/25))/(LN(2)/25)*Calculateur!DW168*Calculateur!DY168*VLOOKUP('Données projet'!$B$14,Paramètres!$A$1:$I$89,3,0)*0.475*44/12</f>
        <v>0.24252650441234891</v>
      </c>
      <c r="EC168" s="21">
        <f>EXP(-LN(2)/2)*EC167+(1-EXP(-LN(2)/2))/(LN(2)/2)*DW168*DZ168*VLOOKUP('Données projet'!$B$14,Paramètres!$A$1:$I$89,3,0)*0.475*44/12</f>
        <v>9.3433905730463948E-20</v>
      </c>
      <c r="ED168" s="22">
        <f t="shared" si="178"/>
        <v>0.4001809895687678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2.2737367544323206E-13</v>
      </c>
      <c r="EK168" s="17">
        <f>EJ168*VLOOKUP('Données projet'!$B$15,Paramètres!$A$1:$I$89,3,0)*VLOOKUP('Données projet'!$B$15,Paramètres!$A$1:$I$89,5,0)</f>
        <v>1.2414602679200471E-13</v>
      </c>
      <c r="EL168" s="13">
        <f t="shared" si="179"/>
        <v>1.8186582995804361E-12</v>
      </c>
      <c r="EM168" s="20">
        <f t="shared" si="180"/>
        <v>3.3837175350986671E-12</v>
      </c>
      <c r="EN168" s="59">
        <f t="shared" si="128"/>
        <v>293.33333333333672</v>
      </c>
      <c r="EO168" s="59">
        <f ca="1">AVERAGE(OFFSET($EN$3,0,0,'Données projet'!$E$15+1,1))-AVERAGE(OFFSET($H$3,0,0,'Données projet'!$E$15+1,1))</f>
        <v>168.72306536277267</v>
      </c>
      <c r="EP168" s="59">
        <f t="shared" si="154"/>
        <v>203.35476578922339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0.20992037425718804</v>
      </c>
      <c r="EW168" s="21">
        <f>EXP(-LN(2)/25)*EW167+(1-EXP(-LN(2)/25))/(LN(2)/25)*Calculateur!ER168*Calculateur!ET168*VLOOKUP('Données projet'!$B$15,Paramètres!$A$1:$I$89,3,0)*0.475*44/12</f>
        <v>0.54435590530404321</v>
      </c>
      <c r="EX168" s="21">
        <f>EXP(-LN(2)/2)*EX167+(1-EXP(-LN(2)/2))/(LN(2)/2)*ER168*EU168*VLOOKUP('Données projet'!$B$15,Paramètres!$A$1:$I$89,3,0)*0.475*44/12</f>
        <v>9.5945100632272157E-20</v>
      </c>
      <c r="EY168" s="22">
        <f t="shared" si="181"/>
        <v>0.75427627956123122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3.4106051316484809E-13</v>
      </c>
      <c r="FF168" s="17">
        <f>FE168*VLOOKUP('Données projet'!$B$16,Paramètres!$A$1:$I$89,3,0)*VLOOKUP('Données projet'!$B$16,Paramètres!$A$1:$I$89,5,0)</f>
        <v>1.8621904018800707E-13</v>
      </c>
      <c r="FG168" s="13">
        <f t="shared" si="182"/>
        <v>2.6022279988572714E-12</v>
      </c>
      <c r="FH168" s="20">
        <f t="shared" si="183"/>
        <v>4.8565452596705266E-12</v>
      </c>
      <c r="FI168" s="59">
        <f t="shared" si="131"/>
        <v>293.33333333333815</v>
      </c>
      <c r="FJ168" s="59">
        <f ca="1">AVERAGE(OFFSET($FI$3,0,0,'Données projet'!$E$16+1,1))-AVERAGE(OFFSET($H$3,0,0,'Données projet'!$E$16+1,1))</f>
        <v>127.76128532861486</v>
      </c>
      <c r="FK168" s="59">
        <f t="shared" si="156"/>
        <v>157.52303491639736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>
        <f>EXP(-LN(2)/35)*FQ167+(1-EXP(-LN(2)/35))/(LN(2)/35)*FM168*FN168*VLOOKUP('Données projet'!$B$16,Paramètres!$A$1:$I$89,3,0)*0.475*44/12</f>
        <v>0.16793629940575044</v>
      </c>
      <c r="FR168" s="21">
        <f>EXP(-LN(2)/25)*FR167+(1-EXP(-LN(2)/25))/(LN(2)/25)*Calculateur!FM168*Calculateur!FO168*VLOOKUP('Données projet'!$B$16,Paramètres!$A$1:$I$89,3,0)*0.475*44/12</f>
        <v>0.38653779329968296</v>
      </c>
      <c r="FS168" s="21">
        <f>EXP(-LN(2)/2)*FS167+(1-EXP(-LN(2)/2))/(LN(2)/2)*FM168*FP168*VLOOKUP('Données projet'!$B$16,Paramètres!$A$1:$I$89,3,0)*0.475*44/12</f>
        <v>7.6172912021512265E-20</v>
      </c>
      <c r="FT168" s="22">
        <f t="shared" si="184"/>
        <v>0.55447409270543346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-5.6843418860808015E-13</v>
      </c>
      <c r="O169" s="13">
        <f>N169*VLOOKUP('Données projet'!$B$9,Paramètres!$A$1:$I$89,3,0)*VLOOKUP('Données projet'!$B$9,Paramètres!$A$1:$I$89,5,0)</f>
        <v>-5.1431925385259092E-13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153.45079678708987</v>
      </c>
      <c r="T169" s="59">
        <f t="shared" si="142"/>
        <v>115.4217868409637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0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5.1821581196581219</v>
      </c>
      <c r="AI169" s="13">
        <f>IF('Données projet'!$A$62&gt;35,AI168+AH169-AQ168,IF(A169&lt;'Données projet'!$A$62,$AF$205^A169,IF(A169='Données projet'!$A$62,'Données projet'!$B$62,AI168+AH169-AQ168)))</f>
        <v>288.95619658119665</v>
      </c>
      <c r="AJ169" s="13">
        <f>AI169*VLOOKUP('Données projet'!$B$10,Paramètres!$A$1:$I$89,3,0)*VLOOKUP('Données projet'!$B$10,Paramètres!$A$1:$I$89,5,0)</f>
        <v>261.44756666666672</v>
      </c>
      <c r="AK169" s="13">
        <f t="shared" si="164"/>
        <v>63.030840894284054</v>
      </c>
      <c r="AL169" s="20">
        <f t="shared" si="165"/>
        <v>565.13322650198916</v>
      </c>
      <c r="AM169" s="59">
        <f t="shared" si="113"/>
        <v>858.46655983532241</v>
      </c>
      <c r="AN169" s="59">
        <f ca="1">AVERAGE(OFFSET($AM$3,0,0,'Données projet'!$E$10+1,1))-AVERAGE(OFFSET($H$3,0,0,'Données projet'!$E$10+1,1))</f>
        <v>123.92486590666675</v>
      </c>
      <c r="AO169" s="59">
        <f t="shared" si="144"/>
        <v>54.404493017418986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1.1368683772161603E-13</v>
      </c>
      <c r="BE169" s="13">
        <f>BD169*VLOOKUP('Données projet'!$B$11,Paramètres!$A$1:$I$89,3,0)*VLOOKUP('Données projet'!$B$11,Paramètres!$A$1:$I$89,5,0)</f>
        <v>6.3550942286383367E-14</v>
      </c>
      <c r="BF169" s="13">
        <f t="shared" si="167"/>
        <v>1.0064464192543978E-12</v>
      </c>
      <c r="BG169" s="20">
        <f t="shared" si="168"/>
        <v>1.8635787380168604E-12</v>
      </c>
      <c r="BH169" s="59">
        <f t="shared" si="116"/>
        <v>293.33333333333519</v>
      </c>
      <c r="BI169" s="59">
        <f ca="1">AVERAGE(OFFSET($BH$3,0,0,'Données projet'!$E$11+1,1))-AVERAGE(OFFSET($H$3,0,0,'Données projet'!$E$11+1,1))</f>
        <v>224.7049802939942</v>
      </c>
      <c r="BJ169" s="59">
        <f t="shared" si="146"/>
        <v>203.48513862195352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0.15094344586644751</v>
      </c>
      <c r="BQ169" s="21">
        <f>EXP(-LN(2)/25)*BQ168+(1-EXP(-LN(2)/25))/(LN(2)/25)*Calculateur!BL169*Calculateur!BN169*VLOOKUP('Données projet'!$B$11,Paramètres!$A$1:$I$89,3,0)*0.475*44/12</f>
        <v>0.44975640516287807</v>
      </c>
      <c r="BR169" s="21">
        <f>EXP(-LN(2)/2)*BR168+(1-EXP(-LN(2)/2))/(LN(2)/2)*BL169*BO169*VLOOKUP('Données projet'!$B$11,Paramètres!$A$1:$I$89,3,0)*0.475*44/12</f>
        <v>3.0359736368933061E-20</v>
      </c>
      <c r="BS169" s="22">
        <f t="shared" si="169"/>
        <v>0.60069985102932555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6.2527760746888816E-13</v>
      </c>
      <c r="BZ169" s="13">
        <f>BY169*VLOOKUP('Données projet'!$B$12,Paramètres!$A$1:$I$89,3,0)*VLOOKUP('Données projet'!$B$12,Paramètres!$A$1:$I$89,5,0)</f>
        <v>3.4953018257510848E-13</v>
      </c>
      <c r="CA169" s="13">
        <f t="shared" si="170"/>
        <v>4.5391562386470354E-12</v>
      </c>
      <c r="CB169" s="20">
        <f t="shared" si="171"/>
        <v>8.5144621836285662E-12</v>
      </c>
      <c r="CC169" s="59">
        <f t="shared" si="119"/>
        <v>293.33333333334184</v>
      </c>
      <c r="CD169" s="59">
        <f ca="1">AVERAGE(OFFSET($CC$3,0,0,'Données projet'!$E$12+1,1))-AVERAGE(OFFSET($H$3,0,0,'Données projet'!$E$12+1,1))</f>
        <v>190.08613104982993</v>
      </c>
      <c r="CE169" s="59">
        <f t="shared" si="148"/>
        <v>180.55054525447781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0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497</v>
      </c>
      <c r="CU169" s="17">
        <f>CT169*VLOOKUP('Données projet'!$B$13,Paramètres!$A$1:$I$89,3,0)*VLOOKUP('Données projet'!$B$13,Paramètres!$A$1:$I$89,5,0)</f>
        <v>297.20600000000002</v>
      </c>
      <c r="CV169" s="13">
        <f t="shared" si="173"/>
        <v>70.590415164571112</v>
      </c>
      <c r="CW169" s="20">
        <f t="shared" si="174"/>
        <v>640.57875641162809</v>
      </c>
      <c r="CX169" s="59">
        <f t="shared" si="122"/>
        <v>933.91208974496135</v>
      </c>
      <c r="CY169" s="59">
        <f ca="1">AVERAGE(OFFSET($CX$3,0,0,'Données projet'!$E$13+1,1))-AVERAGE(OFFSET($H$3,0,0,'Données projet'!$E$13+1,1))</f>
        <v>270.30888762640245</v>
      </c>
      <c r="CZ169" s="59">
        <f t="shared" si="150"/>
        <v>202.23783851977691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0.14490279080835225</v>
      </c>
      <c r="DG169" s="21">
        <f>EXP(-LN(2)/25)*DG168+(1-EXP(-LN(2)/25))/(LN(2)/25)*Calculateur!DB169*Calculateur!DD169*VLOOKUP('Données projet'!$B$13,Paramètres!$A$1:$I$89,3,0)*0.475*44/12</f>
        <v>0.28322573325813311</v>
      </c>
      <c r="DH169" s="21">
        <f>EXP(-LN(2)/2)*DH168+(1-EXP(-LN(2)/2))/(LN(2)/2)*DB169*DE169*VLOOKUP('Données projet'!$B$13,Paramètres!$A$1:$I$89,3,0)*0.475*44/12</f>
        <v>6.2655395013646334E-20</v>
      </c>
      <c r="DI169" s="22">
        <f t="shared" si="175"/>
        <v>0.42812852406648538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433.00000000000011</v>
      </c>
      <c r="DP169" s="17">
        <f>DO169*VLOOKUP('Données projet'!$B$14,Paramètres!$A$1:$I$89,3,0)*VLOOKUP('Données projet'!$B$14,Paramètres!$A$1:$I$89,5,0)</f>
        <v>258.93400000000008</v>
      </c>
      <c r="DQ169" s="13">
        <f t="shared" si="176"/>
        <v>62.495095530116075</v>
      </c>
      <c r="DR169" s="20">
        <f t="shared" si="177"/>
        <v>559.82234138161891</v>
      </c>
      <c r="DS169" s="59">
        <f t="shared" si="125"/>
        <v>853.15567471495228</v>
      </c>
      <c r="DT169" s="59">
        <f ca="1">AVERAGE(OFFSET($DS$3,0,0,'Données projet'!$E$14+1,1))-AVERAGE(OFFSET($H$3,0,0,'Données projet'!$E$14+1,1))</f>
        <v>221.14988592347311</v>
      </c>
      <c r="DU169" s="59">
        <f t="shared" si="152"/>
        <v>179.09262081171607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0.15456297686224249</v>
      </c>
      <c r="EB169" s="21">
        <f>EXP(-LN(2)/25)*EB168+(1-EXP(-LN(2)/25))/(LN(2)/25)*Calculateur!DW169*Calculateur!DY169*VLOOKUP('Données projet'!$B$14,Paramètres!$A$1:$I$89,3,0)*0.475*44/12</f>
        <v>0.23589460439527865</v>
      </c>
      <c r="EC169" s="21">
        <f>EXP(-LN(2)/2)*EC168+(1-EXP(-LN(2)/2))/(LN(2)/2)*DW169*DZ169*VLOOKUP('Données projet'!$B$14,Paramètres!$A$1:$I$89,3,0)*0.475*44/12</f>
        <v>6.6067748334755679E-20</v>
      </c>
      <c r="ED169" s="22">
        <f t="shared" si="178"/>
        <v>0.39045758125752117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2.2737367544323206E-13</v>
      </c>
      <c r="EK169" s="17">
        <f>EJ169*VLOOKUP('Données projet'!$B$15,Paramètres!$A$1:$I$89,3,0)*VLOOKUP('Données projet'!$B$15,Paramètres!$A$1:$I$89,5,0)</f>
        <v>1.2414602679200471E-13</v>
      </c>
      <c r="EL169" s="13">
        <f t="shared" si="179"/>
        <v>1.8186582995804361E-12</v>
      </c>
      <c r="EM169" s="20">
        <f t="shared" si="180"/>
        <v>3.3837175350986671E-12</v>
      </c>
      <c r="EN169" s="59">
        <f t="shared" si="128"/>
        <v>293.33333333333672</v>
      </c>
      <c r="EO169" s="59">
        <f ca="1">AVERAGE(OFFSET($EN$3,0,0,'Données projet'!$E$15+1,1))-AVERAGE(OFFSET($H$3,0,0,'Données projet'!$E$15+1,1))</f>
        <v>168.72306536277267</v>
      </c>
      <c r="EP169" s="59">
        <f t="shared" si="154"/>
        <v>203.35476578922339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0.20580396375679011</v>
      </c>
      <c r="EW169" s="21">
        <f>EXP(-LN(2)/25)*EW168+(1-EXP(-LN(2)/25))/(LN(2)/25)*Calculateur!ER169*Calculateur!ET169*VLOOKUP('Données projet'!$B$15,Paramètres!$A$1:$I$89,3,0)*0.475*44/12</f>
        <v>0.52947046444707124</v>
      </c>
      <c r="EX169" s="21">
        <f>EXP(-LN(2)/2)*EX168+(1-EXP(-LN(2)/2))/(LN(2)/2)*ER169*EU169*VLOOKUP('Données projet'!$B$15,Paramètres!$A$1:$I$89,3,0)*0.475*44/12</f>
        <v>6.784343127870535E-20</v>
      </c>
      <c r="EY169" s="22">
        <f t="shared" si="181"/>
        <v>0.73527442820386135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3.4106051316484809E-13</v>
      </c>
      <c r="FF169" s="17">
        <f>FE169*VLOOKUP('Données projet'!$B$16,Paramètres!$A$1:$I$89,3,0)*VLOOKUP('Données projet'!$B$16,Paramètres!$A$1:$I$89,5,0)</f>
        <v>1.8621904018800707E-13</v>
      </c>
      <c r="FG169" s="13">
        <f t="shared" si="182"/>
        <v>2.6022279988572714E-12</v>
      </c>
      <c r="FH169" s="20">
        <f t="shared" si="183"/>
        <v>4.8565452596705266E-12</v>
      </c>
      <c r="FI169" s="59">
        <f t="shared" si="131"/>
        <v>293.33333333333815</v>
      </c>
      <c r="FJ169" s="59">
        <f ca="1">AVERAGE(OFFSET($FI$3,0,0,'Données projet'!$E$16+1,1))-AVERAGE(OFFSET($H$3,0,0,'Données projet'!$E$16+1,1))</f>
        <v>127.76128532861486</v>
      </c>
      <c r="FK169" s="59">
        <f t="shared" si="156"/>
        <v>157.52303491639736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>
        <f>EXP(-LN(2)/35)*FQ168+(1-EXP(-LN(2)/35))/(LN(2)/35)*FM169*FN169*VLOOKUP('Données projet'!$B$16,Paramètres!$A$1:$I$89,3,0)*0.475*44/12</f>
        <v>0.1646431710054321</v>
      </c>
      <c r="FR169" s="21">
        <f>EXP(-LN(2)/25)*FR168+(1-EXP(-LN(2)/25))/(LN(2)/25)*Calculateur!FM169*Calculateur!FO169*VLOOKUP('Données projet'!$B$16,Paramètres!$A$1:$I$89,3,0)*0.475*44/12</f>
        <v>0.37596789701476402</v>
      </c>
      <c r="FS169" s="21">
        <f>EXP(-LN(2)/2)*FS168+(1-EXP(-LN(2)/2))/(LN(2)/2)*FM169*FP169*VLOOKUP('Données projet'!$B$16,Paramètres!$A$1:$I$89,3,0)*0.475*44/12</f>
        <v>5.3862382633137612E-20</v>
      </c>
      <c r="FT169" s="22">
        <f t="shared" si="184"/>
        <v>0.54061106802019609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-5.6843418860808015E-13</v>
      </c>
      <c r="O170" s="13">
        <f>N170*VLOOKUP('Données projet'!$B$9,Paramètres!$A$1:$I$89,3,0)*VLOOKUP('Données projet'!$B$9,Paramètres!$A$1:$I$89,5,0)</f>
        <v>-5.1431925385259092E-13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153.45079678708987</v>
      </c>
      <c r="T170" s="59">
        <f t="shared" si="142"/>
        <v>115.4217868409637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0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5.1821581196581219</v>
      </c>
      <c r="AI170" s="13">
        <f>IF('Données projet'!$A$62&gt;35,AI169+AH170-AQ169,IF(A170&lt;'Données projet'!$A$62,$AF$205^A170,IF(A170='Données projet'!$A$62,'Données projet'!$B$62,AI169+AH170-AQ169)))</f>
        <v>294.13835470085479</v>
      </c>
      <c r="AJ170" s="13">
        <f>AI170*VLOOKUP('Données projet'!$B$10,Paramètres!$A$1:$I$89,3,0)*VLOOKUP('Données projet'!$B$10,Paramètres!$A$1:$I$89,5,0)</f>
        <v>266.13638333333341</v>
      </c>
      <c r="AK170" s="13">
        <f t="shared" si="164"/>
        <v>64.028625775965807</v>
      </c>
      <c r="AL170" s="20">
        <f t="shared" si="165"/>
        <v>575.0373908653628</v>
      </c>
      <c r="AM170" s="59">
        <f t="shared" si="113"/>
        <v>868.37072419869605</v>
      </c>
      <c r="AN170" s="59">
        <f ca="1">AVERAGE(OFFSET($AM$3,0,0,'Données projet'!$E$10+1,1))-AVERAGE(OFFSET($H$3,0,0,'Données projet'!$E$10+1,1))</f>
        <v>123.92486590666675</v>
      </c>
      <c r="AO170" s="59">
        <f t="shared" si="144"/>
        <v>54.404493017418986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1.1368683772161603E-13</v>
      </c>
      <c r="BE170" s="13">
        <f>BD170*VLOOKUP('Données projet'!$B$11,Paramètres!$A$1:$I$89,3,0)*VLOOKUP('Données projet'!$B$11,Paramètres!$A$1:$I$89,5,0)</f>
        <v>6.3550942286383367E-14</v>
      </c>
      <c r="BF170" s="13">
        <f t="shared" si="167"/>
        <v>1.0064464192543978E-12</v>
      </c>
      <c r="BG170" s="20">
        <f t="shared" si="168"/>
        <v>1.8635787380168604E-12</v>
      </c>
      <c r="BH170" s="59">
        <f t="shared" si="116"/>
        <v>293.33333333333519</v>
      </c>
      <c r="BI170" s="59">
        <f ca="1">AVERAGE(OFFSET($BH$3,0,0,'Données projet'!$E$11+1,1))-AVERAGE(OFFSET($H$3,0,0,'Données projet'!$E$11+1,1))</f>
        <v>224.7049802939942</v>
      </c>
      <c r="BJ170" s="59">
        <f t="shared" si="146"/>
        <v>203.48513862195352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0.14798353695941766</v>
      </c>
      <c r="BQ170" s="21">
        <f>EXP(-LN(2)/25)*BQ169+(1-EXP(-LN(2)/25))/(LN(2)/25)*Calculateur!BL170*Calculateur!BN170*VLOOKUP('Données projet'!$B$11,Paramètres!$A$1:$I$89,3,0)*0.475*44/12</f>
        <v>0.43745779261203777</v>
      </c>
      <c r="BR170" s="21">
        <f>EXP(-LN(2)/2)*BR169+(1-EXP(-LN(2)/2))/(LN(2)/2)*BL170*BO170*VLOOKUP('Données projet'!$B$11,Paramètres!$A$1:$I$89,3,0)*0.475*44/12</f>
        <v>2.1467575461508419E-20</v>
      </c>
      <c r="BS170" s="22">
        <f t="shared" si="169"/>
        <v>0.58544132957145545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6.2527760746888816E-13</v>
      </c>
      <c r="BZ170" s="13">
        <f>BY170*VLOOKUP('Données projet'!$B$12,Paramètres!$A$1:$I$89,3,0)*VLOOKUP('Données projet'!$B$12,Paramètres!$A$1:$I$89,5,0)</f>
        <v>3.4953018257510848E-13</v>
      </c>
      <c r="CA170" s="13">
        <f t="shared" si="170"/>
        <v>4.5391562386470354E-12</v>
      </c>
      <c r="CB170" s="20">
        <f t="shared" si="171"/>
        <v>8.5144621836285662E-12</v>
      </c>
      <c r="CC170" s="59">
        <f t="shared" si="119"/>
        <v>293.33333333334184</v>
      </c>
      <c r="CD170" s="59">
        <f ca="1">AVERAGE(OFFSET($CC$3,0,0,'Données projet'!$E$12+1,1))-AVERAGE(OFFSET($H$3,0,0,'Données projet'!$E$12+1,1))</f>
        <v>190.08613104982993</v>
      </c>
      <c r="CE170" s="59">
        <f t="shared" si="148"/>
        <v>180.55054525447781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0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497</v>
      </c>
      <c r="CU170" s="17">
        <f>CT170*VLOOKUP('Données projet'!$B$13,Paramètres!$A$1:$I$89,3,0)*VLOOKUP('Données projet'!$B$13,Paramètres!$A$1:$I$89,5,0)</f>
        <v>297.20600000000002</v>
      </c>
      <c r="CV170" s="13">
        <f t="shared" si="173"/>
        <v>70.590415164571112</v>
      </c>
      <c r="CW170" s="20">
        <f t="shared" si="174"/>
        <v>640.57875641162809</v>
      </c>
      <c r="CX170" s="59">
        <f t="shared" si="122"/>
        <v>933.91208974496135</v>
      </c>
      <c r="CY170" s="59">
        <f ca="1">AVERAGE(OFFSET($CX$3,0,0,'Données projet'!$E$13+1,1))-AVERAGE(OFFSET($H$3,0,0,'Données projet'!$E$13+1,1))</f>
        <v>270.30888762640245</v>
      </c>
      <c r="CZ170" s="59">
        <f t="shared" si="150"/>
        <v>202.23783851977691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0.14206133546257585</v>
      </c>
      <c r="DG170" s="21">
        <f>EXP(-LN(2)/25)*DG169+(1-EXP(-LN(2)/25))/(LN(2)/25)*Calculateur!DB170*Calculateur!DD170*VLOOKUP('Données projet'!$B$13,Paramètres!$A$1:$I$89,3,0)*0.475*44/12</f>
        <v>0.27548091068799546</v>
      </c>
      <c r="DH170" s="21">
        <f>EXP(-LN(2)/2)*DH169+(1-EXP(-LN(2)/2))/(LN(2)/2)*DB170*DE170*VLOOKUP('Données projet'!$B$13,Paramètres!$A$1:$I$89,3,0)*0.475*44/12</f>
        <v>4.4304054692071119E-20</v>
      </c>
      <c r="DI170" s="22">
        <f t="shared" si="175"/>
        <v>0.41754224615057134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433.00000000000011</v>
      </c>
      <c r="DP170" s="17">
        <f>DO170*VLOOKUP('Données projet'!$B$14,Paramètres!$A$1:$I$89,3,0)*VLOOKUP('Données projet'!$B$14,Paramètres!$A$1:$I$89,5,0)</f>
        <v>258.93400000000008</v>
      </c>
      <c r="DQ170" s="13">
        <f t="shared" si="176"/>
        <v>62.495095530116075</v>
      </c>
      <c r="DR170" s="20">
        <f t="shared" si="177"/>
        <v>559.82234138161891</v>
      </c>
      <c r="DS170" s="59">
        <f t="shared" si="125"/>
        <v>853.15567471495228</v>
      </c>
      <c r="DT170" s="59">
        <f ca="1">AVERAGE(OFFSET($DS$3,0,0,'Données projet'!$E$14+1,1))-AVERAGE(OFFSET($H$3,0,0,'Données projet'!$E$14+1,1))</f>
        <v>221.14988592347311</v>
      </c>
      <c r="DU170" s="59">
        <f t="shared" si="152"/>
        <v>179.09262081171607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0.15153209116008101</v>
      </c>
      <c r="EB170" s="21">
        <f>EXP(-LN(2)/25)*EB169+(1-EXP(-LN(2)/25))/(LN(2)/25)*Calculateur!DW170*Calculateur!DY170*VLOOKUP('Données projet'!$B$14,Paramètres!$A$1:$I$89,3,0)*0.475*44/12</f>
        <v>0.22944405403293167</v>
      </c>
      <c r="EC170" s="21">
        <f>EXP(-LN(2)/2)*EC169+(1-EXP(-LN(2)/2))/(LN(2)/2)*DW170*DZ170*VLOOKUP('Données projet'!$B$14,Paramètres!$A$1:$I$89,3,0)*0.475*44/12</f>
        <v>4.6716952865231974E-20</v>
      </c>
      <c r="ED170" s="22">
        <f t="shared" si="178"/>
        <v>0.38097614519301271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2.2737367544323206E-13</v>
      </c>
      <c r="EK170" s="17">
        <f>EJ170*VLOOKUP('Données projet'!$B$15,Paramètres!$A$1:$I$89,3,0)*VLOOKUP('Données projet'!$B$15,Paramètres!$A$1:$I$89,5,0)</f>
        <v>1.2414602679200471E-13</v>
      </c>
      <c r="EL170" s="13">
        <f t="shared" si="179"/>
        <v>1.8186582995804361E-12</v>
      </c>
      <c r="EM170" s="20">
        <f t="shared" si="180"/>
        <v>3.3837175350986671E-12</v>
      </c>
      <c r="EN170" s="59">
        <f t="shared" si="128"/>
        <v>293.33333333333672</v>
      </c>
      <c r="EO170" s="59">
        <f ca="1">AVERAGE(OFFSET($EN$3,0,0,'Données projet'!$E$15+1,1))-AVERAGE(OFFSET($H$3,0,0,'Données projet'!$E$15+1,1))</f>
        <v>168.72306536277267</v>
      </c>
      <c r="EP170" s="59">
        <f t="shared" si="154"/>
        <v>203.35476578922339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0.20176827355554247</v>
      </c>
      <c r="EW170" s="21">
        <f>EXP(-LN(2)/25)*EW169+(1-EXP(-LN(2)/25))/(LN(2)/25)*Calculateur!ER170*Calculateur!ET170*VLOOKUP('Données projet'!$B$15,Paramètres!$A$1:$I$89,3,0)*0.475*44/12</f>
        <v>0.51499206675312448</v>
      </c>
      <c r="EX170" s="21">
        <f>EXP(-LN(2)/2)*EX169+(1-EXP(-LN(2)/2))/(LN(2)/2)*ER170*EU170*VLOOKUP('Données projet'!$B$15,Paramètres!$A$1:$I$89,3,0)*0.475*44/12</f>
        <v>4.7972550316136079E-20</v>
      </c>
      <c r="EY170" s="22">
        <f t="shared" si="181"/>
        <v>0.71676034030866698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3.4106051316484809E-13</v>
      </c>
      <c r="FF170" s="17">
        <f>FE170*VLOOKUP('Données projet'!$B$16,Paramètres!$A$1:$I$89,3,0)*VLOOKUP('Données projet'!$B$16,Paramètres!$A$1:$I$89,5,0)</f>
        <v>1.8621904018800707E-13</v>
      </c>
      <c r="FG170" s="13">
        <f t="shared" si="182"/>
        <v>2.6022279988572714E-12</v>
      </c>
      <c r="FH170" s="20">
        <f t="shared" si="183"/>
        <v>4.8565452596705266E-12</v>
      </c>
      <c r="FI170" s="59">
        <f t="shared" si="131"/>
        <v>293.33333333333815</v>
      </c>
      <c r="FJ170" s="59">
        <f ca="1">AVERAGE(OFFSET($FI$3,0,0,'Données projet'!$E$16+1,1))-AVERAGE(OFFSET($H$3,0,0,'Données projet'!$E$16+1,1))</f>
        <v>127.76128532861486</v>
      </c>
      <c r="FK170" s="59">
        <f t="shared" si="156"/>
        <v>157.52303491639736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>
        <f>EXP(-LN(2)/35)*FQ169+(1-EXP(-LN(2)/35))/(LN(2)/35)*FM170*FN170*VLOOKUP('Données projet'!$B$16,Paramètres!$A$1:$I$89,3,0)*0.475*44/12</f>
        <v>0.161414618844434</v>
      </c>
      <c r="FR170" s="21">
        <f>EXP(-LN(2)/25)*FR169+(1-EXP(-LN(2)/25))/(LN(2)/25)*Calculateur!FM170*Calculateur!FO170*VLOOKUP('Données projet'!$B$16,Paramètres!$A$1:$I$89,3,0)*0.475*44/12</f>
        <v>0.36568703509960288</v>
      </c>
      <c r="FS170" s="21">
        <f>EXP(-LN(2)/2)*FS169+(1-EXP(-LN(2)/2))/(LN(2)/2)*FM170*FP170*VLOOKUP('Données projet'!$B$16,Paramètres!$A$1:$I$89,3,0)*0.475*44/12</f>
        <v>3.8086456010756138E-20</v>
      </c>
      <c r="FT170" s="22">
        <f t="shared" si="184"/>
        <v>0.52710165394403685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-5.6843418860808015E-13</v>
      </c>
      <c r="O171" s="13">
        <f>N171*VLOOKUP('Données projet'!$B$9,Paramètres!$A$1:$I$89,3,0)*VLOOKUP('Données projet'!$B$9,Paramètres!$A$1:$I$89,5,0)</f>
        <v>-5.1431925385259092E-13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153.45079678708987</v>
      </c>
      <c r="T171" s="59">
        <f t="shared" si="142"/>
        <v>115.4217868409637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0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>
        <f>VLOOKUP(A171,'Données projet'!$A$61:$I$81,2,0)</f>
        <v>299.32051282051282</v>
      </c>
      <c r="AG171" s="12">
        <f>VLOOKUP(A171,'Données projet'!$A$61:$I$81,9,0)</f>
        <v>5.1821581196581219</v>
      </c>
      <c r="AH171" s="12">
        <f t="array" ref="AH171">INDEX(AG:AG,MIN(IF(ISNUMBER(AG171:AG367),ROW(AG171:AG367),"")))</f>
        <v>5.1821581196581219</v>
      </c>
      <c r="AI171" s="13">
        <f>IF('Données projet'!$A$62&gt;35,AI170+AH171-AQ170,IF(A171&lt;'Données projet'!$A$62,$AF$205^A171,IF(A171='Données projet'!$A$62,'Données projet'!$B$62,AI170+AH171-AQ170)))</f>
        <v>299.32051282051293</v>
      </c>
      <c r="AJ171" s="13">
        <f>AI171*VLOOKUP('Données projet'!$B$10,Paramètres!$A$1:$I$89,3,0)*VLOOKUP('Données projet'!$B$10,Paramètres!$A$1:$I$89,5,0)</f>
        <v>270.82520000000005</v>
      </c>
      <c r="AK171" s="13">
        <f t="shared" si="164"/>
        <v>65.024366438668366</v>
      </c>
      <c r="AL171" s="20">
        <f t="shared" si="165"/>
        <v>584.93799488068078</v>
      </c>
      <c r="AM171" s="59">
        <f t="shared" si="113"/>
        <v>878.27132821401415</v>
      </c>
      <c r="AN171" s="59">
        <f ca="1">AVERAGE(OFFSET($AM$3,0,0,'Données projet'!$E$10+1,1))-AVERAGE(OFFSET($H$3,0,0,'Données projet'!$E$10+1,1))</f>
        <v>123.92486590666675</v>
      </c>
      <c r="AO171" s="59">
        <f t="shared" si="144"/>
        <v>54.404493017418986</v>
      </c>
      <c r="AP171" s="15">
        <f>IF(ISNA(VLOOKUP(A171,'Données projet'!$A$61:$I$81,3,0)),0,VLOOKUP(A171,'Données projet'!$A$61:$I$81,3,0))</f>
        <v>12</v>
      </c>
      <c r="AQ171" s="15">
        <f>IF(ISNA(VLOOKUP(A171,'Données projet'!$A$61:$I$81,4,0)),0,VLOOKUP(A171,'Données projet'!$A$61:$I$81,4,0))</f>
        <v>49.102564102564095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1.1368683772161603E-13</v>
      </c>
      <c r="BE171" s="13">
        <f>BD171*VLOOKUP('Données projet'!$B$11,Paramètres!$A$1:$I$89,3,0)*VLOOKUP('Données projet'!$B$11,Paramètres!$A$1:$I$89,5,0)</f>
        <v>6.3550942286383367E-14</v>
      </c>
      <c r="BF171" s="13">
        <f t="shared" si="167"/>
        <v>1.0064464192543978E-12</v>
      </c>
      <c r="BG171" s="20">
        <f t="shared" si="168"/>
        <v>1.8635787380168604E-12</v>
      </c>
      <c r="BH171" s="59">
        <f t="shared" si="116"/>
        <v>293.33333333333519</v>
      </c>
      <c r="BI171" s="59">
        <f ca="1">AVERAGE(OFFSET($BH$3,0,0,'Données projet'!$E$11+1,1))-AVERAGE(OFFSET($H$3,0,0,'Données projet'!$E$11+1,1))</f>
        <v>224.7049802939942</v>
      </c>
      <c r="BJ171" s="59">
        <f t="shared" si="146"/>
        <v>203.48513862195352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0.14508167006068848</v>
      </c>
      <c r="BQ171" s="21">
        <f>EXP(-LN(2)/25)*BQ170+(1-EXP(-LN(2)/25))/(LN(2)/25)*Calculateur!BL171*Calculateur!BN171*VLOOKUP('Données projet'!$B$11,Paramètres!$A$1:$I$89,3,0)*0.475*44/12</f>
        <v>0.42549548626815609</v>
      </c>
      <c r="BR171" s="21">
        <f>EXP(-LN(2)/2)*BR170+(1-EXP(-LN(2)/2))/(LN(2)/2)*BL171*BO171*VLOOKUP('Données projet'!$B$11,Paramètres!$A$1:$I$89,3,0)*0.475*44/12</f>
        <v>1.5179868184466531E-20</v>
      </c>
      <c r="BS171" s="22">
        <f t="shared" si="169"/>
        <v>0.57057715632884454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6.2527760746888816E-13</v>
      </c>
      <c r="BZ171" s="13">
        <f>BY171*VLOOKUP('Données projet'!$B$12,Paramètres!$A$1:$I$89,3,0)*VLOOKUP('Données projet'!$B$12,Paramètres!$A$1:$I$89,5,0)</f>
        <v>3.4953018257510848E-13</v>
      </c>
      <c r="CA171" s="13">
        <f t="shared" si="170"/>
        <v>4.5391562386470354E-12</v>
      </c>
      <c r="CB171" s="20">
        <f t="shared" si="171"/>
        <v>8.5144621836285662E-12</v>
      </c>
      <c r="CC171" s="59">
        <f t="shared" si="119"/>
        <v>293.33333333334184</v>
      </c>
      <c r="CD171" s="59">
        <f ca="1">AVERAGE(OFFSET($CC$3,0,0,'Données projet'!$E$12+1,1))-AVERAGE(OFFSET($H$3,0,0,'Données projet'!$E$12+1,1))</f>
        <v>190.08613104982993</v>
      </c>
      <c r="CE171" s="59">
        <f t="shared" si="148"/>
        <v>180.55054525447781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0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497</v>
      </c>
      <c r="CU171" s="17">
        <f>CT171*VLOOKUP('Données projet'!$B$13,Paramètres!$A$1:$I$89,3,0)*VLOOKUP('Données projet'!$B$13,Paramètres!$A$1:$I$89,5,0)</f>
        <v>297.20600000000002</v>
      </c>
      <c r="CV171" s="13">
        <f t="shared" si="173"/>
        <v>70.590415164571112</v>
      </c>
      <c r="CW171" s="20">
        <f t="shared" si="174"/>
        <v>640.57875641162809</v>
      </c>
      <c r="CX171" s="59">
        <f t="shared" si="122"/>
        <v>933.91208974496135</v>
      </c>
      <c r="CY171" s="59">
        <f ca="1">AVERAGE(OFFSET($CX$3,0,0,'Données projet'!$E$13+1,1))-AVERAGE(OFFSET($H$3,0,0,'Données projet'!$E$13+1,1))</f>
        <v>270.30888762640245</v>
      </c>
      <c r="CZ171" s="59">
        <f t="shared" si="150"/>
        <v>202.23783851977691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0.1392755993230135</v>
      </c>
      <c r="DG171" s="21">
        <f>EXP(-LN(2)/25)*DG170+(1-EXP(-LN(2)/25))/(LN(2)/25)*Calculateur!DB171*Calculateur!DD171*VLOOKUP('Données projet'!$B$13,Paramètres!$A$1:$I$89,3,0)*0.475*44/12</f>
        <v>0.26794787069832077</v>
      </c>
      <c r="DH171" s="21">
        <f>EXP(-LN(2)/2)*DH170+(1-EXP(-LN(2)/2))/(LN(2)/2)*DB171*DE171*VLOOKUP('Données projet'!$B$13,Paramètres!$A$1:$I$89,3,0)*0.475*44/12</f>
        <v>3.1327697506823167E-20</v>
      </c>
      <c r="DI171" s="22">
        <f t="shared" si="175"/>
        <v>0.4072234700213343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433.00000000000011</v>
      </c>
      <c r="DP171" s="17">
        <f>DO171*VLOOKUP('Données projet'!$B$14,Paramètres!$A$1:$I$89,3,0)*VLOOKUP('Données projet'!$B$14,Paramètres!$A$1:$I$89,5,0)</f>
        <v>258.93400000000008</v>
      </c>
      <c r="DQ171" s="13">
        <f t="shared" si="176"/>
        <v>62.495095530116075</v>
      </c>
      <c r="DR171" s="20">
        <f t="shared" si="177"/>
        <v>559.82234138161891</v>
      </c>
      <c r="DS171" s="59">
        <f t="shared" si="125"/>
        <v>853.15567471495228</v>
      </c>
      <c r="DT171" s="59">
        <f ca="1">AVERAGE(OFFSET($DS$3,0,0,'Données projet'!$E$14+1,1))-AVERAGE(OFFSET($H$3,0,0,'Données projet'!$E$14+1,1))</f>
        <v>221.14988592347311</v>
      </c>
      <c r="DU171" s="59">
        <f t="shared" si="152"/>
        <v>179.09262081171607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0.14856063927788118</v>
      </c>
      <c r="EB171" s="21">
        <f>EXP(-LN(2)/25)*EB170+(1-EXP(-LN(2)/25))/(LN(2)/25)*Calculateur!DW171*Calculateur!DY171*VLOOKUP('Données projet'!$B$14,Paramètres!$A$1:$I$89,3,0)*0.475*44/12</f>
        <v>0.22316989430946274</v>
      </c>
      <c r="EC171" s="21">
        <f>EXP(-LN(2)/2)*EC170+(1-EXP(-LN(2)/2))/(LN(2)/2)*DW171*DZ171*VLOOKUP('Données projet'!$B$14,Paramètres!$A$1:$I$89,3,0)*0.475*44/12</f>
        <v>3.3033874167377839E-20</v>
      </c>
      <c r="ED171" s="22">
        <f t="shared" si="178"/>
        <v>0.37173053358734393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2.2737367544323206E-13</v>
      </c>
      <c r="EK171" s="17">
        <f>EJ171*VLOOKUP('Données projet'!$B$15,Paramètres!$A$1:$I$89,3,0)*VLOOKUP('Données projet'!$B$15,Paramètres!$A$1:$I$89,5,0)</f>
        <v>1.2414602679200471E-13</v>
      </c>
      <c r="EL171" s="13">
        <f t="shared" si="179"/>
        <v>1.8186582995804361E-12</v>
      </c>
      <c r="EM171" s="20">
        <f t="shared" si="180"/>
        <v>3.3837175350986671E-12</v>
      </c>
      <c r="EN171" s="59">
        <f t="shared" si="128"/>
        <v>293.33333333333672</v>
      </c>
      <c r="EO171" s="59">
        <f ca="1">AVERAGE(OFFSET($EN$3,0,0,'Données projet'!$E$15+1,1))-AVERAGE(OFFSET($H$3,0,0,'Données projet'!$E$15+1,1))</f>
        <v>168.72306536277267</v>
      </c>
      <c r="EP171" s="59">
        <f t="shared" si="154"/>
        <v>203.35476578922339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0.19781172077761333</v>
      </c>
      <c r="EW171" s="21">
        <f>EXP(-LN(2)/25)*EW170+(1-EXP(-LN(2)/25))/(LN(2)/25)*Calculateur!ER171*Calculateur!ET171*VLOOKUP('Données projet'!$B$15,Paramètres!$A$1:$I$89,3,0)*0.475*44/12</f>
        <v>0.50090958160550458</v>
      </c>
      <c r="EX171" s="21">
        <f>EXP(-LN(2)/2)*EX170+(1-EXP(-LN(2)/2))/(LN(2)/2)*ER171*EU171*VLOOKUP('Données projet'!$B$15,Paramètres!$A$1:$I$89,3,0)*0.475*44/12</f>
        <v>3.3921715639352675E-20</v>
      </c>
      <c r="EY171" s="22">
        <f t="shared" si="181"/>
        <v>0.69872130238311791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3.4106051316484809E-13</v>
      </c>
      <c r="FF171" s="17">
        <f>FE171*VLOOKUP('Données projet'!$B$16,Paramètres!$A$1:$I$89,3,0)*VLOOKUP('Données projet'!$B$16,Paramètres!$A$1:$I$89,5,0)</f>
        <v>1.8621904018800707E-13</v>
      </c>
      <c r="FG171" s="13">
        <f t="shared" si="182"/>
        <v>2.6022279988572714E-12</v>
      </c>
      <c r="FH171" s="20">
        <f t="shared" si="183"/>
        <v>4.8565452596705266E-12</v>
      </c>
      <c r="FI171" s="59">
        <f t="shared" si="131"/>
        <v>293.33333333333815</v>
      </c>
      <c r="FJ171" s="59">
        <f ca="1">AVERAGE(OFFSET($FI$3,0,0,'Données projet'!$E$16+1,1))-AVERAGE(OFFSET($H$3,0,0,'Données projet'!$E$16+1,1))</f>
        <v>127.76128532861486</v>
      </c>
      <c r="FK171" s="59">
        <f t="shared" si="156"/>
        <v>157.52303491639736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>
        <f>EXP(-LN(2)/35)*FQ170+(1-EXP(-LN(2)/35))/(LN(2)/35)*FM171*FN171*VLOOKUP('Données projet'!$B$16,Paramètres!$A$1:$I$89,3,0)*0.475*44/12</f>
        <v>0.15824937662209071</v>
      </c>
      <c r="FR171" s="21">
        <f>EXP(-LN(2)/25)*FR170+(1-EXP(-LN(2)/25))/(LN(2)/25)*Calculateur!FM171*Calculateur!FO171*VLOOKUP('Données projet'!$B$16,Paramètres!$A$1:$I$89,3,0)*0.475*44/12</f>
        <v>0.35568730389415887</v>
      </c>
      <c r="FS171" s="21">
        <f>EXP(-LN(2)/2)*FS170+(1-EXP(-LN(2)/2))/(LN(2)/2)*FM171*FP171*VLOOKUP('Données projet'!$B$16,Paramètres!$A$1:$I$89,3,0)*0.475*44/12</f>
        <v>2.6931191316568809E-20</v>
      </c>
      <c r="FT171" s="22">
        <f t="shared" si="184"/>
        <v>0.51393668051624952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-5.6843418860808015E-13</v>
      </c>
      <c r="O172" s="13">
        <f>N172*VLOOKUP('Données projet'!$B$9,Paramètres!$A$1:$I$89,3,0)*VLOOKUP('Données projet'!$B$9,Paramètres!$A$1:$I$89,5,0)</f>
        <v>-5.1431925385259092E-13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153.45079678708987</v>
      </c>
      <c r="T172" s="59">
        <f t="shared" si="142"/>
        <v>115.4217868409637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0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5.1752136752136737</v>
      </c>
      <c r="AI172" s="13">
        <f>IF('Données projet'!$A$62&gt;35,AI171+AH172-AQ171,IF(A172&lt;'Données projet'!$A$62,$AF$205^A172,IF(A172='Données projet'!$A$62,'Données projet'!$B$62,AI171+AH172-AQ171)))</f>
        <v>255.39316239316253</v>
      </c>
      <c r="AJ172" s="13">
        <f>AI172*VLOOKUP('Données projet'!$B$10,Paramètres!$A$1:$I$89,3,0)*VLOOKUP('Données projet'!$B$10,Paramètres!$A$1:$I$89,5,0)</f>
        <v>231.07973333333345</v>
      </c>
      <c r="AK172" s="13">
        <f t="shared" si="164"/>
        <v>56.516081446334944</v>
      </c>
      <c r="AL172" s="20">
        <f t="shared" si="165"/>
        <v>500.8960440745891</v>
      </c>
      <c r="AM172" s="59">
        <f t="shared" si="113"/>
        <v>794.22937740792236</v>
      </c>
      <c r="AN172" s="59">
        <f ca="1">AVERAGE(OFFSET($AM$3,0,0,'Données projet'!$E$10+1,1))-AVERAGE(OFFSET($H$3,0,0,'Données projet'!$E$10+1,1))</f>
        <v>123.92486590666675</v>
      </c>
      <c r="AO172" s="59">
        <f t="shared" si="144"/>
        <v>54.404493017418986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1.1368683772161603E-13</v>
      </c>
      <c r="BE172" s="13">
        <f>BD172*VLOOKUP('Données projet'!$B$11,Paramètres!$A$1:$I$89,3,0)*VLOOKUP('Données projet'!$B$11,Paramètres!$A$1:$I$89,5,0)</f>
        <v>6.3550942286383367E-14</v>
      </c>
      <c r="BF172" s="13">
        <f t="shared" si="167"/>
        <v>1.0064464192543978E-12</v>
      </c>
      <c r="BG172" s="20">
        <f t="shared" si="168"/>
        <v>1.8635787380168604E-12</v>
      </c>
      <c r="BH172" s="59">
        <f t="shared" si="116"/>
        <v>293.33333333333519</v>
      </c>
      <c r="BI172" s="59">
        <f ca="1">AVERAGE(OFFSET($BH$3,0,0,'Données projet'!$E$11+1,1))-AVERAGE(OFFSET($H$3,0,0,'Données projet'!$E$11+1,1))</f>
        <v>224.7049802939942</v>
      </c>
      <c r="BJ172" s="59">
        <f t="shared" si="146"/>
        <v>203.48513862195352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0.14223670700187935</v>
      </c>
      <c r="BQ172" s="21">
        <f>EXP(-LN(2)/25)*BQ171+(1-EXP(-LN(2)/25))/(LN(2)/25)*Calculateur!BL172*Calculateur!BN172*VLOOKUP('Données projet'!$B$11,Paramètres!$A$1:$I$89,3,0)*0.475*44/12</f>
        <v>0.41386028982031819</v>
      </c>
      <c r="BR172" s="21">
        <f>EXP(-LN(2)/2)*BR171+(1-EXP(-LN(2)/2))/(LN(2)/2)*BL172*BO172*VLOOKUP('Données projet'!$B$11,Paramètres!$A$1:$I$89,3,0)*0.475*44/12</f>
        <v>1.0733787730754209E-20</v>
      </c>
      <c r="BS172" s="22">
        <f t="shared" si="169"/>
        <v>0.5560969968221976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6.2527760746888816E-13</v>
      </c>
      <c r="BZ172" s="13">
        <f>BY172*VLOOKUP('Données projet'!$B$12,Paramètres!$A$1:$I$89,3,0)*VLOOKUP('Données projet'!$B$12,Paramètres!$A$1:$I$89,5,0)</f>
        <v>3.4953018257510848E-13</v>
      </c>
      <c r="CA172" s="13">
        <f t="shared" si="170"/>
        <v>4.5391562386470354E-12</v>
      </c>
      <c r="CB172" s="20">
        <f t="shared" si="171"/>
        <v>8.5144621836285662E-12</v>
      </c>
      <c r="CC172" s="59">
        <f t="shared" si="119"/>
        <v>293.33333333334184</v>
      </c>
      <c r="CD172" s="59">
        <f ca="1">AVERAGE(OFFSET($CC$3,0,0,'Données projet'!$E$12+1,1))-AVERAGE(OFFSET($H$3,0,0,'Données projet'!$E$12+1,1))</f>
        <v>190.08613104982993</v>
      </c>
      <c r="CE172" s="59">
        <f t="shared" si="148"/>
        <v>180.55054525447781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0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497</v>
      </c>
      <c r="CU172" s="17">
        <f>CT172*VLOOKUP('Données projet'!$B$13,Paramètres!$A$1:$I$89,3,0)*VLOOKUP('Données projet'!$B$13,Paramètres!$A$1:$I$89,5,0)</f>
        <v>297.20600000000002</v>
      </c>
      <c r="CV172" s="13">
        <f t="shared" si="173"/>
        <v>70.590415164571112</v>
      </c>
      <c r="CW172" s="20">
        <f t="shared" si="174"/>
        <v>640.57875641162809</v>
      </c>
      <c r="CX172" s="59">
        <f t="shared" si="122"/>
        <v>933.91208974496135</v>
      </c>
      <c r="CY172" s="59">
        <f ca="1">AVERAGE(OFFSET($CX$3,0,0,'Données projet'!$E$13+1,1))-AVERAGE(OFFSET($H$3,0,0,'Données projet'!$E$13+1,1))</f>
        <v>270.30888762640245</v>
      </c>
      <c r="CZ172" s="59">
        <f t="shared" si="150"/>
        <v>202.23783851977691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0.13654448977001671</v>
      </c>
      <c r="DG172" s="21">
        <f>EXP(-LN(2)/25)*DG171+(1-EXP(-LN(2)/25))/(LN(2)/25)*Calculateur!DB172*Calculateur!DD172*VLOOKUP('Données projet'!$B$13,Paramètres!$A$1:$I$89,3,0)*0.475*44/12</f>
        <v>0.26062082208330906</v>
      </c>
      <c r="DH172" s="21">
        <f>EXP(-LN(2)/2)*DH171+(1-EXP(-LN(2)/2))/(LN(2)/2)*DB172*DE172*VLOOKUP('Données projet'!$B$13,Paramètres!$A$1:$I$89,3,0)*0.475*44/12</f>
        <v>2.215202734603556E-20</v>
      </c>
      <c r="DI172" s="22">
        <f t="shared" si="175"/>
        <v>0.39716531185332576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433.00000000000011</v>
      </c>
      <c r="DP172" s="17">
        <f>DO172*VLOOKUP('Données projet'!$B$14,Paramètres!$A$1:$I$89,3,0)*VLOOKUP('Données projet'!$B$14,Paramètres!$A$1:$I$89,5,0)</f>
        <v>258.93400000000008</v>
      </c>
      <c r="DQ172" s="13">
        <f t="shared" si="176"/>
        <v>62.495095530116075</v>
      </c>
      <c r="DR172" s="20">
        <f t="shared" si="177"/>
        <v>559.82234138161891</v>
      </c>
      <c r="DS172" s="59">
        <f t="shared" si="125"/>
        <v>853.15567471495228</v>
      </c>
      <c r="DT172" s="59">
        <f ca="1">AVERAGE(OFFSET($DS$3,0,0,'Données projet'!$E$14+1,1))-AVERAGE(OFFSET($H$3,0,0,'Données projet'!$E$14+1,1))</f>
        <v>221.14988592347311</v>
      </c>
      <c r="DU172" s="59">
        <f t="shared" si="152"/>
        <v>179.09262081171607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0.1456474557546846</v>
      </c>
      <c r="EB172" s="21">
        <f>EXP(-LN(2)/25)*EB171+(1-EXP(-LN(2)/25))/(LN(2)/25)*Calculateur!DW172*Calculateur!DY172*VLOOKUP('Données projet'!$B$14,Paramètres!$A$1:$I$89,3,0)*0.475*44/12</f>
        <v>0.21706730181357581</v>
      </c>
      <c r="EC172" s="21">
        <f>EXP(-LN(2)/2)*EC171+(1-EXP(-LN(2)/2))/(LN(2)/2)*DW172*DZ172*VLOOKUP('Données projet'!$B$14,Paramètres!$A$1:$I$89,3,0)*0.475*44/12</f>
        <v>2.3358476432615987E-20</v>
      </c>
      <c r="ED172" s="22">
        <f t="shared" si="178"/>
        <v>0.36271475756826044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2.2737367544323206E-13</v>
      </c>
      <c r="EK172" s="17">
        <f>EJ172*VLOOKUP('Données projet'!$B$15,Paramètres!$A$1:$I$89,3,0)*VLOOKUP('Données projet'!$B$15,Paramètres!$A$1:$I$89,5,0)</f>
        <v>1.2414602679200471E-13</v>
      </c>
      <c r="EL172" s="13">
        <f t="shared" si="179"/>
        <v>1.8186582995804361E-12</v>
      </c>
      <c r="EM172" s="20">
        <f t="shared" si="180"/>
        <v>3.3837175350986671E-12</v>
      </c>
      <c r="EN172" s="59">
        <f t="shared" si="128"/>
        <v>293.33333333333672</v>
      </c>
      <c r="EO172" s="59">
        <f ca="1">AVERAGE(OFFSET($EN$3,0,0,'Données projet'!$E$15+1,1))-AVERAGE(OFFSET($H$3,0,0,'Données projet'!$E$15+1,1))</f>
        <v>168.72306536277267</v>
      </c>
      <c r="EP172" s="59">
        <f t="shared" si="154"/>
        <v>203.35476578922339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0.1939327535864005</v>
      </c>
      <c r="EW172" s="21">
        <f>EXP(-LN(2)/25)*EW171+(1-EXP(-LN(2)/25))/(LN(2)/25)*Calculateur!ER172*Calculateur!ET172*VLOOKUP('Données projet'!$B$15,Paramètres!$A$1:$I$89,3,0)*0.475*44/12</f>
        <v>0.48721218275481198</v>
      </c>
      <c r="EX172" s="21">
        <f>EXP(-LN(2)/2)*EX171+(1-EXP(-LN(2)/2))/(LN(2)/2)*ER172*EU172*VLOOKUP('Données projet'!$B$15,Paramètres!$A$1:$I$89,3,0)*0.475*44/12</f>
        <v>2.3986275158068039E-20</v>
      </c>
      <c r="EY172" s="22">
        <f t="shared" si="181"/>
        <v>0.68114493634121254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3.4106051316484809E-13</v>
      </c>
      <c r="FF172" s="17">
        <f>FE172*VLOOKUP('Données projet'!$B$16,Paramètres!$A$1:$I$89,3,0)*VLOOKUP('Données projet'!$B$16,Paramètres!$A$1:$I$89,5,0)</f>
        <v>1.8621904018800707E-13</v>
      </c>
      <c r="FG172" s="13">
        <f t="shared" si="182"/>
        <v>2.6022279988572714E-12</v>
      </c>
      <c r="FH172" s="20">
        <f t="shared" si="183"/>
        <v>4.8565452596705266E-12</v>
      </c>
      <c r="FI172" s="59">
        <f t="shared" si="131"/>
        <v>293.33333333333815</v>
      </c>
      <c r="FJ172" s="59">
        <f ca="1">AVERAGE(OFFSET($FI$3,0,0,'Données projet'!$E$16+1,1))-AVERAGE(OFFSET($H$3,0,0,'Données projet'!$E$16+1,1))</f>
        <v>127.76128532861486</v>
      </c>
      <c r="FK172" s="59">
        <f t="shared" si="156"/>
        <v>157.52303491639736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>
        <f>EXP(-LN(2)/35)*FQ171+(1-EXP(-LN(2)/35))/(LN(2)/35)*FM172*FN172*VLOOKUP('Données projet'!$B$16,Paramètres!$A$1:$I$89,3,0)*0.475*44/12</f>
        <v>0.15514620286912043</v>
      </c>
      <c r="FR172" s="21">
        <f>EXP(-LN(2)/25)*FR171+(1-EXP(-LN(2)/25))/(LN(2)/25)*Calculateur!FM172*Calculateur!FO172*VLOOKUP('Données projet'!$B$16,Paramètres!$A$1:$I$89,3,0)*0.475*44/12</f>
        <v>0.34596101586439071</v>
      </c>
      <c r="FS172" s="21">
        <f>EXP(-LN(2)/2)*FS171+(1-EXP(-LN(2)/2))/(LN(2)/2)*FM172*FP172*VLOOKUP('Données projet'!$B$16,Paramètres!$A$1:$I$89,3,0)*0.475*44/12</f>
        <v>1.9043228005378072E-20</v>
      </c>
      <c r="FT172" s="22">
        <f t="shared" si="184"/>
        <v>0.50110721873351116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-5.6843418860808015E-13</v>
      </c>
      <c r="O173" s="13">
        <f>N173*VLOOKUP('Données projet'!$B$9,Paramètres!$A$1:$I$89,3,0)*VLOOKUP('Données projet'!$B$9,Paramètres!$A$1:$I$89,5,0)</f>
        <v>-5.1431925385259092E-13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153.45079678708987</v>
      </c>
      <c r="T173" s="59">
        <f t="shared" si="142"/>
        <v>115.4217868409637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0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5.1752136752136737</v>
      </c>
      <c r="AI173" s="13">
        <f>IF('Données projet'!$A$62&gt;35,AI172+AH173-AQ172,IF(A173&lt;'Données projet'!$A$62,$AF$205^A173,IF(A173='Données projet'!$A$62,'Données projet'!$B$62,AI172+AH173-AQ172)))</f>
        <v>260.56837606837621</v>
      </c>
      <c r="AJ173" s="13">
        <f>AI173*VLOOKUP('Données projet'!$B$10,Paramètres!$A$1:$I$89,3,0)*VLOOKUP('Données projet'!$B$10,Paramètres!$A$1:$I$89,5,0)</f>
        <v>235.76226666666679</v>
      </c>
      <c r="AK173" s="13">
        <f t="shared" si="164"/>
        <v>57.526818317296964</v>
      </c>
      <c r="AL173" s="20">
        <f t="shared" si="165"/>
        <v>510.81182301373684</v>
      </c>
      <c r="AM173" s="59">
        <f t="shared" si="113"/>
        <v>804.14515634707016</v>
      </c>
      <c r="AN173" s="59">
        <f ca="1">AVERAGE(OFFSET($AM$3,0,0,'Données projet'!$E$10+1,1))-AVERAGE(OFFSET($H$3,0,0,'Données projet'!$E$10+1,1))</f>
        <v>123.92486590666675</v>
      </c>
      <c r="AO173" s="59">
        <f t="shared" si="144"/>
        <v>54.404493017418986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1.1368683772161603E-13</v>
      </c>
      <c r="BE173" s="13">
        <f>BD173*VLOOKUP('Données projet'!$B$11,Paramètres!$A$1:$I$89,3,0)*VLOOKUP('Données projet'!$B$11,Paramètres!$A$1:$I$89,5,0)</f>
        <v>6.3550942286383367E-14</v>
      </c>
      <c r="BF173" s="13">
        <f t="shared" si="167"/>
        <v>1.0064464192543978E-12</v>
      </c>
      <c r="BG173" s="20">
        <f t="shared" si="168"/>
        <v>1.8635787380168604E-12</v>
      </c>
      <c r="BH173" s="59">
        <f t="shared" si="116"/>
        <v>293.33333333333519</v>
      </c>
      <c r="BI173" s="59">
        <f ca="1">AVERAGE(OFFSET($BH$3,0,0,'Données projet'!$E$11+1,1))-AVERAGE(OFFSET($H$3,0,0,'Données projet'!$E$11+1,1))</f>
        <v>224.7049802939942</v>
      </c>
      <c r="BJ173" s="59">
        <f t="shared" si="146"/>
        <v>203.48513862195352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0.13944753193339735</v>
      </c>
      <c r="BQ173" s="21">
        <f>EXP(-LN(2)/25)*BQ172+(1-EXP(-LN(2)/25))/(LN(2)/25)*Calculateur!BL173*Calculateur!BN173*VLOOKUP('Données projet'!$B$11,Paramètres!$A$1:$I$89,3,0)*0.475*44/12</f>
        <v>0.40254325843121486</v>
      </c>
      <c r="BR173" s="21">
        <f>EXP(-LN(2)/2)*BR172+(1-EXP(-LN(2)/2))/(LN(2)/2)*BL173*BO173*VLOOKUP('Données projet'!$B$11,Paramètres!$A$1:$I$89,3,0)*0.475*44/12</f>
        <v>7.5899340922332653E-21</v>
      </c>
      <c r="BS173" s="22">
        <f t="shared" si="169"/>
        <v>0.54199079036461217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6.2527760746888816E-13</v>
      </c>
      <c r="BZ173" s="13">
        <f>BY173*VLOOKUP('Données projet'!$B$12,Paramètres!$A$1:$I$89,3,0)*VLOOKUP('Données projet'!$B$12,Paramètres!$A$1:$I$89,5,0)</f>
        <v>3.4953018257510848E-13</v>
      </c>
      <c r="CA173" s="13">
        <f t="shared" si="170"/>
        <v>4.5391562386470354E-12</v>
      </c>
      <c r="CB173" s="20">
        <f t="shared" si="171"/>
        <v>8.5144621836285662E-12</v>
      </c>
      <c r="CC173" s="59">
        <f t="shared" si="119"/>
        <v>293.33333333334184</v>
      </c>
      <c r="CD173" s="59">
        <f ca="1">AVERAGE(OFFSET($CC$3,0,0,'Données projet'!$E$12+1,1))-AVERAGE(OFFSET($H$3,0,0,'Données projet'!$E$12+1,1))</f>
        <v>190.08613104982993</v>
      </c>
      <c r="CE173" s="59">
        <f t="shared" si="148"/>
        <v>180.55054525447781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0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497</v>
      </c>
      <c r="CU173" s="17">
        <f>CT173*VLOOKUP('Données projet'!$B$13,Paramètres!$A$1:$I$89,3,0)*VLOOKUP('Données projet'!$B$13,Paramètres!$A$1:$I$89,5,0)</f>
        <v>297.20600000000002</v>
      </c>
      <c r="CV173" s="13">
        <f t="shared" si="173"/>
        <v>70.590415164571112</v>
      </c>
      <c r="CW173" s="20">
        <f t="shared" si="174"/>
        <v>640.57875641162809</v>
      </c>
      <c r="CX173" s="59">
        <f t="shared" si="122"/>
        <v>933.91208974496135</v>
      </c>
      <c r="CY173" s="59">
        <f ca="1">AVERAGE(OFFSET($CX$3,0,0,'Données projet'!$E$13+1,1))-AVERAGE(OFFSET($H$3,0,0,'Données projet'!$E$13+1,1))</f>
        <v>270.30888762640245</v>
      </c>
      <c r="CZ173" s="59">
        <f t="shared" si="150"/>
        <v>202.23783851977691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0.13386693560954183</v>
      </c>
      <c r="DG173" s="21">
        <f>EXP(-LN(2)/25)*DG172+(1-EXP(-LN(2)/25))/(LN(2)/25)*Calculateur!DB173*Calculateur!DD173*VLOOKUP('Données projet'!$B$13,Paramètres!$A$1:$I$89,3,0)*0.475*44/12</f>
        <v>0.25349413199798759</v>
      </c>
      <c r="DH173" s="21">
        <f>EXP(-LN(2)/2)*DH172+(1-EXP(-LN(2)/2))/(LN(2)/2)*DB173*DE173*VLOOKUP('Données projet'!$B$13,Paramètres!$A$1:$I$89,3,0)*0.475*44/12</f>
        <v>1.5663848753411583E-20</v>
      </c>
      <c r="DI173" s="22">
        <f t="shared" si="175"/>
        <v>0.38736106760752942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433.00000000000011</v>
      </c>
      <c r="DP173" s="17">
        <f>DO173*VLOOKUP('Données projet'!$B$14,Paramètres!$A$1:$I$89,3,0)*VLOOKUP('Données projet'!$B$14,Paramètres!$A$1:$I$89,5,0)</f>
        <v>258.93400000000008</v>
      </c>
      <c r="DQ173" s="13">
        <f t="shared" si="176"/>
        <v>62.495095530116075</v>
      </c>
      <c r="DR173" s="20">
        <f t="shared" si="177"/>
        <v>559.82234138161891</v>
      </c>
      <c r="DS173" s="59">
        <f t="shared" si="125"/>
        <v>853.15567471495228</v>
      </c>
      <c r="DT173" s="59">
        <f ca="1">AVERAGE(OFFSET($DS$3,0,0,'Données projet'!$E$14+1,1))-AVERAGE(OFFSET($H$3,0,0,'Données projet'!$E$14+1,1))</f>
        <v>221.14988592347311</v>
      </c>
      <c r="DU173" s="59">
        <f t="shared" si="152"/>
        <v>179.09262081171607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0.1427913979835114</v>
      </c>
      <c r="EB173" s="21">
        <f>EXP(-LN(2)/25)*EB172+(1-EXP(-LN(2)/25))/(LN(2)/25)*Calculateur!DW173*Calculateur!DY173*VLOOKUP('Données projet'!$B$14,Paramètres!$A$1:$I$89,3,0)*0.475*44/12</f>
        <v>0.2111315850304103</v>
      </c>
      <c r="EC173" s="21">
        <f>EXP(-LN(2)/2)*EC172+(1-EXP(-LN(2)/2))/(LN(2)/2)*DW173*DZ173*VLOOKUP('Données projet'!$B$14,Paramètres!$A$1:$I$89,3,0)*0.475*44/12</f>
        <v>1.651693708368892E-20</v>
      </c>
      <c r="ED173" s="22">
        <f t="shared" si="178"/>
        <v>0.35392298301392167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2.2737367544323206E-13</v>
      </c>
      <c r="EK173" s="17">
        <f>EJ173*VLOOKUP('Données projet'!$B$15,Paramètres!$A$1:$I$89,3,0)*VLOOKUP('Données projet'!$B$15,Paramètres!$A$1:$I$89,5,0)</f>
        <v>1.2414602679200471E-13</v>
      </c>
      <c r="EL173" s="13">
        <f t="shared" si="179"/>
        <v>1.8186582995804361E-12</v>
      </c>
      <c r="EM173" s="20">
        <f t="shared" si="180"/>
        <v>3.3837175350986671E-12</v>
      </c>
      <c r="EN173" s="59">
        <f t="shared" si="128"/>
        <v>293.33333333333672</v>
      </c>
      <c r="EO173" s="59">
        <f ca="1">AVERAGE(OFFSET($EN$3,0,0,'Données projet'!$E$15+1,1))-AVERAGE(OFFSET($H$3,0,0,'Données projet'!$E$15+1,1))</f>
        <v>168.72306536277267</v>
      </c>
      <c r="EP173" s="59">
        <f t="shared" si="154"/>
        <v>203.35476578922339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0.19012985057587098</v>
      </c>
      <c r="EW173" s="21">
        <f>EXP(-LN(2)/25)*EW172+(1-EXP(-LN(2)/25))/(LN(2)/25)*Calculateur!ER173*Calculateur!ET173*VLOOKUP('Données projet'!$B$15,Paramètres!$A$1:$I$89,3,0)*0.475*44/12</f>
        <v>0.47388933999600652</v>
      </c>
      <c r="EX173" s="21">
        <f>EXP(-LN(2)/2)*EX172+(1-EXP(-LN(2)/2))/(LN(2)/2)*ER173*EU173*VLOOKUP('Données projet'!$B$15,Paramètres!$A$1:$I$89,3,0)*0.475*44/12</f>
        <v>1.6960857819676337E-20</v>
      </c>
      <c r="EY173" s="22">
        <f t="shared" si="181"/>
        <v>0.66401919057187753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3.4106051316484809E-13</v>
      </c>
      <c r="FF173" s="17">
        <f>FE173*VLOOKUP('Données projet'!$B$16,Paramètres!$A$1:$I$89,3,0)*VLOOKUP('Données projet'!$B$16,Paramètres!$A$1:$I$89,5,0)</f>
        <v>1.8621904018800707E-13</v>
      </c>
      <c r="FG173" s="13">
        <f t="shared" si="182"/>
        <v>2.6022279988572714E-12</v>
      </c>
      <c r="FH173" s="20">
        <f t="shared" si="183"/>
        <v>4.8565452596705266E-12</v>
      </c>
      <c r="FI173" s="59">
        <f t="shared" si="131"/>
        <v>293.33333333333815</v>
      </c>
      <c r="FJ173" s="59">
        <f ca="1">AVERAGE(OFFSET($FI$3,0,0,'Données projet'!$E$16+1,1))-AVERAGE(OFFSET($H$3,0,0,'Données projet'!$E$16+1,1))</f>
        <v>127.76128532861486</v>
      </c>
      <c r="FK173" s="59">
        <f t="shared" si="156"/>
        <v>157.52303491639736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>
        <f>EXP(-LN(2)/35)*FQ172+(1-EXP(-LN(2)/35))/(LN(2)/35)*FM173*FN173*VLOOKUP('Données projet'!$B$16,Paramètres!$A$1:$I$89,3,0)*0.475*44/12</f>
        <v>0.15210388046069681</v>
      </c>
      <c r="FR173" s="21">
        <f>EXP(-LN(2)/25)*FR172+(1-EXP(-LN(2)/25))/(LN(2)/25)*Calculateur!FM173*Calculateur!FO173*VLOOKUP('Données projet'!$B$16,Paramètres!$A$1:$I$89,3,0)*0.475*44/12</f>
        <v>0.33650069369227981</v>
      </c>
      <c r="FS173" s="21">
        <f>EXP(-LN(2)/2)*FS172+(1-EXP(-LN(2)/2))/(LN(2)/2)*FM173*FP173*VLOOKUP('Données projet'!$B$16,Paramètres!$A$1:$I$89,3,0)*0.475*44/12</f>
        <v>1.3465595658284408E-20</v>
      </c>
      <c r="FT173" s="22">
        <f t="shared" si="184"/>
        <v>0.48860457415297665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-5.6843418860808015E-13</v>
      </c>
      <c r="O174" s="13">
        <f>N174*VLOOKUP('Données projet'!$B$9,Paramètres!$A$1:$I$89,3,0)*VLOOKUP('Données projet'!$B$9,Paramètres!$A$1:$I$89,5,0)</f>
        <v>-5.1431925385259092E-13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153.45079678708987</v>
      </c>
      <c r="T174" s="59">
        <f t="shared" si="142"/>
        <v>115.4217868409637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0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5.1752136752136737</v>
      </c>
      <c r="AI174" s="13">
        <f>IF('Données projet'!$A$62&gt;35,AI173+AH174-AQ173,IF(A174&lt;'Données projet'!$A$62,$AF$205^A174,IF(A174='Données projet'!$A$62,'Données projet'!$B$62,AI173+AH174-AQ173)))</f>
        <v>265.74358974358989</v>
      </c>
      <c r="AJ174" s="13">
        <f>AI174*VLOOKUP('Données projet'!$B$10,Paramètres!$A$1:$I$89,3,0)*VLOOKUP('Données projet'!$B$10,Paramètres!$A$1:$I$89,5,0)</f>
        <v>240.44480000000016</v>
      </c>
      <c r="AK174" s="13">
        <f t="shared" si="164"/>
        <v>58.535221053441745</v>
      </c>
      <c r="AL174" s="20">
        <f t="shared" si="165"/>
        <v>520.72353666807794</v>
      </c>
      <c r="AM174" s="59">
        <f t="shared" si="113"/>
        <v>814.0568700014112</v>
      </c>
      <c r="AN174" s="59">
        <f ca="1">AVERAGE(OFFSET($AM$3,0,0,'Données projet'!$E$10+1,1))-AVERAGE(OFFSET($H$3,0,0,'Données projet'!$E$10+1,1))</f>
        <v>123.92486590666675</v>
      </c>
      <c r="AO174" s="59">
        <f t="shared" si="144"/>
        <v>54.404493017418986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1.1368683772161603E-13</v>
      </c>
      <c r="BE174" s="13">
        <f>BD174*VLOOKUP('Données projet'!$B$11,Paramètres!$A$1:$I$89,3,0)*VLOOKUP('Données projet'!$B$11,Paramètres!$A$1:$I$89,5,0)</f>
        <v>6.3550942286383367E-14</v>
      </c>
      <c r="BF174" s="13">
        <f t="shared" si="167"/>
        <v>1.0064464192543978E-12</v>
      </c>
      <c r="BG174" s="20">
        <f t="shared" si="168"/>
        <v>1.8635787380168604E-12</v>
      </c>
      <c r="BH174" s="59">
        <f t="shared" si="116"/>
        <v>293.33333333333519</v>
      </c>
      <c r="BI174" s="59">
        <f ca="1">AVERAGE(OFFSET($BH$3,0,0,'Données projet'!$E$11+1,1))-AVERAGE(OFFSET($H$3,0,0,'Données projet'!$E$11+1,1))</f>
        <v>224.7049802939942</v>
      </c>
      <c r="BJ174" s="59">
        <f t="shared" si="146"/>
        <v>203.48513862195352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0.13671305088677946</v>
      </c>
      <c r="BQ174" s="21">
        <f>EXP(-LN(2)/25)*BQ173+(1-EXP(-LN(2)/25))/(LN(2)/25)*Calculateur!BL174*Calculateur!BN174*VLOOKUP('Données projet'!$B$11,Paramètres!$A$1:$I$89,3,0)*0.475*44/12</f>
        <v>0.39153569186058335</v>
      </c>
      <c r="BR174" s="21">
        <f>EXP(-LN(2)/2)*BR173+(1-EXP(-LN(2)/2))/(LN(2)/2)*BL174*BO174*VLOOKUP('Données projet'!$B$11,Paramètres!$A$1:$I$89,3,0)*0.475*44/12</f>
        <v>5.3668938653771047E-21</v>
      </c>
      <c r="BS174" s="22">
        <f t="shared" si="169"/>
        <v>0.52824874274736278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6.2527760746888816E-13</v>
      </c>
      <c r="BZ174" s="13">
        <f>BY174*VLOOKUP('Données projet'!$B$12,Paramètres!$A$1:$I$89,3,0)*VLOOKUP('Données projet'!$B$12,Paramètres!$A$1:$I$89,5,0)</f>
        <v>3.4953018257510848E-13</v>
      </c>
      <c r="CA174" s="13">
        <f t="shared" si="170"/>
        <v>4.5391562386470354E-12</v>
      </c>
      <c r="CB174" s="20">
        <f t="shared" si="171"/>
        <v>8.5144621836285662E-12</v>
      </c>
      <c r="CC174" s="59">
        <f t="shared" si="119"/>
        <v>293.33333333334184</v>
      </c>
      <c r="CD174" s="59">
        <f ca="1">AVERAGE(OFFSET($CC$3,0,0,'Données projet'!$E$12+1,1))-AVERAGE(OFFSET($H$3,0,0,'Données projet'!$E$12+1,1))</f>
        <v>190.08613104982993</v>
      </c>
      <c r="CE174" s="59">
        <f t="shared" si="148"/>
        <v>180.55054525447781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0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497</v>
      </c>
      <c r="CU174" s="17">
        <f>CT174*VLOOKUP('Données projet'!$B$13,Paramètres!$A$1:$I$89,3,0)*VLOOKUP('Données projet'!$B$13,Paramètres!$A$1:$I$89,5,0)</f>
        <v>297.20600000000002</v>
      </c>
      <c r="CV174" s="13">
        <f t="shared" si="173"/>
        <v>70.590415164571112</v>
      </c>
      <c r="CW174" s="20">
        <f t="shared" si="174"/>
        <v>640.57875641162809</v>
      </c>
      <c r="CX174" s="59">
        <f t="shared" si="122"/>
        <v>933.91208974496135</v>
      </c>
      <c r="CY174" s="59">
        <f ca="1">AVERAGE(OFFSET($CX$3,0,0,'Données projet'!$E$13+1,1))-AVERAGE(OFFSET($H$3,0,0,'Données projet'!$E$13+1,1))</f>
        <v>270.30888762640245</v>
      </c>
      <c r="CZ174" s="59">
        <f t="shared" si="150"/>
        <v>202.23783851977691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0.13124188665300709</v>
      </c>
      <c r="DG174" s="21">
        <f>EXP(-LN(2)/25)*DG173+(1-EXP(-LN(2)/25))/(LN(2)/25)*Calculateur!DB174*Calculateur!DD174*VLOOKUP('Données projet'!$B$13,Paramètres!$A$1:$I$89,3,0)*0.475*44/12</f>
        <v>0.2465623216278256</v>
      </c>
      <c r="DH174" s="21">
        <f>EXP(-LN(2)/2)*DH173+(1-EXP(-LN(2)/2))/(LN(2)/2)*DB174*DE174*VLOOKUP('Données projet'!$B$13,Paramètres!$A$1:$I$89,3,0)*0.475*44/12</f>
        <v>1.107601367301778E-20</v>
      </c>
      <c r="DI174" s="22">
        <f t="shared" si="175"/>
        <v>0.37780420828083272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433.00000000000011</v>
      </c>
      <c r="DP174" s="17">
        <f>DO174*VLOOKUP('Données projet'!$B$14,Paramètres!$A$1:$I$89,3,0)*VLOOKUP('Données projet'!$B$14,Paramètres!$A$1:$I$89,5,0)</f>
        <v>258.93400000000008</v>
      </c>
      <c r="DQ174" s="13">
        <f t="shared" si="176"/>
        <v>62.495095530116075</v>
      </c>
      <c r="DR174" s="20">
        <f t="shared" si="177"/>
        <v>559.82234138161891</v>
      </c>
      <c r="DS174" s="59">
        <f t="shared" si="125"/>
        <v>853.15567471495228</v>
      </c>
      <c r="DT174" s="59">
        <f ca="1">AVERAGE(OFFSET($DS$3,0,0,'Données projet'!$E$14+1,1))-AVERAGE(OFFSET($H$3,0,0,'Données projet'!$E$14+1,1))</f>
        <v>221.14988592347311</v>
      </c>
      <c r="DU174" s="59">
        <f t="shared" si="152"/>
        <v>179.09262081171607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0.13999134576320768</v>
      </c>
      <c r="EB174" s="21">
        <f>EXP(-LN(2)/25)*EB173+(1-EXP(-LN(2)/25))/(LN(2)/25)*Calculateur!DW174*Calculateur!DY174*VLOOKUP('Données projet'!$B$14,Paramètres!$A$1:$I$89,3,0)*0.475*44/12</f>
        <v>0.20535818073482623</v>
      </c>
      <c r="EC174" s="21">
        <f>EXP(-LN(2)/2)*EC173+(1-EXP(-LN(2)/2))/(LN(2)/2)*DW174*DZ174*VLOOKUP('Données projet'!$B$14,Paramètres!$A$1:$I$89,3,0)*0.475*44/12</f>
        <v>1.1679238216307994E-20</v>
      </c>
      <c r="ED174" s="22">
        <f t="shared" si="178"/>
        <v>0.34534952649803391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2.2737367544323206E-13</v>
      </c>
      <c r="EK174" s="17">
        <f>EJ174*VLOOKUP('Données projet'!$B$15,Paramètres!$A$1:$I$89,3,0)*VLOOKUP('Données projet'!$B$15,Paramètres!$A$1:$I$89,5,0)</f>
        <v>1.2414602679200471E-13</v>
      </c>
      <c r="EL174" s="13">
        <f t="shared" si="179"/>
        <v>1.8186582995804361E-12</v>
      </c>
      <c r="EM174" s="20">
        <f t="shared" si="180"/>
        <v>3.3837175350986671E-12</v>
      </c>
      <c r="EN174" s="59">
        <f t="shared" si="128"/>
        <v>293.33333333333672</v>
      </c>
      <c r="EO174" s="59">
        <f ca="1">AVERAGE(OFFSET($EN$3,0,0,'Données projet'!$E$15+1,1))-AVERAGE(OFFSET($H$3,0,0,'Données projet'!$E$15+1,1))</f>
        <v>168.72306536277267</v>
      </c>
      <c r="EP174" s="59">
        <f t="shared" si="154"/>
        <v>203.35476578922339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0.18640152017383613</v>
      </c>
      <c r="EW174" s="21">
        <f>EXP(-LN(2)/25)*EW173+(1-EXP(-LN(2)/25))/(LN(2)/25)*Calculateur!ER174*Calculateur!ET174*VLOOKUP('Données projet'!$B$15,Paramètres!$A$1:$I$89,3,0)*0.475*44/12</f>
        <v>0.46093081107305844</v>
      </c>
      <c r="EX174" s="21">
        <f>EXP(-LN(2)/2)*EX173+(1-EXP(-LN(2)/2))/(LN(2)/2)*ER174*EU174*VLOOKUP('Données projet'!$B$15,Paramètres!$A$1:$I$89,3,0)*0.475*44/12</f>
        <v>1.199313757903402E-20</v>
      </c>
      <c r="EY174" s="22">
        <f t="shared" si="181"/>
        <v>0.6473323312468946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3.4106051316484809E-13</v>
      </c>
      <c r="FF174" s="17">
        <f>FE174*VLOOKUP('Données projet'!$B$16,Paramètres!$A$1:$I$89,3,0)*VLOOKUP('Données projet'!$B$16,Paramètres!$A$1:$I$89,5,0)</f>
        <v>1.8621904018800707E-13</v>
      </c>
      <c r="FG174" s="13">
        <f t="shared" si="182"/>
        <v>2.6022279988572714E-12</v>
      </c>
      <c r="FH174" s="20">
        <f t="shared" si="183"/>
        <v>4.8565452596705266E-12</v>
      </c>
      <c r="FI174" s="59">
        <f t="shared" si="131"/>
        <v>293.33333333333815</v>
      </c>
      <c r="FJ174" s="59">
        <f ca="1">AVERAGE(OFFSET($FI$3,0,0,'Données projet'!$E$16+1,1))-AVERAGE(OFFSET($H$3,0,0,'Données projet'!$E$16+1,1))</f>
        <v>127.76128532861486</v>
      </c>
      <c r="FK174" s="59">
        <f t="shared" si="156"/>
        <v>157.52303491639736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>
        <f>EXP(-LN(2)/35)*FQ173+(1-EXP(-LN(2)/35))/(LN(2)/35)*FM174*FN174*VLOOKUP('Données projet'!$B$16,Paramètres!$A$1:$I$89,3,0)*0.475*44/12</f>
        <v>0.14912121613906892</v>
      </c>
      <c r="FR174" s="21">
        <f>EXP(-LN(2)/25)*FR173+(1-EXP(-LN(2)/25))/(LN(2)/25)*Calculateur!FM174*Calculateur!FO174*VLOOKUP('Données projet'!$B$16,Paramètres!$A$1:$I$89,3,0)*0.475*44/12</f>
        <v>0.32729906452746199</v>
      </c>
      <c r="FS174" s="21">
        <f>EXP(-LN(2)/2)*FS173+(1-EXP(-LN(2)/2))/(LN(2)/2)*FM174*FP174*VLOOKUP('Données projet'!$B$16,Paramètres!$A$1:$I$89,3,0)*0.475*44/12</f>
        <v>9.5216140026890376E-21</v>
      </c>
      <c r="FT174" s="22">
        <f t="shared" si="184"/>
        <v>0.47642028066653092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-5.6843418860808015E-13</v>
      </c>
      <c r="O175" s="13">
        <f>N175*VLOOKUP('Données projet'!$B$9,Paramètres!$A$1:$I$89,3,0)*VLOOKUP('Données projet'!$B$9,Paramètres!$A$1:$I$89,5,0)</f>
        <v>-5.1431925385259092E-13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153.45079678708987</v>
      </c>
      <c r="T175" s="59">
        <f t="shared" si="142"/>
        <v>115.4217868409637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0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5.1752136752136737</v>
      </c>
      <c r="AI175" s="13">
        <f>IF('Données projet'!$A$62&gt;35,AI174+AH175-AQ174,IF(A175&lt;'Données projet'!$A$62,$AF$205^A175,IF(A175='Données projet'!$A$62,'Données projet'!$B$62,AI174+AH175-AQ174)))</f>
        <v>270.91880341880358</v>
      </c>
      <c r="AJ175" s="13">
        <f>AI175*VLOOKUP('Données projet'!$B$10,Paramètres!$A$1:$I$89,3,0)*VLOOKUP('Données projet'!$B$10,Paramètres!$A$1:$I$89,5,0)</f>
        <v>245.12733333333347</v>
      </c>
      <c r="AK175" s="13">
        <f t="shared" si="164"/>
        <v>59.541340350863749</v>
      </c>
      <c r="AL175" s="20">
        <f t="shared" si="165"/>
        <v>530.63127333331011</v>
      </c>
      <c r="AM175" s="59">
        <f t="shared" si="113"/>
        <v>823.96460666664348</v>
      </c>
      <c r="AN175" s="59">
        <f ca="1">AVERAGE(OFFSET($AM$3,0,0,'Données projet'!$E$10+1,1))-AVERAGE(OFFSET($H$3,0,0,'Données projet'!$E$10+1,1))</f>
        <v>123.92486590666675</v>
      </c>
      <c r="AO175" s="59">
        <f t="shared" si="144"/>
        <v>54.404493017418986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1.1368683772161603E-13</v>
      </c>
      <c r="BE175" s="13">
        <f>BD175*VLOOKUP('Données projet'!$B$11,Paramètres!$A$1:$I$89,3,0)*VLOOKUP('Données projet'!$B$11,Paramètres!$A$1:$I$89,5,0)</f>
        <v>6.3550942286383367E-14</v>
      </c>
      <c r="BF175" s="13">
        <f t="shared" si="167"/>
        <v>1.0064464192543978E-12</v>
      </c>
      <c r="BG175" s="20">
        <f t="shared" si="168"/>
        <v>1.8635787380168604E-12</v>
      </c>
      <c r="BH175" s="59">
        <f t="shared" si="116"/>
        <v>293.33333333333519</v>
      </c>
      <c r="BI175" s="59">
        <f ca="1">AVERAGE(OFFSET($BH$3,0,0,'Données projet'!$E$11+1,1))-AVERAGE(OFFSET($H$3,0,0,'Données projet'!$E$11+1,1))</f>
        <v>224.7049802939942</v>
      </c>
      <c r="BJ175" s="59">
        <f t="shared" si="146"/>
        <v>203.48513862195352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0.134032191345617</v>
      </c>
      <c r="BQ175" s="21">
        <f>EXP(-LN(2)/25)*BQ174+(1-EXP(-LN(2)/25))/(LN(2)/25)*Calculateur!BL175*Calculateur!BN175*VLOOKUP('Données projet'!$B$11,Paramètres!$A$1:$I$89,3,0)*0.475*44/12</f>
        <v>0.38082912777668854</v>
      </c>
      <c r="BR175" s="21">
        <f>EXP(-LN(2)/2)*BR174+(1-EXP(-LN(2)/2))/(LN(2)/2)*BL175*BO175*VLOOKUP('Données projet'!$B$11,Paramètres!$A$1:$I$89,3,0)*0.475*44/12</f>
        <v>3.7949670461166326E-21</v>
      </c>
      <c r="BS175" s="22">
        <f t="shared" si="169"/>
        <v>0.51486131912230548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6.2527760746888816E-13</v>
      </c>
      <c r="BZ175" s="13">
        <f>BY175*VLOOKUP('Données projet'!$B$12,Paramètres!$A$1:$I$89,3,0)*VLOOKUP('Données projet'!$B$12,Paramètres!$A$1:$I$89,5,0)</f>
        <v>3.4953018257510848E-13</v>
      </c>
      <c r="CA175" s="13">
        <f t="shared" si="170"/>
        <v>4.5391562386470354E-12</v>
      </c>
      <c r="CB175" s="20">
        <f t="shared" si="171"/>
        <v>8.5144621836285662E-12</v>
      </c>
      <c r="CC175" s="59">
        <f t="shared" si="119"/>
        <v>293.33333333334184</v>
      </c>
      <c r="CD175" s="59">
        <f ca="1">AVERAGE(OFFSET($CC$3,0,0,'Données projet'!$E$12+1,1))-AVERAGE(OFFSET($H$3,0,0,'Données projet'!$E$12+1,1))</f>
        <v>190.08613104982993</v>
      </c>
      <c r="CE175" s="59">
        <f t="shared" si="148"/>
        <v>180.55054525447781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0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497</v>
      </c>
      <c r="CU175" s="17">
        <f>CT175*VLOOKUP('Données projet'!$B$13,Paramètres!$A$1:$I$89,3,0)*VLOOKUP('Données projet'!$B$13,Paramètres!$A$1:$I$89,5,0)</f>
        <v>297.20600000000002</v>
      </c>
      <c r="CV175" s="13">
        <f t="shared" si="173"/>
        <v>70.590415164571112</v>
      </c>
      <c r="CW175" s="20">
        <f t="shared" si="174"/>
        <v>640.57875641162809</v>
      </c>
      <c r="CX175" s="59">
        <f t="shared" si="122"/>
        <v>933.91208974496135</v>
      </c>
      <c r="CY175" s="59">
        <f ca="1">AVERAGE(OFFSET($CX$3,0,0,'Données projet'!$E$13+1,1))-AVERAGE(OFFSET($H$3,0,0,'Données projet'!$E$13+1,1))</f>
        <v>270.30888762640245</v>
      </c>
      <c r="CZ175" s="59">
        <f t="shared" si="150"/>
        <v>202.23783851977691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0.12866831330538825</v>
      </c>
      <c r="DG175" s="21">
        <f>EXP(-LN(2)/25)*DG174+(1-EXP(-LN(2)/25))/(LN(2)/25)*Calculateur!DB175*Calculateur!DD175*VLOOKUP('Données projet'!$B$13,Paramètres!$A$1:$I$89,3,0)*0.475*44/12</f>
        <v>0.23982006197676373</v>
      </c>
      <c r="DH175" s="21">
        <f>EXP(-LN(2)/2)*DH174+(1-EXP(-LN(2)/2))/(LN(2)/2)*DB175*DE175*VLOOKUP('Données projet'!$B$13,Paramètres!$A$1:$I$89,3,0)*0.475*44/12</f>
        <v>7.8319243767057917E-21</v>
      </c>
      <c r="DI175" s="22">
        <f t="shared" si="175"/>
        <v>0.36848837528215195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433.00000000000011</v>
      </c>
      <c r="DP175" s="17">
        <f>DO175*VLOOKUP('Données projet'!$B$14,Paramètres!$A$1:$I$89,3,0)*VLOOKUP('Données projet'!$B$14,Paramètres!$A$1:$I$89,5,0)</f>
        <v>258.93400000000008</v>
      </c>
      <c r="DQ175" s="13">
        <f t="shared" si="176"/>
        <v>62.495095530116075</v>
      </c>
      <c r="DR175" s="20">
        <f t="shared" si="177"/>
        <v>559.82234138161891</v>
      </c>
      <c r="DS175" s="59">
        <f t="shared" si="125"/>
        <v>853.15567471495228</v>
      </c>
      <c r="DT175" s="59">
        <f ca="1">AVERAGE(OFFSET($DS$3,0,0,'Données projet'!$E$14+1,1))-AVERAGE(OFFSET($H$3,0,0,'Données projet'!$E$14+1,1))</f>
        <v>221.14988592347311</v>
      </c>
      <c r="DU175" s="59">
        <f t="shared" si="152"/>
        <v>179.09262081171607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0.1372462008590809</v>
      </c>
      <c r="EB175" s="21">
        <f>EXP(-LN(2)/25)*EB174+(1-EXP(-LN(2)/25))/(LN(2)/25)*Calculateur!DW175*Calculateur!DY175*VLOOKUP('Données projet'!$B$14,Paramètres!$A$1:$I$89,3,0)*0.475*44/12</f>
        <v>0.19974265048331502</v>
      </c>
      <c r="EC175" s="21">
        <f>EXP(-LN(2)/2)*EC174+(1-EXP(-LN(2)/2))/(LN(2)/2)*DW175*DZ175*VLOOKUP('Données projet'!$B$14,Paramètres!$A$1:$I$89,3,0)*0.475*44/12</f>
        <v>8.2584685418444598E-21</v>
      </c>
      <c r="ED175" s="22">
        <f t="shared" si="178"/>
        <v>0.33698885134239592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2.2737367544323206E-13</v>
      </c>
      <c r="EK175" s="17">
        <f>EJ175*VLOOKUP('Données projet'!$B$15,Paramètres!$A$1:$I$89,3,0)*VLOOKUP('Données projet'!$B$15,Paramètres!$A$1:$I$89,5,0)</f>
        <v>1.2414602679200471E-13</v>
      </c>
      <c r="EL175" s="13">
        <f t="shared" si="179"/>
        <v>1.8186582995804361E-12</v>
      </c>
      <c r="EM175" s="20">
        <f t="shared" si="180"/>
        <v>3.3837175350986671E-12</v>
      </c>
      <c r="EN175" s="59">
        <f t="shared" si="128"/>
        <v>293.33333333333672</v>
      </c>
      <c r="EO175" s="59">
        <f ca="1">AVERAGE(OFFSET($EN$3,0,0,'Données projet'!$E$15+1,1))-AVERAGE(OFFSET($H$3,0,0,'Données projet'!$E$15+1,1))</f>
        <v>168.72306536277267</v>
      </c>
      <c r="EP175" s="59">
        <f t="shared" si="154"/>
        <v>203.35476578922339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0.18274630005692818</v>
      </c>
      <c r="EW175" s="21">
        <f>EXP(-LN(2)/25)*EW174+(1-EXP(-LN(2)/25))/(LN(2)/25)*Calculateur!ER175*Calculateur!ET175*VLOOKUP('Données projet'!$B$15,Paramètres!$A$1:$I$89,3,0)*0.475*44/12</f>
        <v>0.44832663380496779</v>
      </c>
      <c r="EX175" s="21">
        <f>EXP(-LN(2)/2)*EX174+(1-EXP(-LN(2)/2))/(LN(2)/2)*ER175*EU175*VLOOKUP('Données projet'!$B$15,Paramètres!$A$1:$I$89,3,0)*0.475*44/12</f>
        <v>8.4804289098381687E-21</v>
      </c>
      <c r="EY175" s="22">
        <f t="shared" si="181"/>
        <v>0.631072933861896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3.4106051316484809E-13</v>
      </c>
      <c r="FF175" s="17">
        <f>FE175*VLOOKUP('Données projet'!$B$16,Paramètres!$A$1:$I$89,3,0)*VLOOKUP('Données projet'!$B$16,Paramètres!$A$1:$I$89,5,0)</f>
        <v>1.8621904018800707E-13</v>
      </c>
      <c r="FG175" s="13">
        <f t="shared" si="182"/>
        <v>2.6022279988572714E-12</v>
      </c>
      <c r="FH175" s="20">
        <f t="shared" si="183"/>
        <v>4.8565452596705266E-12</v>
      </c>
      <c r="FI175" s="59">
        <f t="shared" si="131"/>
        <v>293.33333333333815</v>
      </c>
      <c r="FJ175" s="59">
        <f ca="1">AVERAGE(OFFSET($FI$3,0,0,'Données projet'!$E$16+1,1))-AVERAGE(OFFSET($H$3,0,0,'Données projet'!$E$16+1,1))</f>
        <v>127.76128532861486</v>
      </c>
      <c r="FK175" s="59">
        <f t="shared" si="156"/>
        <v>157.52303491639736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>
        <f>EXP(-LN(2)/35)*FQ174+(1-EXP(-LN(2)/35))/(LN(2)/35)*FM175*FN175*VLOOKUP('Données projet'!$B$16,Paramètres!$A$1:$I$89,3,0)*0.475*44/12</f>
        <v>0.14619704004554257</v>
      </c>
      <c r="FR175" s="21">
        <f>EXP(-LN(2)/25)*FR174+(1-EXP(-LN(2)/25))/(LN(2)/25)*Calculateur!FM175*Calculateur!FO175*VLOOKUP('Données projet'!$B$16,Paramètres!$A$1:$I$89,3,0)*0.475*44/12</f>
        <v>0.31834905439604877</v>
      </c>
      <c r="FS175" s="21">
        <f>EXP(-LN(2)/2)*FS174+(1-EXP(-LN(2)/2))/(LN(2)/2)*FM175*FP175*VLOOKUP('Données projet'!$B$16,Paramètres!$A$1:$I$89,3,0)*0.475*44/12</f>
        <v>6.7327978291422045E-21</v>
      </c>
      <c r="FT175" s="22">
        <f t="shared" si="184"/>
        <v>0.46454609444159134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-5.6843418860808015E-13</v>
      </c>
      <c r="O176" s="13">
        <f>N176*VLOOKUP('Données projet'!$B$9,Paramètres!$A$1:$I$89,3,0)*VLOOKUP('Données projet'!$B$9,Paramètres!$A$1:$I$89,5,0)</f>
        <v>-5.1431925385259092E-13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153.45079678708987</v>
      </c>
      <c r="T176" s="59">
        <f t="shared" si="142"/>
        <v>115.4217868409637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0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5.1752136752136737</v>
      </c>
      <c r="AI176" s="13">
        <f>IF('Données projet'!$A$62&gt;35,AI175+AH176-AQ175,IF(A176&lt;'Données projet'!$A$62,$AF$205^A176,IF(A176='Données projet'!$A$62,'Données projet'!$B$62,AI175+AH176-AQ175)))</f>
        <v>276.09401709401726</v>
      </c>
      <c r="AJ176" s="13">
        <f>AI176*VLOOKUP('Données projet'!$B$10,Paramètres!$A$1:$I$89,3,0)*VLOOKUP('Données projet'!$B$10,Paramètres!$A$1:$I$89,5,0)</f>
        <v>249.80986666666681</v>
      </c>
      <c r="AK176" s="13">
        <f t="shared" si="164"/>
        <v>60.54522485799783</v>
      </c>
      <c r="AL176" s="20">
        <f t="shared" si="165"/>
        <v>540.53511773879097</v>
      </c>
      <c r="AM176" s="59">
        <f t="shared" si="113"/>
        <v>833.86845107212434</v>
      </c>
      <c r="AN176" s="59">
        <f ca="1">AVERAGE(OFFSET($AM$3,0,0,'Données projet'!$E$10+1,1))-AVERAGE(OFFSET($H$3,0,0,'Données projet'!$E$10+1,1))</f>
        <v>123.92486590666675</v>
      </c>
      <c r="AO176" s="59">
        <f t="shared" si="144"/>
        <v>54.404493017418986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1.1368683772161603E-13</v>
      </c>
      <c r="BE176" s="13">
        <f>BD176*VLOOKUP('Données projet'!$B$11,Paramètres!$A$1:$I$89,3,0)*VLOOKUP('Données projet'!$B$11,Paramètres!$A$1:$I$89,5,0)</f>
        <v>6.3550942286383367E-14</v>
      </c>
      <c r="BF176" s="13">
        <f t="shared" si="167"/>
        <v>1.0064464192543978E-12</v>
      </c>
      <c r="BG176" s="20">
        <f t="shared" si="168"/>
        <v>1.8635787380168604E-12</v>
      </c>
      <c r="BH176" s="59">
        <f t="shared" si="116"/>
        <v>293.33333333333519</v>
      </c>
      <c r="BI176" s="59">
        <f ca="1">AVERAGE(OFFSET($BH$3,0,0,'Données projet'!$E$11+1,1))-AVERAGE(OFFSET($H$3,0,0,'Données projet'!$E$11+1,1))</f>
        <v>224.7049802939942</v>
      </c>
      <c r="BJ176" s="59">
        <f t="shared" si="146"/>
        <v>203.48513862195352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0.13140390182489387</v>
      </c>
      <c r="BQ176" s="21">
        <f>EXP(-LN(2)/25)*BQ175+(1-EXP(-LN(2)/25))/(LN(2)/25)*Calculateur!BL176*Calculateur!BN176*VLOOKUP('Données projet'!$B$11,Paramètres!$A$1:$I$89,3,0)*0.475*44/12</f>
        <v>0.37041533525070158</v>
      </c>
      <c r="BR176" s="21">
        <f>EXP(-LN(2)/2)*BR175+(1-EXP(-LN(2)/2))/(LN(2)/2)*BL176*BO176*VLOOKUP('Données projet'!$B$11,Paramètres!$A$1:$I$89,3,0)*0.475*44/12</f>
        <v>2.6834469326885524E-21</v>
      </c>
      <c r="BS176" s="22">
        <f t="shared" si="169"/>
        <v>0.50181923707559539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6.2527760746888816E-13</v>
      </c>
      <c r="BZ176" s="13">
        <f>BY176*VLOOKUP('Données projet'!$B$12,Paramètres!$A$1:$I$89,3,0)*VLOOKUP('Données projet'!$B$12,Paramètres!$A$1:$I$89,5,0)</f>
        <v>3.4953018257510848E-13</v>
      </c>
      <c r="CA176" s="13">
        <f t="shared" si="170"/>
        <v>4.5391562386470354E-12</v>
      </c>
      <c r="CB176" s="20">
        <f t="shared" si="171"/>
        <v>8.5144621836285662E-12</v>
      </c>
      <c r="CC176" s="59">
        <f t="shared" si="119"/>
        <v>293.33333333334184</v>
      </c>
      <c r="CD176" s="59">
        <f ca="1">AVERAGE(OFFSET($CC$3,0,0,'Données projet'!$E$12+1,1))-AVERAGE(OFFSET($H$3,0,0,'Données projet'!$E$12+1,1))</f>
        <v>190.08613104982993</v>
      </c>
      <c r="CE176" s="59">
        <f t="shared" si="148"/>
        <v>180.55054525447781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0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497</v>
      </c>
      <c r="CU176" s="17">
        <f>CT176*VLOOKUP('Données projet'!$B$13,Paramètres!$A$1:$I$89,3,0)*VLOOKUP('Données projet'!$B$13,Paramètres!$A$1:$I$89,5,0)</f>
        <v>297.20600000000002</v>
      </c>
      <c r="CV176" s="13">
        <f t="shared" si="173"/>
        <v>70.590415164571112</v>
      </c>
      <c r="CW176" s="20">
        <f t="shared" si="174"/>
        <v>640.57875641162809</v>
      </c>
      <c r="CX176" s="59">
        <f t="shared" si="122"/>
        <v>933.91208974496135</v>
      </c>
      <c r="CY176" s="59">
        <f ca="1">AVERAGE(OFFSET($CX$3,0,0,'Données projet'!$E$13+1,1))-AVERAGE(OFFSET($H$3,0,0,'Données projet'!$E$13+1,1))</f>
        <v>270.30888762640245</v>
      </c>
      <c r="CZ176" s="59">
        <f t="shared" si="150"/>
        <v>202.23783851977691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0.12614520616139147</v>
      </c>
      <c r="DG176" s="21">
        <f>EXP(-LN(2)/25)*DG175+(1-EXP(-LN(2)/25))/(LN(2)/25)*Calculateur!DB176*Calculateur!DD176*VLOOKUP('Données projet'!$B$13,Paramètres!$A$1:$I$89,3,0)*0.475*44/12</f>
        <v>0.23326216977042019</v>
      </c>
      <c r="DH176" s="21">
        <f>EXP(-LN(2)/2)*DH175+(1-EXP(-LN(2)/2))/(LN(2)/2)*DB176*DE176*VLOOKUP('Données projet'!$B$13,Paramètres!$A$1:$I$89,3,0)*0.475*44/12</f>
        <v>5.5380068365088899E-21</v>
      </c>
      <c r="DI176" s="22">
        <f t="shared" si="175"/>
        <v>0.35940737593181166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433.00000000000011</v>
      </c>
      <c r="DP176" s="17">
        <f>DO176*VLOOKUP('Données projet'!$B$14,Paramètres!$A$1:$I$89,3,0)*VLOOKUP('Données projet'!$B$14,Paramètres!$A$1:$I$89,5,0)</f>
        <v>258.93400000000008</v>
      </c>
      <c r="DQ176" s="13">
        <f t="shared" si="176"/>
        <v>62.495095530116075</v>
      </c>
      <c r="DR176" s="20">
        <f t="shared" si="177"/>
        <v>559.82234138161891</v>
      </c>
      <c r="DS176" s="59">
        <f t="shared" si="125"/>
        <v>853.15567471495228</v>
      </c>
      <c r="DT176" s="59">
        <f ca="1">AVERAGE(OFFSET($DS$3,0,0,'Données projet'!$E$14+1,1))-AVERAGE(OFFSET($H$3,0,0,'Données projet'!$E$14+1,1))</f>
        <v>221.14988592347311</v>
      </c>
      <c r="DU176" s="59">
        <f t="shared" si="152"/>
        <v>179.09262081171607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0.13455488657215098</v>
      </c>
      <c r="EB176" s="21">
        <f>EXP(-LN(2)/25)*EB175+(1-EXP(-LN(2)/25))/(LN(2)/25)*Calculateur!DW176*Calculateur!DY176*VLOOKUP('Données projet'!$B$14,Paramètres!$A$1:$I$89,3,0)*0.475*44/12</f>
        <v>0.19428067720183931</v>
      </c>
      <c r="EC176" s="21">
        <f>EXP(-LN(2)/2)*EC175+(1-EXP(-LN(2)/2))/(LN(2)/2)*DW176*DZ176*VLOOKUP('Données projet'!$B$14,Paramètres!$A$1:$I$89,3,0)*0.475*44/12</f>
        <v>5.8396191081539968E-21</v>
      </c>
      <c r="ED176" s="22">
        <f t="shared" si="178"/>
        <v>0.32883556377399026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2.2737367544323206E-13</v>
      </c>
      <c r="EK176" s="17">
        <f>EJ176*VLOOKUP('Données projet'!$B$15,Paramètres!$A$1:$I$89,3,0)*VLOOKUP('Données projet'!$B$15,Paramètres!$A$1:$I$89,5,0)</f>
        <v>1.2414602679200471E-13</v>
      </c>
      <c r="EL176" s="13">
        <f t="shared" si="179"/>
        <v>1.8186582995804361E-12</v>
      </c>
      <c r="EM176" s="20">
        <f t="shared" si="180"/>
        <v>3.3837175350986671E-12</v>
      </c>
      <c r="EN176" s="59">
        <f t="shared" si="128"/>
        <v>293.33333333333672</v>
      </c>
      <c r="EO176" s="59">
        <f ca="1">AVERAGE(OFFSET($EN$3,0,0,'Données projet'!$E$15+1,1))-AVERAGE(OFFSET($H$3,0,0,'Données projet'!$E$15+1,1))</f>
        <v>168.72306536277267</v>
      </c>
      <c r="EP176" s="59">
        <f t="shared" si="154"/>
        <v>203.35476578922339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0.17916275657704867</v>
      </c>
      <c r="EW176" s="21">
        <f>EXP(-LN(2)/25)*EW175+(1-EXP(-LN(2)/25))/(LN(2)/25)*Calculateur!ER176*Calculateur!ET176*VLOOKUP('Données projet'!$B$15,Paramètres!$A$1:$I$89,3,0)*0.475*44/12</f>
        <v>0.43606711842709794</v>
      </c>
      <c r="EX176" s="21">
        <f>EXP(-LN(2)/2)*EX175+(1-EXP(-LN(2)/2))/(LN(2)/2)*ER176*EU176*VLOOKUP('Données projet'!$B$15,Paramètres!$A$1:$I$89,3,0)*0.475*44/12</f>
        <v>5.9965687895170098E-21</v>
      </c>
      <c r="EY176" s="22">
        <f t="shared" si="181"/>
        <v>0.61522987500414661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3.4106051316484809E-13</v>
      </c>
      <c r="FF176" s="17">
        <f>FE176*VLOOKUP('Données projet'!$B$16,Paramètres!$A$1:$I$89,3,0)*VLOOKUP('Données projet'!$B$16,Paramètres!$A$1:$I$89,5,0)</f>
        <v>1.8621904018800707E-13</v>
      </c>
      <c r="FG176" s="13">
        <f t="shared" si="182"/>
        <v>2.6022279988572714E-12</v>
      </c>
      <c r="FH176" s="20">
        <f t="shared" si="183"/>
        <v>4.8565452596705266E-12</v>
      </c>
      <c r="FI176" s="59">
        <f t="shared" si="131"/>
        <v>293.33333333333815</v>
      </c>
      <c r="FJ176" s="59">
        <f ca="1">AVERAGE(OFFSET($FI$3,0,0,'Données projet'!$E$16+1,1))-AVERAGE(OFFSET($H$3,0,0,'Données projet'!$E$16+1,1))</f>
        <v>127.76128532861486</v>
      </c>
      <c r="FK176" s="59">
        <f t="shared" si="156"/>
        <v>157.52303491639736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>
        <f>EXP(-LN(2)/35)*FQ175+(1-EXP(-LN(2)/35))/(LN(2)/35)*FM176*FN176*VLOOKUP('Données projet'!$B$16,Paramètres!$A$1:$I$89,3,0)*0.475*44/12</f>
        <v>0.14333020526163898</v>
      </c>
      <c r="FR176" s="21">
        <f>EXP(-LN(2)/25)*FR175+(1-EXP(-LN(2)/25))/(LN(2)/25)*Calculateur!FM176*Calculateur!FO176*VLOOKUP('Données projet'!$B$16,Paramètres!$A$1:$I$89,3,0)*0.475*44/12</f>
        <v>0.30964378276233961</v>
      </c>
      <c r="FS176" s="21">
        <f>EXP(-LN(2)/2)*FS175+(1-EXP(-LN(2)/2))/(LN(2)/2)*FM176*FP176*VLOOKUP('Données projet'!$B$16,Paramètres!$A$1:$I$89,3,0)*0.475*44/12</f>
        <v>4.7608070013445195E-21</v>
      </c>
      <c r="FT176" s="22">
        <f t="shared" si="184"/>
        <v>0.45297398802397859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-5.6843418860808015E-13</v>
      </c>
      <c r="O177" s="13">
        <f>N177*VLOOKUP('Données projet'!$B$9,Paramètres!$A$1:$I$89,3,0)*VLOOKUP('Données projet'!$B$9,Paramètres!$A$1:$I$89,5,0)</f>
        <v>-5.1431925385259092E-13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153.45079678708987</v>
      </c>
      <c r="T177" s="59">
        <f t="shared" si="142"/>
        <v>115.4217868409637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0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5.1752136752136737</v>
      </c>
      <c r="AI177" s="13">
        <f>IF('Données projet'!$A$62&gt;35,AI176+AH177-AQ176,IF(A177&lt;'Données projet'!$A$62,$AF$205^A177,IF(A177='Données projet'!$A$62,'Données projet'!$B$62,AI176+AH177-AQ176)))</f>
        <v>281.26923076923094</v>
      </c>
      <c r="AJ177" s="13">
        <f>AI177*VLOOKUP('Données projet'!$B$10,Paramètres!$A$1:$I$89,3,0)*VLOOKUP('Données projet'!$B$10,Paramètres!$A$1:$I$89,5,0)</f>
        <v>254.49240000000017</v>
      </c>
      <c r="AK177" s="13">
        <f t="shared" si="164"/>
        <v>61.546921295130538</v>
      </c>
      <c r="AL177" s="20">
        <f t="shared" si="165"/>
        <v>550.43515125568604</v>
      </c>
      <c r="AM177" s="59">
        <f t="shared" si="113"/>
        <v>843.76848458901941</v>
      </c>
      <c r="AN177" s="59">
        <f ca="1">AVERAGE(OFFSET($AM$3,0,0,'Données projet'!$E$10+1,1))-AVERAGE(OFFSET($H$3,0,0,'Données projet'!$E$10+1,1))</f>
        <v>123.92486590666675</v>
      </c>
      <c r="AO177" s="59">
        <f t="shared" si="144"/>
        <v>54.404493017418986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1.1368683772161603E-13</v>
      </c>
      <c r="BE177" s="13">
        <f>BD177*VLOOKUP('Données projet'!$B$11,Paramètres!$A$1:$I$89,3,0)*VLOOKUP('Données projet'!$B$11,Paramètres!$A$1:$I$89,5,0)</f>
        <v>6.3550942286383367E-14</v>
      </c>
      <c r="BF177" s="13">
        <f t="shared" si="167"/>
        <v>1.0064464192543978E-12</v>
      </c>
      <c r="BG177" s="20">
        <f t="shared" si="168"/>
        <v>1.8635787380168604E-12</v>
      </c>
      <c r="BH177" s="59">
        <f t="shared" si="116"/>
        <v>293.33333333333519</v>
      </c>
      <c r="BI177" s="59">
        <f ca="1">AVERAGE(OFFSET($BH$3,0,0,'Données projet'!$E$11+1,1))-AVERAGE(OFFSET($H$3,0,0,'Données projet'!$E$11+1,1))</f>
        <v>224.7049802939942</v>
      </c>
      <c r="BJ177" s="59">
        <f t="shared" si="146"/>
        <v>203.48513862195352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0.12882715145857382</v>
      </c>
      <c r="BQ177" s="21">
        <f>EXP(-LN(2)/25)*BQ176+(1-EXP(-LN(2)/25))/(LN(2)/25)*Calculateur!BL177*Calculateur!BN177*VLOOKUP('Données projet'!$B$11,Paramètres!$A$1:$I$89,3,0)*0.475*44/12</f>
        <v>0.36028630842897524</v>
      </c>
      <c r="BR177" s="21">
        <f>EXP(-LN(2)/2)*BR176+(1-EXP(-LN(2)/2))/(LN(2)/2)*BL177*BO177*VLOOKUP('Données projet'!$B$11,Paramètres!$A$1:$I$89,3,0)*0.475*44/12</f>
        <v>1.8974835230583163E-21</v>
      </c>
      <c r="BS177" s="22">
        <f t="shared" si="169"/>
        <v>0.48911345988754906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6.2527760746888816E-13</v>
      </c>
      <c r="BZ177" s="13">
        <f>BY177*VLOOKUP('Données projet'!$B$12,Paramètres!$A$1:$I$89,3,0)*VLOOKUP('Données projet'!$B$12,Paramètres!$A$1:$I$89,5,0)</f>
        <v>3.4953018257510848E-13</v>
      </c>
      <c r="CA177" s="13">
        <f t="shared" si="170"/>
        <v>4.5391562386470354E-12</v>
      </c>
      <c r="CB177" s="20">
        <f t="shared" si="171"/>
        <v>8.5144621836285662E-12</v>
      </c>
      <c r="CC177" s="59">
        <f t="shared" si="119"/>
        <v>293.33333333334184</v>
      </c>
      <c r="CD177" s="59">
        <f ca="1">AVERAGE(OFFSET($CC$3,0,0,'Données projet'!$E$12+1,1))-AVERAGE(OFFSET($H$3,0,0,'Données projet'!$E$12+1,1))</f>
        <v>190.08613104982993</v>
      </c>
      <c r="CE177" s="59">
        <f t="shared" si="148"/>
        <v>180.55054525447781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0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497</v>
      </c>
      <c r="CU177" s="17">
        <f>CT177*VLOOKUP('Données projet'!$B$13,Paramètres!$A$1:$I$89,3,0)*VLOOKUP('Données projet'!$B$13,Paramètres!$A$1:$I$89,5,0)</f>
        <v>297.20600000000002</v>
      </c>
      <c r="CV177" s="13">
        <f t="shared" si="173"/>
        <v>70.590415164571112</v>
      </c>
      <c r="CW177" s="20">
        <f t="shared" si="174"/>
        <v>640.57875641162809</v>
      </c>
      <c r="CX177" s="59">
        <f t="shared" si="122"/>
        <v>933.91208974496135</v>
      </c>
      <c r="CY177" s="59">
        <f ca="1">AVERAGE(OFFSET($CX$3,0,0,'Données projet'!$E$13+1,1))-AVERAGE(OFFSET($H$3,0,0,'Données projet'!$E$13+1,1))</f>
        <v>270.30888762640245</v>
      </c>
      <c r="CZ177" s="59">
        <f t="shared" si="150"/>
        <v>202.23783851977691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0.12367157560954505</v>
      </c>
      <c r="DG177" s="21">
        <f>EXP(-LN(2)/25)*DG176+(1-EXP(-LN(2)/25))/(LN(2)/25)*Calculateur!DB177*Calculateur!DD177*VLOOKUP('Données projet'!$B$13,Paramètres!$A$1:$I$89,3,0)*0.475*44/12</f>
        <v>0.22688360347132366</v>
      </c>
      <c r="DH177" s="21">
        <f>EXP(-LN(2)/2)*DH176+(1-EXP(-LN(2)/2))/(LN(2)/2)*DB177*DE177*VLOOKUP('Données projet'!$B$13,Paramètres!$A$1:$I$89,3,0)*0.475*44/12</f>
        <v>3.9159621883528959E-21</v>
      </c>
      <c r="DI177" s="22">
        <f t="shared" si="175"/>
        <v>0.3505551790808687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433.00000000000011</v>
      </c>
      <c r="DP177" s="17">
        <f>DO177*VLOOKUP('Données projet'!$B$14,Paramètres!$A$1:$I$89,3,0)*VLOOKUP('Données projet'!$B$14,Paramètres!$A$1:$I$89,5,0)</f>
        <v>258.93400000000008</v>
      </c>
      <c r="DQ177" s="13">
        <f t="shared" si="176"/>
        <v>62.495095530116075</v>
      </c>
      <c r="DR177" s="20">
        <f t="shared" si="177"/>
        <v>559.82234138161891</v>
      </c>
      <c r="DS177" s="59">
        <f t="shared" si="125"/>
        <v>853.15567471495228</v>
      </c>
      <c r="DT177" s="59">
        <f ca="1">AVERAGE(OFFSET($DS$3,0,0,'Données projet'!$E$14+1,1))-AVERAGE(OFFSET($H$3,0,0,'Données projet'!$E$14+1,1))</f>
        <v>221.14988592347311</v>
      </c>
      <c r="DU177" s="59">
        <f t="shared" si="152"/>
        <v>179.09262081171607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0.13191634731684812</v>
      </c>
      <c r="EB177" s="21">
        <f>EXP(-LN(2)/25)*EB176+(1-EXP(-LN(2)/25))/(LN(2)/25)*Calculateur!DW177*Calculateur!DY177*VLOOKUP('Données projet'!$B$14,Paramètres!$A$1:$I$89,3,0)*0.475*44/12</f>
        <v>0.18896806186697823</v>
      </c>
      <c r="EC177" s="21">
        <f>EXP(-LN(2)/2)*EC176+(1-EXP(-LN(2)/2))/(LN(2)/2)*DW177*DZ177*VLOOKUP('Données projet'!$B$14,Paramètres!$A$1:$I$89,3,0)*0.475*44/12</f>
        <v>4.1292342709222299E-21</v>
      </c>
      <c r="ED177" s="22">
        <f t="shared" si="178"/>
        <v>0.32088440918382632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2.2737367544323206E-13</v>
      </c>
      <c r="EK177" s="17">
        <f>EJ177*VLOOKUP('Données projet'!$B$15,Paramètres!$A$1:$I$89,3,0)*VLOOKUP('Données projet'!$B$15,Paramètres!$A$1:$I$89,5,0)</f>
        <v>1.2414602679200471E-13</v>
      </c>
      <c r="EL177" s="13">
        <f t="shared" si="179"/>
        <v>1.8186582995804361E-12</v>
      </c>
      <c r="EM177" s="20">
        <f t="shared" si="180"/>
        <v>3.3837175350986671E-12</v>
      </c>
      <c r="EN177" s="59">
        <f t="shared" si="128"/>
        <v>293.33333333333672</v>
      </c>
      <c r="EO177" s="59">
        <f ca="1">AVERAGE(OFFSET($EN$3,0,0,'Données projet'!$E$15+1,1))-AVERAGE(OFFSET($H$3,0,0,'Données projet'!$E$15+1,1))</f>
        <v>168.72306536277267</v>
      </c>
      <c r="EP177" s="59">
        <f t="shared" si="154"/>
        <v>203.35476578922339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0.1756494841990639</v>
      </c>
      <c r="EW177" s="21">
        <f>EXP(-LN(2)/25)*EW176+(1-EXP(-LN(2)/25))/(LN(2)/25)*Calculateur!ER177*Calculateur!ET177*VLOOKUP('Données projet'!$B$15,Paramètres!$A$1:$I$89,3,0)*0.475*44/12</f>
        <v>0.42414284014193582</v>
      </c>
      <c r="EX177" s="21">
        <f>EXP(-LN(2)/2)*EX176+(1-EXP(-LN(2)/2))/(LN(2)/2)*ER177*EU177*VLOOKUP('Données projet'!$B$15,Paramètres!$A$1:$I$89,3,0)*0.475*44/12</f>
        <v>4.2402144549190843E-21</v>
      </c>
      <c r="EY177" s="22">
        <f t="shared" si="181"/>
        <v>0.59979232434099972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3.4106051316484809E-13</v>
      </c>
      <c r="FF177" s="17">
        <f>FE177*VLOOKUP('Données projet'!$B$16,Paramètres!$A$1:$I$89,3,0)*VLOOKUP('Données projet'!$B$16,Paramètres!$A$1:$I$89,5,0)</f>
        <v>1.8621904018800707E-13</v>
      </c>
      <c r="FG177" s="13">
        <f t="shared" si="182"/>
        <v>2.6022279988572714E-12</v>
      </c>
      <c r="FH177" s="20">
        <f t="shared" si="183"/>
        <v>4.8565452596705266E-12</v>
      </c>
      <c r="FI177" s="59">
        <f t="shared" si="131"/>
        <v>293.33333333333815</v>
      </c>
      <c r="FJ177" s="59">
        <f ca="1">AVERAGE(OFFSET($FI$3,0,0,'Données projet'!$E$16+1,1))-AVERAGE(OFFSET($H$3,0,0,'Données projet'!$E$16+1,1))</f>
        <v>127.76128532861486</v>
      </c>
      <c r="FK177" s="59">
        <f t="shared" si="156"/>
        <v>157.52303491639736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>
        <f>EXP(-LN(2)/35)*FQ176+(1-EXP(-LN(2)/35))/(LN(2)/35)*FM177*FN177*VLOOKUP('Données projet'!$B$16,Paramètres!$A$1:$I$89,3,0)*0.475*44/12</f>
        <v>0.14051958735925116</v>
      </c>
      <c r="FR177" s="21">
        <f>EXP(-LN(2)/25)*FR176+(1-EXP(-LN(2)/25))/(LN(2)/25)*Calculateur!FM177*Calculateur!FO177*VLOOKUP('Données projet'!$B$16,Paramètres!$A$1:$I$89,3,0)*0.475*44/12</f>
        <v>0.30117655723924458</v>
      </c>
      <c r="FS177" s="21">
        <f>EXP(-LN(2)/2)*FS176+(1-EXP(-LN(2)/2))/(LN(2)/2)*FM177*FP177*VLOOKUP('Données projet'!$B$16,Paramètres!$A$1:$I$89,3,0)*0.475*44/12</f>
        <v>3.366398914571103E-21</v>
      </c>
      <c r="FT177" s="22">
        <f t="shared" si="184"/>
        <v>0.44169614459849571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-5.6843418860808015E-13</v>
      </c>
      <c r="O178" s="13">
        <f>N178*VLOOKUP('Données projet'!$B$9,Paramètres!$A$1:$I$89,3,0)*VLOOKUP('Données projet'!$B$9,Paramètres!$A$1:$I$89,5,0)</f>
        <v>-5.1431925385259092E-13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153.45079678708987</v>
      </c>
      <c r="T178" s="59">
        <f t="shared" si="142"/>
        <v>115.4217868409637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0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5.1752136752136737</v>
      </c>
      <c r="AI178" s="13">
        <f>IF('Données projet'!$A$62&gt;35,AI177+AH178-AQ177,IF(A178&lt;'Données projet'!$A$62,$AF$205^A178,IF(A178='Données projet'!$A$62,'Données projet'!$B$62,AI177+AH178-AQ177)))</f>
        <v>286.44444444444463</v>
      </c>
      <c r="AJ178" s="13">
        <f>AI178*VLOOKUP('Données projet'!$B$10,Paramètres!$A$1:$I$89,3,0)*VLOOKUP('Données projet'!$B$10,Paramètres!$A$1:$I$89,5,0)</f>
        <v>259.17493333333351</v>
      </c>
      <c r="AK178" s="13">
        <f t="shared" si="164"/>
        <v>62.546474564867154</v>
      </c>
      <c r="AL178" s="20">
        <f t="shared" si="165"/>
        <v>560.33145208936605</v>
      </c>
      <c r="AM178" s="59">
        <f t="shared" si="113"/>
        <v>853.66478542269942</v>
      </c>
      <c r="AN178" s="59">
        <f ca="1">AVERAGE(OFFSET($AM$3,0,0,'Données projet'!$E$10+1,1))-AVERAGE(OFFSET($H$3,0,0,'Données projet'!$E$10+1,1))</f>
        <v>123.92486590666675</v>
      </c>
      <c r="AO178" s="59">
        <f t="shared" si="144"/>
        <v>54.404493017418986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1.1368683772161603E-13</v>
      </c>
      <c r="BE178" s="13">
        <f>BD178*VLOOKUP('Données projet'!$B$11,Paramètres!$A$1:$I$89,3,0)*VLOOKUP('Données projet'!$B$11,Paramètres!$A$1:$I$89,5,0)</f>
        <v>6.3550942286383367E-14</v>
      </c>
      <c r="BF178" s="13">
        <f t="shared" si="167"/>
        <v>1.0064464192543978E-12</v>
      </c>
      <c r="BG178" s="20">
        <f t="shared" si="168"/>
        <v>1.8635787380168604E-12</v>
      </c>
      <c r="BH178" s="59">
        <f t="shared" si="116"/>
        <v>293.33333333333519</v>
      </c>
      <c r="BI178" s="59">
        <f ca="1">AVERAGE(OFFSET($BH$3,0,0,'Données projet'!$E$11+1,1))-AVERAGE(OFFSET($H$3,0,0,'Données projet'!$E$11+1,1))</f>
        <v>224.7049802939942</v>
      </c>
      <c r="BJ178" s="59">
        <f t="shared" si="146"/>
        <v>203.48513862195352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0.12630092959527475</v>
      </c>
      <c r="BQ178" s="21">
        <f>EXP(-LN(2)/25)*BQ177+(1-EXP(-LN(2)/25))/(LN(2)/25)*Calculateur!BL178*Calculateur!BN178*VLOOKUP('Données projet'!$B$11,Paramètres!$A$1:$I$89,3,0)*0.475*44/12</f>
        <v>0.3504342603783514</v>
      </c>
      <c r="BR178" s="21">
        <f>EXP(-LN(2)/2)*BR177+(1-EXP(-LN(2)/2))/(LN(2)/2)*BL178*BO178*VLOOKUP('Données projet'!$B$11,Paramètres!$A$1:$I$89,3,0)*0.475*44/12</f>
        <v>1.3417234663442762E-21</v>
      </c>
      <c r="BS178" s="22">
        <f t="shared" si="169"/>
        <v>0.47673518997362618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6.2527760746888816E-13</v>
      </c>
      <c r="BZ178" s="13">
        <f>BY178*VLOOKUP('Données projet'!$B$12,Paramètres!$A$1:$I$89,3,0)*VLOOKUP('Données projet'!$B$12,Paramètres!$A$1:$I$89,5,0)</f>
        <v>3.4953018257510848E-13</v>
      </c>
      <c r="CA178" s="13">
        <f t="shared" si="170"/>
        <v>4.5391562386470354E-12</v>
      </c>
      <c r="CB178" s="20">
        <f t="shared" si="171"/>
        <v>8.5144621836285662E-12</v>
      </c>
      <c r="CC178" s="59">
        <f t="shared" si="119"/>
        <v>293.33333333334184</v>
      </c>
      <c r="CD178" s="59">
        <f ca="1">AVERAGE(OFFSET($CC$3,0,0,'Données projet'!$E$12+1,1))-AVERAGE(OFFSET($H$3,0,0,'Données projet'!$E$12+1,1))</f>
        <v>190.08613104982993</v>
      </c>
      <c r="CE178" s="59">
        <f t="shared" si="148"/>
        <v>180.55054525447781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0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497</v>
      </c>
      <c r="CU178" s="17">
        <f>CT178*VLOOKUP('Données projet'!$B$13,Paramètres!$A$1:$I$89,3,0)*VLOOKUP('Données projet'!$B$13,Paramètres!$A$1:$I$89,5,0)</f>
        <v>297.20600000000002</v>
      </c>
      <c r="CV178" s="13">
        <f t="shared" si="173"/>
        <v>70.590415164571112</v>
      </c>
      <c r="CW178" s="20">
        <f t="shared" si="174"/>
        <v>640.57875641162809</v>
      </c>
      <c r="CX178" s="59">
        <f t="shared" si="122"/>
        <v>933.91208974496135</v>
      </c>
      <c r="CY178" s="59">
        <f ca="1">AVERAGE(OFFSET($CX$3,0,0,'Données projet'!$E$13+1,1))-AVERAGE(OFFSET($H$3,0,0,'Données projet'!$E$13+1,1))</f>
        <v>270.30888762640245</v>
      </c>
      <c r="CZ178" s="59">
        <f t="shared" si="150"/>
        <v>202.23783851977691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0.12124645144405467</v>
      </c>
      <c r="DG178" s="21">
        <f>EXP(-LN(2)/25)*DG177+(1-EXP(-LN(2)/25))/(LN(2)/25)*Calculateur!DB178*Calculateur!DD178*VLOOKUP('Données projet'!$B$13,Paramètres!$A$1:$I$89,3,0)*0.475*44/12</f>
        <v>0.22067945940311015</v>
      </c>
      <c r="DH178" s="21">
        <f>EXP(-LN(2)/2)*DH177+(1-EXP(-LN(2)/2))/(LN(2)/2)*DB178*DE178*VLOOKUP('Données projet'!$B$13,Paramètres!$A$1:$I$89,3,0)*0.475*44/12</f>
        <v>2.769003418254445E-21</v>
      </c>
      <c r="DI178" s="22">
        <f t="shared" si="175"/>
        <v>0.34192591084716484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433.00000000000011</v>
      </c>
      <c r="DP178" s="17">
        <f>DO178*VLOOKUP('Données projet'!$B$14,Paramètres!$A$1:$I$89,3,0)*VLOOKUP('Données projet'!$B$14,Paramètres!$A$1:$I$89,5,0)</f>
        <v>258.93400000000008</v>
      </c>
      <c r="DQ178" s="13">
        <f t="shared" si="176"/>
        <v>62.495095530116075</v>
      </c>
      <c r="DR178" s="20">
        <f t="shared" si="177"/>
        <v>559.82234138161891</v>
      </c>
      <c r="DS178" s="59">
        <f t="shared" si="125"/>
        <v>853.15567471495228</v>
      </c>
      <c r="DT178" s="59">
        <f ca="1">AVERAGE(OFFSET($DS$3,0,0,'Données projet'!$E$14+1,1))-AVERAGE(OFFSET($H$3,0,0,'Données projet'!$E$14+1,1))</f>
        <v>221.14988592347311</v>
      </c>
      <c r="DU178" s="59">
        <f t="shared" si="152"/>
        <v>179.09262081171607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0.12932954820699172</v>
      </c>
      <c r="EB178" s="21">
        <f>EXP(-LN(2)/25)*EB177+(1-EXP(-LN(2)/25))/(LN(2)/25)*Calculateur!DW178*Calculateur!DY178*VLOOKUP('Données projet'!$B$14,Paramètres!$A$1:$I$89,3,0)*0.475*44/12</f>
        <v>0.18380072027782723</v>
      </c>
      <c r="EC178" s="21">
        <f>EXP(-LN(2)/2)*EC177+(1-EXP(-LN(2)/2))/(LN(2)/2)*DW178*DZ178*VLOOKUP('Données projet'!$B$14,Paramètres!$A$1:$I$89,3,0)*0.475*44/12</f>
        <v>2.9198095540769984E-21</v>
      </c>
      <c r="ED178" s="22">
        <f t="shared" si="178"/>
        <v>0.31313026848481895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2.2737367544323206E-13</v>
      </c>
      <c r="EK178" s="17">
        <f>EJ178*VLOOKUP('Données projet'!$B$15,Paramètres!$A$1:$I$89,3,0)*VLOOKUP('Données projet'!$B$15,Paramètres!$A$1:$I$89,5,0)</f>
        <v>1.2414602679200471E-13</v>
      </c>
      <c r="EL178" s="13">
        <f t="shared" si="179"/>
        <v>1.8186582995804361E-12</v>
      </c>
      <c r="EM178" s="20">
        <f t="shared" si="180"/>
        <v>3.3837175350986671E-12</v>
      </c>
      <c r="EN178" s="59">
        <f t="shared" si="128"/>
        <v>293.33333333333672</v>
      </c>
      <c r="EO178" s="59">
        <f ca="1">AVERAGE(OFFSET($EN$3,0,0,'Données projet'!$E$15+1,1))-AVERAGE(OFFSET($H$3,0,0,'Données projet'!$E$15+1,1))</f>
        <v>168.72306536277267</v>
      </c>
      <c r="EP178" s="59">
        <f t="shared" si="154"/>
        <v>203.35476578922339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0.17220510494952684</v>
      </c>
      <c r="EW178" s="21">
        <f>EXP(-LN(2)/25)*EW177+(1-EXP(-LN(2)/25))/(LN(2)/25)*Calculateur!ER178*Calculateur!ET178*VLOOKUP('Données projet'!$B$15,Paramètres!$A$1:$I$89,3,0)*0.475*44/12</f>
        <v>0.412544631873552</v>
      </c>
      <c r="EX178" s="21">
        <f>EXP(-LN(2)/2)*EX177+(1-EXP(-LN(2)/2))/(LN(2)/2)*ER178*EU178*VLOOKUP('Données projet'!$B$15,Paramètres!$A$1:$I$89,3,0)*0.475*44/12</f>
        <v>2.9982843947585049E-21</v>
      </c>
      <c r="EY178" s="22">
        <f t="shared" si="181"/>
        <v>0.58474973682307885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3.4106051316484809E-13</v>
      </c>
      <c r="FF178" s="17">
        <f>FE178*VLOOKUP('Données projet'!$B$16,Paramètres!$A$1:$I$89,3,0)*VLOOKUP('Données projet'!$B$16,Paramètres!$A$1:$I$89,5,0)</f>
        <v>1.8621904018800707E-13</v>
      </c>
      <c r="FG178" s="13">
        <f t="shared" si="182"/>
        <v>2.6022279988572714E-12</v>
      </c>
      <c r="FH178" s="20">
        <f t="shared" si="183"/>
        <v>4.8565452596705266E-12</v>
      </c>
      <c r="FI178" s="59">
        <f t="shared" si="131"/>
        <v>293.33333333333815</v>
      </c>
      <c r="FJ178" s="59">
        <f ca="1">AVERAGE(OFFSET($FI$3,0,0,'Données projet'!$E$16+1,1))-AVERAGE(OFFSET($H$3,0,0,'Données projet'!$E$16+1,1))</f>
        <v>127.76128532861486</v>
      </c>
      <c r="FK178" s="59">
        <f t="shared" si="156"/>
        <v>157.52303491639736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>
        <f>EXP(-LN(2)/35)*FQ177+(1-EXP(-LN(2)/35))/(LN(2)/35)*FM178*FN178*VLOOKUP('Données projet'!$B$16,Paramètres!$A$1:$I$89,3,0)*0.475*44/12</f>
        <v>0.13776408395962153</v>
      </c>
      <c r="FR178" s="21">
        <f>EXP(-LN(2)/25)*FR177+(1-EXP(-LN(2)/25))/(LN(2)/25)*Calculateur!FM178*Calculateur!FO178*VLOOKUP('Données projet'!$B$16,Paramètres!$A$1:$I$89,3,0)*0.475*44/12</f>
        <v>0.29294086844335065</v>
      </c>
      <c r="FS178" s="21">
        <f>EXP(-LN(2)/2)*FS177+(1-EXP(-LN(2)/2))/(LN(2)/2)*FM178*FP178*VLOOKUP('Données projet'!$B$16,Paramètres!$A$1:$I$89,3,0)*0.475*44/12</f>
        <v>2.3804035006722601E-21</v>
      </c>
      <c r="FT178" s="22">
        <f t="shared" si="184"/>
        <v>0.43070495240297219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-5.6843418860808015E-13</v>
      </c>
      <c r="O179" s="13">
        <f>N179*VLOOKUP('Données projet'!$B$9,Paramètres!$A$1:$I$89,3,0)*VLOOKUP('Données projet'!$B$9,Paramètres!$A$1:$I$89,5,0)</f>
        <v>-5.1431925385259092E-13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153.45079678708987</v>
      </c>
      <c r="T179" s="59">
        <f t="shared" si="142"/>
        <v>115.4217868409637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0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5.1752136752136737</v>
      </c>
      <c r="AI179" s="13">
        <f>IF('Données projet'!$A$62&gt;35,AI178+AH179-AQ178,IF(A179&lt;'Données projet'!$A$62,$AF$205^A179,IF(A179='Données projet'!$A$62,'Données projet'!$B$62,AI178+AH179-AQ178)))</f>
        <v>291.61965811965831</v>
      </c>
      <c r="AJ179" s="13">
        <f>AI179*VLOOKUP('Données projet'!$B$10,Paramètres!$A$1:$I$89,3,0)*VLOOKUP('Données projet'!$B$10,Paramètres!$A$1:$I$89,5,0)</f>
        <v>263.85746666666682</v>
      </c>
      <c r="AK179" s="13">
        <f t="shared" si="164"/>
        <v>63.543927854389679</v>
      </c>
      <c r="AL179" s="20">
        <f t="shared" si="165"/>
        <v>570.22409545750668</v>
      </c>
      <c r="AM179" s="59">
        <f t="shared" si="113"/>
        <v>863.55742879084005</v>
      </c>
      <c r="AN179" s="59">
        <f ca="1">AVERAGE(OFFSET($AM$3,0,0,'Données projet'!$E$10+1,1))-AVERAGE(OFFSET($H$3,0,0,'Données projet'!$E$10+1,1))</f>
        <v>123.92486590666675</v>
      </c>
      <c r="AO179" s="59">
        <f t="shared" si="144"/>
        <v>54.404493017418986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1.1368683772161603E-13</v>
      </c>
      <c r="BE179" s="13">
        <f>BD179*VLOOKUP('Données projet'!$B$11,Paramètres!$A$1:$I$89,3,0)*VLOOKUP('Données projet'!$B$11,Paramètres!$A$1:$I$89,5,0)</f>
        <v>6.3550942286383367E-14</v>
      </c>
      <c r="BF179" s="13">
        <f t="shared" si="167"/>
        <v>1.0064464192543978E-12</v>
      </c>
      <c r="BG179" s="20">
        <f t="shared" si="168"/>
        <v>1.8635787380168604E-12</v>
      </c>
      <c r="BH179" s="59">
        <f t="shared" si="116"/>
        <v>293.33333333333519</v>
      </c>
      <c r="BI179" s="59">
        <f ca="1">AVERAGE(OFFSET($BH$3,0,0,'Données projet'!$E$11+1,1))-AVERAGE(OFFSET($H$3,0,0,'Données projet'!$E$11+1,1))</f>
        <v>224.7049802939942</v>
      </c>
      <c r="BJ179" s="59">
        <f t="shared" si="146"/>
        <v>203.48513862195352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0.1238242454018718</v>
      </c>
      <c r="BQ179" s="21">
        <f>EXP(-LN(2)/25)*BQ178+(1-EXP(-LN(2)/25))/(LN(2)/25)*Calculateur!BL179*Calculateur!BN179*VLOOKUP('Données projet'!$B$11,Paramètres!$A$1:$I$89,3,0)*0.475*44/12</f>
        <v>0.34085161709976858</v>
      </c>
      <c r="BR179" s="21">
        <f>EXP(-LN(2)/2)*BR178+(1-EXP(-LN(2)/2))/(LN(2)/2)*BL179*BO179*VLOOKUP('Données projet'!$B$11,Paramètres!$A$1:$I$89,3,0)*0.475*44/12</f>
        <v>9.4874176152915816E-22</v>
      </c>
      <c r="BS179" s="22">
        <f t="shared" si="169"/>
        <v>0.46467586250164039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6.2527760746888816E-13</v>
      </c>
      <c r="BZ179" s="13">
        <f>BY179*VLOOKUP('Données projet'!$B$12,Paramètres!$A$1:$I$89,3,0)*VLOOKUP('Données projet'!$B$12,Paramètres!$A$1:$I$89,5,0)</f>
        <v>3.4953018257510848E-13</v>
      </c>
      <c r="CA179" s="13">
        <f t="shared" si="170"/>
        <v>4.5391562386470354E-12</v>
      </c>
      <c r="CB179" s="20">
        <f t="shared" si="171"/>
        <v>8.5144621836285662E-12</v>
      </c>
      <c r="CC179" s="59">
        <f t="shared" si="119"/>
        <v>293.33333333334184</v>
      </c>
      <c r="CD179" s="59">
        <f ca="1">AVERAGE(OFFSET($CC$3,0,0,'Données projet'!$E$12+1,1))-AVERAGE(OFFSET($H$3,0,0,'Données projet'!$E$12+1,1))</f>
        <v>190.08613104982993</v>
      </c>
      <c r="CE179" s="59">
        <f t="shared" si="148"/>
        <v>180.55054525447781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0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497</v>
      </c>
      <c r="CU179" s="17">
        <f>CT179*VLOOKUP('Données projet'!$B$13,Paramètres!$A$1:$I$89,3,0)*VLOOKUP('Données projet'!$B$13,Paramètres!$A$1:$I$89,5,0)</f>
        <v>297.20600000000002</v>
      </c>
      <c r="CV179" s="13">
        <f t="shared" si="173"/>
        <v>70.590415164571112</v>
      </c>
      <c r="CW179" s="20">
        <f t="shared" si="174"/>
        <v>640.57875641162809</v>
      </c>
      <c r="CX179" s="59">
        <f t="shared" si="122"/>
        <v>933.91208974496135</v>
      </c>
      <c r="CY179" s="59">
        <f ca="1">AVERAGE(OFFSET($CX$3,0,0,'Données projet'!$E$13+1,1))-AVERAGE(OFFSET($H$3,0,0,'Données projet'!$E$13+1,1))</f>
        <v>270.30888762640245</v>
      </c>
      <c r="CZ179" s="59">
        <f t="shared" si="150"/>
        <v>202.23783851977691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0.11886888248426988</v>
      </c>
      <c r="DG179" s="21">
        <f>EXP(-LN(2)/25)*DG178+(1-EXP(-LN(2)/25))/(LN(2)/25)*Calculateur!DB179*Calculateur!DD179*VLOOKUP('Données projet'!$B$13,Paramètres!$A$1:$I$89,3,0)*0.475*44/12</f>
        <v>0.2146449679807037</v>
      </c>
      <c r="DH179" s="21">
        <f>EXP(-LN(2)/2)*DH178+(1-EXP(-LN(2)/2))/(LN(2)/2)*DB179*DE179*VLOOKUP('Données projet'!$B$13,Paramètres!$A$1:$I$89,3,0)*0.475*44/12</f>
        <v>1.9579810941764479E-21</v>
      </c>
      <c r="DI179" s="22">
        <f t="shared" si="175"/>
        <v>0.33351385046497362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433.00000000000011</v>
      </c>
      <c r="DP179" s="17">
        <f>DO179*VLOOKUP('Données projet'!$B$14,Paramètres!$A$1:$I$89,3,0)*VLOOKUP('Données projet'!$B$14,Paramètres!$A$1:$I$89,5,0)</f>
        <v>258.93400000000008</v>
      </c>
      <c r="DQ179" s="13">
        <f t="shared" si="176"/>
        <v>62.495095530116075</v>
      </c>
      <c r="DR179" s="20">
        <f t="shared" si="177"/>
        <v>559.82234138161891</v>
      </c>
      <c r="DS179" s="59">
        <f t="shared" si="125"/>
        <v>853.15567471495228</v>
      </c>
      <c r="DT179" s="59">
        <f ca="1">AVERAGE(OFFSET($DS$3,0,0,'Données projet'!$E$14+1,1))-AVERAGE(OFFSET($H$3,0,0,'Données projet'!$E$14+1,1))</f>
        <v>221.14988592347311</v>
      </c>
      <c r="DU179" s="59">
        <f t="shared" si="152"/>
        <v>179.09262081171607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0.12679347464988794</v>
      </c>
      <c r="EB179" s="21">
        <f>EXP(-LN(2)/25)*EB178+(1-EXP(-LN(2)/25))/(LN(2)/25)*Calculateur!DW179*Calculateur!DY179*VLOOKUP('Données projet'!$B$14,Paramètres!$A$1:$I$89,3,0)*0.475*44/12</f>
        <v>0.17877467991617024</v>
      </c>
      <c r="EC179" s="21">
        <f>EXP(-LN(2)/2)*EC178+(1-EXP(-LN(2)/2))/(LN(2)/2)*DW179*DZ179*VLOOKUP('Données projet'!$B$14,Paramètres!$A$1:$I$89,3,0)*0.475*44/12</f>
        <v>2.064617135461115E-21</v>
      </c>
      <c r="ED179" s="22">
        <f t="shared" si="178"/>
        <v>0.30556815456605818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2.2737367544323206E-13</v>
      </c>
      <c r="EK179" s="17">
        <f>EJ179*VLOOKUP('Données projet'!$B$15,Paramètres!$A$1:$I$89,3,0)*VLOOKUP('Données projet'!$B$15,Paramètres!$A$1:$I$89,5,0)</f>
        <v>1.2414602679200471E-13</v>
      </c>
      <c r="EL179" s="13">
        <f t="shared" si="179"/>
        <v>1.8186582995804361E-12</v>
      </c>
      <c r="EM179" s="20">
        <f t="shared" si="180"/>
        <v>3.3837175350986671E-12</v>
      </c>
      <c r="EN179" s="59">
        <f t="shared" si="128"/>
        <v>293.33333333333672</v>
      </c>
      <c r="EO179" s="59">
        <f ca="1">AVERAGE(OFFSET($EN$3,0,0,'Données projet'!$E$15+1,1))-AVERAGE(OFFSET($H$3,0,0,'Données projet'!$E$15+1,1))</f>
        <v>168.72306536277267</v>
      </c>
      <c r="EP179" s="59">
        <f t="shared" si="154"/>
        <v>203.35476578922339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0.16882826787620933</v>
      </c>
      <c r="EW179" s="21">
        <f>EXP(-LN(2)/25)*EW178+(1-EXP(-LN(2)/25))/(LN(2)/25)*Calculateur!ER179*Calculateur!ET179*VLOOKUP('Données projet'!$B$15,Paramètres!$A$1:$I$89,3,0)*0.475*44/12</f>
        <v>0.4012635772201904</v>
      </c>
      <c r="EX179" s="21">
        <f>EXP(-LN(2)/2)*EX178+(1-EXP(-LN(2)/2))/(LN(2)/2)*ER179*EU179*VLOOKUP('Données projet'!$B$15,Paramètres!$A$1:$I$89,3,0)*0.475*44/12</f>
        <v>2.1201072274595422E-21</v>
      </c>
      <c r="EY179" s="22">
        <f t="shared" si="181"/>
        <v>0.57009184509639976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3.4106051316484809E-13</v>
      </c>
      <c r="FF179" s="17">
        <f>FE179*VLOOKUP('Données projet'!$B$16,Paramètres!$A$1:$I$89,3,0)*VLOOKUP('Données projet'!$B$16,Paramètres!$A$1:$I$89,5,0)</f>
        <v>1.8621904018800707E-13</v>
      </c>
      <c r="FG179" s="13">
        <f t="shared" si="182"/>
        <v>2.6022279988572714E-12</v>
      </c>
      <c r="FH179" s="20">
        <f t="shared" si="183"/>
        <v>4.8565452596705266E-12</v>
      </c>
      <c r="FI179" s="59">
        <f t="shared" si="131"/>
        <v>293.33333333333815</v>
      </c>
      <c r="FJ179" s="59">
        <f ca="1">AVERAGE(OFFSET($FI$3,0,0,'Données projet'!$E$16+1,1))-AVERAGE(OFFSET($H$3,0,0,'Données projet'!$E$16+1,1))</f>
        <v>127.76128532861486</v>
      </c>
      <c r="FK179" s="59">
        <f t="shared" si="156"/>
        <v>157.52303491639736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>
        <f>EXP(-LN(2)/35)*FQ178+(1-EXP(-LN(2)/35))/(LN(2)/35)*FM179*FN179*VLOOKUP('Données projet'!$B$16,Paramètres!$A$1:$I$89,3,0)*0.475*44/12</f>
        <v>0.1350626143009675</v>
      </c>
      <c r="FR179" s="21">
        <f>EXP(-LN(2)/25)*FR178+(1-EXP(-LN(2)/25))/(LN(2)/25)*Calculateur!FM179*Calculateur!FO179*VLOOKUP('Données projet'!$B$16,Paramètres!$A$1:$I$89,3,0)*0.475*44/12</f>
        <v>0.28493038499067647</v>
      </c>
      <c r="FS179" s="21">
        <f>EXP(-LN(2)/2)*FS178+(1-EXP(-LN(2)/2))/(LN(2)/2)*FM179*FP179*VLOOKUP('Données projet'!$B$16,Paramètres!$A$1:$I$89,3,0)*0.475*44/12</f>
        <v>1.6831994572855517E-21</v>
      </c>
      <c r="FT179" s="22">
        <f t="shared" si="184"/>
        <v>0.41999299929164396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-5.6843418860808015E-13</v>
      </c>
      <c r="O180" s="13">
        <f>N180*VLOOKUP('Données projet'!$B$9,Paramètres!$A$1:$I$89,3,0)*VLOOKUP('Données projet'!$B$9,Paramètres!$A$1:$I$89,5,0)</f>
        <v>-5.1431925385259092E-13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153.45079678708987</v>
      </c>
      <c r="T180" s="59">
        <f t="shared" si="142"/>
        <v>115.4217868409637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0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5.1752136752136737</v>
      </c>
      <c r="AI180" s="13">
        <f>IF('Données projet'!$A$62&gt;35,AI179+AH180-AQ179,IF(A180&lt;'Données projet'!$A$62,$AF$205^A180,IF(A180='Données projet'!$A$62,'Données projet'!$B$62,AI179+AH180-AQ179)))</f>
        <v>296.79487179487199</v>
      </c>
      <c r="AJ180" s="13">
        <f>AI180*VLOOKUP('Données projet'!$B$10,Paramètres!$A$1:$I$89,3,0)*VLOOKUP('Données projet'!$B$10,Paramètres!$A$1:$I$89,5,0)</f>
        <v>268.54000000000019</v>
      </c>
      <c r="AK180" s="13">
        <f t="shared" si="164"/>
        <v>64.539322730250021</v>
      </c>
      <c r="AL180" s="20">
        <f t="shared" si="165"/>
        <v>580.11315375518586</v>
      </c>
      <c r="AM180" s="59">
        <f t="shared" si="113"/>
        <v>873.44648708851923</v>
      </c>
      <c r="AN180" s="59">
        <f ca="1">AVERAGE(OFFSET($AM$3,0,0,'Données projet'!$E$10+1,1))-AVERAGE(OFFSET($H$3,0,0,'Données projet'!$E$10+1,1))</f>
        <v>123.92486590666675</v>
      </c>
      <c r="AO180" s="59">
        <f t="shared" si="144"/>
        <v>54.404493017418986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1.1368683772161603E-13</v>
      </c>
      <c r="BE180" s="13">
        <f>BD180*VLOOKUP('Données projet'!$B$11,Paramètres!$A$1:$I$89,3,0)*VLOOKUP('Données projet'!$B$11,Paramètres!$A$1:$I$89,5,0)</f>
        <v>6.3550942286383367E-14</v>
      </c>
      <c r="BF180" s="13">
        <f t="shared" si="167"/>
        <v>1.0064464192543978E-12</v>
      </c>
      <c r="BG180" s="20">
        <f t="shared" si="168"/>
        <v>1.8635787380168604E-12</v>
      </c>
      <c r="BH180" s="59">
        <f t="shared" si="116"/>
        <v>293.33333333333519</v>
      </c>
      <c r="BI180" s="59">
        <f ca="1">AVERAGE(OFFSET($BH$3,0,0,'Données projet'!$E$11+1,1))-AVERAGE(OFFSET($H$3,0,0,'Données projet'!$E$11+1,1))</f>
        <v>224.7049802939942</v>
      </c>
      <c r="BJ180" s="59">
        <f t="shared" si="146"/>
        <v>203.48513862195352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0.12139612747487329</v>
      </c>
      <c r="BQ180" s="21">
        <f>EXP(-LN(2)/25)*BQ179+(1-EXP(-LN(2)/25))/(LN(2)/25)*Calculateur!BL180*Calculateur!BN180*VLOOKUP('Données projet'!$B$11,Paramètres!$A$1:$I$89,3,0)*0.475*44/12</f>
        <v>0.33153101170556787</v>
      </c>
      <c r="BR180" s="21">
        <f>EXP(-LN(2)/2)*BR179+(1-EXP(-LN(2)/2))/(LN(2)/2)*BL180*BO180*VLOOKUP('Données projet'!$B$11,Paramètres!$A$1:$I$89,3,0)*0.475*44/12</f>
        <v>6.7086173317213809E-22</v>
      </c>
      <c r="BS180" s="22">
        <f t="shared" si="169"/>
        <v>0.45292713918044114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6.2527760746888816E-13</v>
      </c>
      <c r="BZ180" s="13">
        <f>BY180*VLOOKUP('Données projet'!$B$12,Paramètres!$A$1:$I$89,3,0)*VLOOKUP('Données projet'!$B$12,Paramètres!$A$1:$I$89,5,0)</f>
        <v>3.4953018257510848E-13</v>
      </c>
      <c r="CA180" s="13">
        <f t="shared" si="170"/>
        <v>4.5391562386470354E-12</v>
      </c>
      <c r="CB180" s="20">
        <f t="shared" si="171"/>
        <v>8.5144621836285662E-12</v>
      </c>
      <c r="CC180" s="59">
        <f t="shared" si="119"/>
        <v>293.33333333334184</v>
      </c>
      <c r="CD180" s="59">
        <f ca="1">AVERAGE(OFFSET($CC$3,0,0,'Données projet'!$E$12+1,1))-AVERAGE(OFFSET($H$3,0,0,'Données projet'!$E$12+1,1))</f>
        <v>190.08613104982993</v>
      </c>
      <c r="CE180" s="59">
        <f t="shared" si="148"/>
        <v>180.55054525447781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0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497</v>
      </c>
      <c r="CU180" s="17">
        <f>CT180*VLOOKUP('Données projet'!$B$13,Paramètres!$A$1:$I$89,3,0)*VLOOKUP('Données projet'!$B$13,Paramètres!$A$1:$I$89,5,0)</f>
        <v>297.20600000000002</v>
      </c>
      <c r="CV180" s="13">
        <f t="shared" si="173"/>
        <v>70.590415164571112</v>
      </c>
      <c r="CW180" s="20">
        <f t="shared" si="174"/>
        <v>640.57875641162809</v>
      </c>
      <c r="CX180" s="59">
        <f t="shared" si="122"/>
        <v>933.91208974496135</v>
      </c>
      <c r="CY180" s="59">
        <f ca="1">AVERAGE(OFFSET($CX$3,0,0,'Données projet'!$E$13+1,1))-AVERAGE(OFFSET($H$3,0,0,'Données projet'!$E$13+1,1))</f>
        <v>270.30888762640245</v>
      </c>
      <c r="CZ180" s="59">
        <f t="shared" si="150"/>
        <v>202.23783851977691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0.11653793620161261</v>
      </c>
      <c r="DG180" s="21">
        <f>EXP(-LN(2)/25)*DG179+(1-EXP(-LN(2)/25))/(LN(2)/25)*Calculateur!DB180*Calculateur!DD180*VLOOKUP('Données projet'!$B$13,Paramètres!$A$1:$I$89,3,0)*0.475*44/12</f>
        <v>0.20877549004358306</v>
      </c>
      <c r="DH180" s="21">
        <f>EXP(-LN(2)/2)*DH179+(1-EXP(-LN(2)/2))/(LN(2)/2)*DB180*DE180*VLOOKUP('Données projet'!$B$13,Paramètres!$A$1:$I$89,3,0)*0.475*44/12</f>
        <v>1.3845017091272225E-21</v>
      </c>
      <c r="DI180" s="22">
        <f t="shared" si="175"/>
        <v>0.32531342624519566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433.00000000000011</v>
      </c>
      <c r="DP180" s="17">
        <f>DO180*VLOOKUP('Données projet'!$B$14,Paramètres!$A$1:$I$89,3,0)*VLOOKUP('Données projet'!$B$14,Paramètres!$A$1:$I$89,5,0)</f>
        <v>258.93400000000008</v>
      </c>
      <c r="DQ180" s="13">
        <f t="shared" si="176"/>
        <v>62.495095530116075</v>
      </c>
      <c r="DR180" s="20">
        <f t="shared" si="177"/>
        <v>559.82234138161891</v>
      </c>
      <c r="DS180" s="59">
        <f t="shared" si="125"/>
        <v>853.15567471495228</v>
      </c>
      <c r="DT180" s="59">
        <f ca="1">AVERAGE(OFFSET($DS$3,0,0,'Données projet'!$E$14+1,1))-AVERAGE(OFFSET($H$3,0,0,'Données projet'!$E$14+1,1))</f>
        <v>221.14988592347311</v>
      </c>
      <c r="DU180" s="59">
        <f t="shared" si="152"/>
        <v>179.09262081171607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0.12430713194838684</v>
      </c>
      <c r="EB180" s="21">
        <f>EXP(-LN(2)/25)*EB179+(1-EXP(-LN(2)/25))/(LN(2)/25)*Calculateur!DW180*Calculateur!DY180*VLOOKUP('Données projet'!$B$14,Paramètres!$A$1:$I$89,3,0)*0.475*44/12</f>
        <v>0.17388607689251073</v>
      </c>
      <c r="EC180" s="21">
        <f>EXP(-LN(2)/2)*EC179+(1-EXP(-LN(2)/2))/(LN(2)/2)*DW180*DZ180*VLOOKUP('Données projet'!$B$14,Paramètres!$A$1:$I$89,3,0)*0.475*44/12</f>
        <v>1.4599047770384992E-21</v>
      </c>
      <c r="ED180" s="22">
        <f t="shared" si="178"/>
        <v>0.29819320884089756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2.2737367544323206E-13</v>
      </c>
      <c r="EK180" s="17">
        <f>EJ180*VLOOKUP('Données projet'!$B$15,Paramètres!$A$1:$I$89,3,0)*VLOOKUP('Données projet'!$B$15,Paramètres!$A$1:$I$89,5,0)</f>
        <v>1.2414602679200471E-13</v>
      </c>
      <c r="EL180" s="13">
        <f t="shared" si="179"/>
        <v>1.8186582995804361E-12</v>
      </c>
      <c r="EM180" s="20">
        <f t="shared" si="180"/>
        <v>3.3837175350986671E-12</v>
      </c>
      <c r="EN180" s="59">
        <f t="shared" si="128"/>
        <v>293.33333333333672</v>
      </c>
      <c r="EO180" s="59">
        <f ca="1">AVERAGE(OFFSET($EN$3,0,0,'Données projet'!$E$15+1,1))-AVERAGE(OFFSET($H$3,0,0,'Données projet'!$E$15+1,1))</f>
        <v>168.72306536277267</v>
      </c>
      <c r="EP180" s="59">
        <f t="shared" si="154"/>
        <v>203.35476578922339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0.16551764851823234</v>
      </c>
      <c r="EW180" s="21">
        <f>EXP(-LN(2)/25)*EW179+(1-EXP(-LN(2)/25))/(LN(2)/25)*Calculateur!ER180*Calculateur!ET180*VLOOKUP('Données projet'!$B$15,Paramètres!$A$1:$I$89,3,0)*0.475*44/12</f>
        <v>0.39029100359956986</v>
      </c>
      <c r="EX180" s="21">
        <f>EXP(-LN(2)/2)*EX179+(1-EXP(-LN(2)/2))/(LN(2)/2)*ER180*EU180*VLOOKUP('Données projet'!$B$15,Paramètres!$A$1:$I$89,3,0)*0.475*44/12</f>
        <v>1.4991421973792525E-21</v>
      </c>
      <c r="EY180" s="22">
        <f t="shared" si="181"/>
        <v>0.55580865211780217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3.4106051316484809E-13</v>
      </c>
      <c r="FF180" s="17">
        <f>FE180*VLOOKUP('Données projet'!$B$16,Paramètres!$A$1:$I$89,3,0)*VLOOKUP('Données projet'!$B$16,Paramètres!$A$1:$I$89,5,0)</f>
        <v>1.8621904018800707E-13</v>
      </c>
      <c r="FG180" s="13">
        <f t="shared" si="182"/>
        <v>2.6022279988572714E-12</v>
      </c>
      <c r="FH180" s="20">
        <f t="shared" si="183"/>
        <v>4.8565452596705266E-12</v>
      </c>
      <c r="FI180" s="59">
        <f t="shared" si="131"/>
        <v>293.33333333333815</v>
      </c>
      <c r="FJ180" s="59">
        <f ca="1">AVERAGE(OFFSET($FI$3,0,0,'Données projet'!$E$16+1,1))-AVERAGE(OFFSET($H$3,0,0,'Données projet'!$E$16+1,1))</f>
        <v>127.76128532861486</v>
      </c>
      <c r="FK180" s="59">
        <f t="shared" si="156"/>
        <v>157.52303491639736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>
        <f>EXP(-LN(2)/35)*FQ179+(1-EXP(-LN(2)/35))/(LN(2)/35)*FM180*FN180*VLOOKUP('Données projet'!$B$16,Paramètres!$A$1:$I$89,3,0)*0.475*44/12</f>
        <v>0.1324141188145859</v>
      </c>
      <c r="FR180" s="21">
        <f>EXP(-LN(2)/25)*FR179+(1-EXP(-LN(2)/25))/(LN(2)/25)*Calculateur!FM180*Calculateur!FO180*VLOOKUP('Données projet'!$B$16,Paramètres!$A$1:$I$89,3,0)*0.475*44/12</f>
        <v>0.27713894862926869</v>
      </c>
      <c r="FS180" s="21">
        <f>EXP(-LN(2)/2)*FS179+(1-EXP(-LN(2)/2))/(LN(2)/2)*FM180*FP180*VLOOKUP('Données projet'!$B$16,Paramètres!$A$1:$I$89,3,0)*0.475*44/12</f>
        <v>1.1902017503361303E-21</v>
      </c>
      <c r="FT180" s="22">
        <f t="shared" si="184"/>
        <v>0.40955306744385456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-5.6843418860808015E-13</v>
      </c>
      <c r="O181" s="13">
        <f>N181*VLOOKUP('Données projet'!$B$9,Paramètres!$A$1:$I$89,3,0)*VLOOKUP('Données projet'!$B$9,Paramètres!$A$1:$I$89,5,0)</f>
        <v>-5.1431925385259092E-13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153.45079678708987</v>
      </c>
      <c r="T181" s="59">
        <f t="shared" si="142"/>
        <v>115.4217868409637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0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5.1752136752136737</v>
      </c>
      <c r="AI181" s="13">
        <f>IF('Données projet'!$A$62&gt;35,AI180+AH181-AQ180,IF(A181&lt;'Données projet'!$A$62,$AF$205^A181,IF(A181='Données projet'!$A$62,'Données projet'!$B$62,AI180+AH181-AQ180)))</f>
        <v>301.97008547008568</v>
      </c>
      <c r="AJ181" s="13">
        <f>AI181*VLOOKUP('Données projet'!$B$10,Paramètres!$A$1:$I$89,3,0)*VLOOKUP('Données projet'!$B$10,Paramètres!$A$1:$I$89,5,0)</f>
        <v>273.2225333333335</v>
      </c>
      <c r="AK181" s="13">
        <f t="shared" si="164"/>
        <v>65.532699226364855</v>
      </c>
      <c r="AL181" s="20">
        <f t="shared" si="165"/>
        <v>589.99869670814132</v>
      </c>
      <c r="AM181" s="59">
        <f t="shared" si="113"/>
        <v>883.33203004147458</v>
      </c>
      <c r="AN181" s="59">
        <f ca="1">AVERAGE(OFFSET($AM$3,0,0,'Données projet'!$E$10+1,1))-AVERAGE(OFFSET($H$3,0,0,'Données projet'!$E$10+1,1))</f>
        <v>123.92486590666675</v>
      </c>
      <c r="AO181" s="59">
        <f t="shared" si="144"/>
        <v>54.404493017418986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1.1368683772161603E-13</v>
      </c>
      <c r="BE181" s="13">
        <f>BD181*VLOOKUP('Données projet'!$B$11,Paramètres!$A$1:$I$89,3,0)*VLOOKUP('Données projet'!$B$11,Paramètres!$A$1:$I$89,5,0)</f>
        <v>6.3550942286383367E-14</v>
      </c>
      <c r="BF181" s="13">
        <f t="shared" si="167"/>
        <v>1.0064464192543978E-12</v>
      </c>
      <c r="BG181" s="20">
        <f t="shared" si="168"/>
        <v>1.8635787380168604E-12</v>
      </c>
      <c r="BH181" s="59">
        <f t="shared" si="116"/>
        <v>293.33333333333519</v>
      </c>
      <c r="BI181" s="59">
        <f ca="1">AVERAGE(OFFSET($BH$3,0,0,'Données projet'!$E$11+1,1))-AVERAGE(OFFSET($H$3,0,0,'Données projet'!$E$11+1,1))</f>
        <v>224.7049802939942</v>
      </c>
      <c r="BJ181" s="59">
        <f t="shared" si="146"/>
        <v>203.48513862195352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0.1190156234594175</v>
      </c>
      <c r="BQ181" s="21">
        <f>EXP(-LN(2)/25)*BQ180+(1-EXP(-LN(2)/25))/(LN(2)/25)*Calculateur!BL181*Calculateur!BN181*VLOOKUP('Données projet'!$B$11,Paramètres!$A$1:$I$89,3,0)*0.475*44/12</f>
        <v>0.32246527875602093</v>
      </c>
      <c r="BR181" s="21">
        <f>EXP(-LN(2)/2)*BR180+(1-EXP(-LN(2)/2))/(LN(2)/2)*BL181*BO181*VLOOKUP('Données projet'!$B$11,Paramètres!$A$1:$I$89,3,0)*0.475*44/12</f>
        <v>4.7437088076457908E-22</v>
      </c>
      <c r="BS181" s="22">
        <f t="shared" si="169"/>
        <v>0.44148090221543845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6.2527760746888816E-13</v>
      </c>
      <c r="BZ181" s="13">
        <f>BY181*VLOOKUP('Données projet'!$B$12,Paramètres!$A$1:$I$89,3,0)*VLOOKUP('Données projet'!$B$12,Paramètres!$A$1:$I$89,5,0)</f>
        <v>3.4953018257510848E-13</v>
      </c>
      <c r="CA181" s="13">
        <f t="shared" si="170"/>
        <v>4.5391562386470354E-12</v>
      </c>
      <c r="CB181" s="20">
        <f t="shared" si="171"/>
        <v>8.5144621836285662E-12</v>
      </c>
      <c r="CC181" s="59">
        <f t="shared" si="119"/>
        <v>293.33333333334184</v>
      </c>
      <c r="CD181" s="59">
        <f ca="1">AVERAGE(OFFSET($CC$3,0,0,'Données projet'!$E$12+1,1))-AVERAGE(OFFSET($H$3,0,0,'Données projet'!$E$12+1,1))</f>
        <v>190.08613104982993</v>
      </c>
      <c r="CE181" s="59">
        <f t="shared" si="148"/>
        <v>180.55054525447781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0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497</v>
      </c>
      <c r="CU181" s="17">
        <f>CT181*VLOOKUP('Données projet'!$B$13,Paramètres!$A$1:$I$89,3,0)*VLOOKUP('Données projet'!$B$13,Paramètres!$A$1:$I$89,5,0)</f>
        <v>297.20600000000002</v>
      </c>
      <c r="CV181" s="13">
        <f t="shared" si="173"/>
        <v>70.590415164571112</v>
      </c>
      <c r="CW181" s="20">
        <f t="shared" si="174"/>
        <v>640.57875641162809</v>
      </c>
      <c r="CX181" s="59">
        <f t="shared" si="122"/>
        <v>933.91208974496135</v>
      </c>
      <c r="CY181" s="59">
        <f ca="1">AVERAGE(OFFSET($CX$3,0,0,'Données projet'!$E$13+1,1))-AVERAGE(OFFSET($H$3,0,0,'Données projet'!$E$13+1,1))</f>
        <v>270.30888762640245</v>
      </c>
      <c r="CZ181" s="59">
        <f t="shared" si="150"/>
        <v>202.23783851977691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0.11425269835382139</v>
      </c>
      <c r="DG181" s="21">
        <f>EXP(-LN(2)/25)*DG180+(1-EXP(-LN(2)/25))/(LN(2)/25)*Calculateur!DB181*Calculateur!DD181*VLOOKUP('Données projet'!$B$13,Paramètres!$A$1:$I$89,3,0)*0.475*44/12</f>
        <v>0.20306651328931544</v>
      </c>
      <c r="DH181" s="21">
        <f>EXP(-LN(2)/2)*DH180+(1-EXP(-LN(2)/2))/(LN(2)/2)*DB181*DE181*VLOOKUP('Données projet'!$B$13,Paramètres!$A$1:$I$89,3,0)*0.475*44/12</f>
        <v>9.7899054708822397E-22</v>
      </c>
      <c r="DI181" s="22">
        <f t="shared" si="175"/>
        <v>0.31731921164313681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433.00000000000011</v>
      </c>
      <c r="DP181" s="17">
        <f>DO181*VLOOKUP('Données projet'!$B$14,Paramètres!$A$1:$I$89,3,0)*VLOOKUP('Données projet'!$B$14,Paramètres!$A$1:$I$89,5,0)</f>
        <v>258.93400000000008</v>
      </c>
      <c r="DQ181" s="13">
        <f t="shared" si="176"/>
        <v>62.495095530116075</v>
      </c>
      <c r="DR181" s="20">
        <f t="shared" si="177"/>
        <v>559.82234138161891</v>
      </c>
      <c r="DS181" s="59">
        <f t="shared" si="125"/>
        <v>853.15567471495228</v>
      </c>
      <c r="DT181" s="59">
        <f ca="1">AVERAGE(OFFSET($DS$3,0,0,'Données projet'!$E$14+1,1))-AVERAGE(OFFSET($H$3,0,0,'Données projet'!$E$14+1,1))</f>
        <v>221.14988592347311</v>
      </c>
      <c r="DU181" s="59">
        <f t="shared" si="152"/>
        <v>179.09262081171607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0.12186954491074288</v>
      </c>
      <c r="EB181" s="21">
        <f>EXP(-LN(2)/25)*EB180+(1-EXP(-LN(2)/25))/(LN(2)/25)*Calculateur!DW181*Calculateur!DY181*VLOOKUP('Données projet'!$B$14,Paramètres!$A$1:$I$89,3,0)*0.475*44/12</f>
        <v>0.16913115297561365</v>
      </c>
      <c r="EC181" s="21">
        <f>EXP(-LN(2)/2)*EC180+(1-EXP(-LN(2)/2))/(LN(2)/2)*DW181*DZ181*VLOOKUP('Données projet'!$B$14,Paramètres!$A$1:$I$89,3,0)*0.475*44/12</f>
        <v>1.0323085677305575E-21</v>
      </c>
      <c r="ED181" s="22">
        <f t="shared" si="178"/>
        <v>0.29100069788635652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2.2737367544323206E-13</v>
      </c>
      <c r="EK181" s="17">
        <f>EJ181*VLOOKUP('Données projet'!$B$15,Paramètres!$A$1:$I$89,3,0)*VLOOKUP('Données projet'!$B$15,Paramètres!$A$1:$I$89,5,0)</f>
        <v>1.2414602679200471E-13</v>
      </c>
      <c r="EL181" s="13">
        <f t="shared" si="179"/>
        <v>1.8186582995804361E-12</v>
      </c>
      <c r="EM181" s="20">
        <f t="shared" si="180"/>
        <v>3.3837175350986671E-12</v>
      </c>
      <c r="EN181" s="59">
        <f t="shared" si="128"/>
        <v>293.33333333333672</v>
      </c>
      <c r="EO181" s="59">
        <f ca="1">AVERAGE(OFFSET($EN$3,0,0,'Données projet'!$E$15+1,1))-AVERAGE(OFFSET($H$3,0,0,'Données projet'!$E$15+1,1))</f>
        <v>168.72306536277267</v>
      </c>
      <c r="EP181" s="59">
        <f t="shared" si="154"/>
        <v>203.35476578922339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0.16227194838658685</v>
      </c>
      <c r="EW181" s="21">
        <f>EXP(-LN(2)/25)*EW180+(1-EXP(-LN(2)/25))/(LN(2)/25)*Calculateur!ER181*Calculateur!ET181*VLOOKUP('Données projet'!$B$15,Paramètres!$A$1:$I$89,3,0)*0.475*44/12</f>
        <v>0.37961847558162776</v>
      </c>
      <c r="EX181" s="21">
        <f>EXP(-LN(2)/2)*EX180+(1-EXP(-LN(2)/2))/(LN(2)/2)*ER181*EU181*VLOOKUP('Données projet'!$B$15,Paramètres!$A$1:$I$89,3,0)*0.475*44/12</f>
        <v>1.0600536137297711E-21</v>
      </c>
      <c r="EY181" s="22">
        <f t="shared" si="181"/>
        <v>0.54189042396821463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3.4106051316484809E-13</v>
      </c>
      <c r="FF181" s="17">
        <f>FE181*VLOOKUP('Données projet'!$B$16,Paramètres!$A$1:$I$89,3,0)*VLOOKUP('Données projet'!$B$16,Paramètres!$A$1:$I$89,5,0)</f>
        <v>1.8621904018800707E-13</v>
      </c>
      <c r="FG181" s="13">
        <f t="shared" si="182"/>
        <v>2.6022279988572714E-12</v>
      </c>
      <c r="FH181" s="20">
        <f t="shared" si="183"/>
        <v>4.8565452596705266E-12</v>
      </c>
      <c r="FI181" s="59">
        <f t="shared" si="131"/>
        <v>293.33333333333815</v>
      </c>
      <c r="FJ181" s="59">
        <f ca="1">AVERAGE(OFFSET($FI$3,0,0,'Données projet'!$E$16+1,1))-AVERAGE(OFFSET($H$3,0,0,'Données projet'!$E$16+1,1))</f>
        <v>127.76128532861486</v>
      </c>
      <c r="FK181" s="59">
        <f t="shared" si="156"/>
        <v>157.52303491639736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>
        <f>EXP(-LN(2)/35)*FQ180+(1-EXP(-LN(2)/35))/(LN(2)/35)*FM181*FN181*VLOOKUP('Données projet'!$B$16,Paramètres!$A$1:$I$89,3,0)*0.475*44/12</f>
        <v>0.1298175587092695</v>
      </c>
      <c r="FR181" s="21">
        <f>EXP(-LN(2)/25)*FR180+(1-EXP(-LN(2)/25))/(LN(2)/25)*Calculateur!FM181*Calculateur!FO181*VLOOKUP('Données projet'!$B$16,Paramètres!$A$1:$I$89,3,0)*0.475*44/12</f>
        <v>0.26956056950489743</v>
      </c>
      <c r="FS181" s="21">
        <f>EXP(-LN(2)/2)*FS180+(1-EXP(-LN(2)/2))/(LN(2)/2)*FM181*FP181*VLOOKUP('Données projet'!$B$16,Paramètres!$A$1:$I$89,3,0)*0.475*44/12</f>
        <v>8.4159972864277594E-22</v>
      </c>
      <c r="FT181" s="22">
        <f t="shared" si="184"/>
        <v>0.39937812821416696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-5.6843418860808015E-13</v>
      </c>
      <c r="O182" s="13">
        <f>N182*VLOOKUP('Données projet'!$B$9,Paramètres!$A$1:$I$89,3,0)*VLOOKUP('Données projet'!$B$9,Paramètres!$A$1:$I$89,5,0)</f>
        <v>-5.1431925385259092E-13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153.45079678708987</v>
      </c>
      <c r="T182" s="59">
        <f t="shared" si="142"/>
        <v>115.4217868409637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0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5.1752136752136737</v>
      </c>
      <c r="AI182" s="13">
        <f>IF('Données projet'!$A$62&gt;35,AI181+AH182-AQ181,IF(A182&lt;'Données projet'!$A$62,$AF$205^A182,IF(A182='Données projet'!$A$62,'Données projet'!$B$62,AI181+AH182-AQ181)))</f>
        <v>307.14529914529936</v>
      </c>
      <c r="AJ182" s="13">
        <f>AI182*VLOOKUP('Données projet'!$B$10,Paramètres!$A$1:$I$89,3,0)*VLOOKUP('Données projet'!$B$10,Paramètres!$A$1:$I$89,5,0)</f>
        <v>277.90506666666687</v>
      </c>
      <c r="AK182" s="13">
        <f t="shared" si="164"/>
        <v>66.524095925807103</v>
      </c>
      <c r="AL182" s="20">
        <f t="shared" si="165"/>
        <v>599.8807915152255</v>
      </c>
      <c r="AM182" s="59">
        <f t="shared" si="113"/>
        <v>893.21412484855887</v>
      </c>
      <c r="AN182" s="59">
        <f ca="1">AVERAGE(OFFSET($AM$3,0,0,'Données projet'!$E$10+1,1))-AVERAGE(OFFSET($H$3,0,0,'Données projet'!$E$10+1,1))</f>
        <v>123.92486590666675</v>
      </c>
      <c r="AO182" s="59">
        <f t="shared" si="144"/>
        <v>54.404493017418986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1.1368683772161603E-13</v>
      </c>
      <c r="BE182" s="13">
        <f>BD182*VLOOKUP('Données projet'!$B$11,Paramètres!$A$1:$I$89,3,0)*VLOOKUP('Données projet'!$B$11,Paramètres!$A$1:$I$89,5,0)</f>
        <v>6.3550942286383367E-14</v>
      </c>
      <c r="BF182" s="13">
        <f t="shared" si="167"/>
        <v>1.0064464192543978E-12</v>
      </c>
      <c r="BG182" s="20">
        <f t="shared" si="168"/>
        <v>1.8635787380168604E-12</v>
      </c>
      <c r="BH182" s="59">
        <f t="shared" si="116"/>
        <v>293.33333333333519</v>
      </c>
      <c r="BI182" s="59">
        <f ca="1">AVERAGE(OFFSET($BH$3,0,0,'Données projet'!$E$11+1,1))-AVERAGE(OFFSET($H$3,0,0,'Données projet'!$E$11+1,1))</f>
        <v>224.7049802939942</v>
      </c>
      <c r="BJ182" s="59">
        <f t="shared" si="146"/>
        <v>203.48513862195352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0.11668179967574074</v>
      </c>
      <c r="BQ182" s="21">
        <f>EXP(-LN(2)/25)*BQ181+(1-EXP(-LN(2)/25))/(LN(2)/25)*Calculateur!BL182*Calculateur!BN182*VLOOKUP('Données projet'!$B$11,Paramètres!$A$1:$I$89,3,0)*0.475*44/12</f>
        <v>0.31364744875072553</v>
      </c>
      <c r="BR182" s="21">
        <f>EXP(-LN(2)/2)*BR181+(1-EXP(-LN(2)/2))/(LN(2)/2)*BL182*BO182*VLOOKUP('Données projet'!$B$11,Paramètres!$A$1:$I$89,3,0)*0.475*44/12</f>
        <v>3.3543086658606904E-22</v>
      </c>
      <c r="BS182" s="22">
        <f t="shared" si="169"/>
        <v>0.43032924842646625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6.2527760746888816E-13</v>
      </c>
      <c r="BZ182" s="13">
        <f>BY182*VLOOKUP('Données projet'!$B$12,Paramètres!$A$1:$I$89,3,0)*VLOOKUP('Données projet'!$B$12,Paramètres!$A$1:$I$89,5,0)</f>
        <v>3.4953018257510848E-13</v>
      </c>
      <c r="CA182" s="13">
        <f t="shared" si="170"/>
        <v>4.5391562386470354E-12</v>
      </c>
      <c r="CB182" s="20">
        <f t="shared" si="171"/>
        <v>8.5144621836285662E-12</v>
      </c>
      <c r="CC182" s="59">
        <f t="shared" si="119"/>
        <v>293.33333333334184</v>
      </c>
      <c r="CD182" s="59">
        <f ca="1">AVERAGE(OFFSET($CC$3,0,0,'Données projet'!$E$12+1,1))-AVERAGE(OFFSET($H$3,0,0,'Données projet'!$E$12+1,1))</f>
        <v>190.08613104982993</v>
      </c>
      <c r="CE182" s="59">
        <f t="shared" si="148"/>
        <v>180.55054525447781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0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497</v>
      </c>
      <c r="CU182" s="17">
        <f>CT182*VLOOKUP('Données projet'!$B$13,Paramètres!$A$1:$I$89,3,0)*VLOOKUP('Données projet'!$B$13,Paramètres!$A$1:$I$89,5,0)</f>
        <v>297.20600000000002</v>
      </c>
      <c r="CV182" s="13">
        <f t="shared" si="173"/>
        <v>70.590415164571112</v>
      </c>
      <c r="CW182" s="20">
        <f t="shared" si="174"/>
        <v>640.57875641162809</v>
      </c>
      <c r="CX182" s="59">
        <f t="shared" si="122"/>
        <v>933.91208974496135</v>
      </c>
      <c r="CY182" s="59">
        <f ca="1">AVERAGE(OFFSET($CX$3,0,0,'Données projet'!$E$13+1,1))-AVERAGE(OFFSET($H$3,0,0,'Données projet'!$E$13+1,1))</f>
        <v>270.30888762640245</v>
      </c>
      <c r="CZ182" s="59">
        <f t="shared" si="150"/>
        <v>202.23783851977691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0.1120122726263679</v>
      </c>
      <c r="DG182" s="21">
        <f>EXP(-LN(2)/25)*DG181+(1-EXP(-LN(2)/25))/(LN(2)/25)*Calculateur!DB182*Calculateur!DD182*VLOOKUP('Données projet'!$B$13,Paramètres!$A$1:$I$89,3,0)*0.475*44/12</f>
        <v>0.19751364880461528</v>
      </c>
      <c r="DH182" s="21">
        <f>EXP(-LN(2)/2)*DH181+(1-EXP(-LN(2)/2))/(LN(2)/2)*DB182*DE182*VLOOKUP('Données projet'!$B$13,Paramètres!$A$1:$I$89,3,0)*0.475*44/12</f>
        <v>6.9225085456361124E-22</v>
      </c>
      <c r="DI182" s="22">
        <f t="shared" si="175"/>
        <v>0.30952592143098318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433.00000000000011</v>
      </c>
      <c r="DP182" s="17">
        <f>DO182*VLOOKUP('Données projet'!$B$14,Paramètres!$A$1:$I$89,3,0)*VLOOKUP('Données projet'!$B$14,Paramètres!$A$1:$I$89,5,0)</f>
        <v>258.93400000000008</v>
      </c>
      <c r="DQ182" s="13">
        <f t="shared" si="176"/>
        <v>62.495095530116075</v>
      </c>
      <c r="DR182" s="20">
        <f t="shared" si="177"/>
        <v>559.82234138161891</v>
      </c>
      <c r="DS182" s="59">
        <f t="shared" si="125"/>
        <v>853.15567471495228</v>
      </c>
      <c r="DT182" s="59">
        <f ca="1">AVERAGE(OFFSET($DS$3,0,0,'Données projet'!$E$14+1,1))-AVERAGE(OFFSET($H$3,0,0,'Données projet'!$E$14+1,1))</f>
        <v>221.14988592347311</v>
      </c>
      <c r="DU182" s="59">
        <f t="shared" si="152"/>
        <v>179.09262081171607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0.11947975746812582</v>
      </c>
      <c r="EB182" s="21">
        <f>EXP(-LN(2)/25)*EB181+(1-EXP(-LN(2)/25))/(LN(2)/25)*Calculateur!DW182*Calculateur!DY182*VLOOKUP('Données projet'!$B$14,Paramètres!$A$1:$I$89,3,0)*0.475*44/12</f>
        <v>0.16450625270327471</v>
      </c>
      <c r="EC182" s="21">
        <f>EXP(-LN(2)/2)*EC181+(1-EXP(-LN(2)/2))/(LN(2)/2)*DW182*DZ182*VLOOKUP('Données projet'!$B$14,Paramètres!$A$1:$I$89,3,0)*0.475*44/12</f>
        <v>7.299523885192496E-22</v>
      </c>
      <c r="ED182" s="22">
        <f t="shared" si="178"/>
        <v>0.28398601017140052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2.2737367544323206E-13</v>
      </c>
      <c r="EK182" s="17">
        <f>EJ182*VLOOKUP('Données projet'!$B$15,Paramètres!$A$1:$I$89,3,0)*VLOOKUP('Données projet'!$B$15,Paramètres!$A$1:$I$89,5,0)</f>
        <v>1.2414602679200471E-13</v>
      </c>
      <c r="EL182" s="13">
        <f t="shared" si="179"/>
        <v>1.8186582995804361E-12</v>
      </c>
      <c r="EM182" s="20">
        <f t="shared" si="180"/>
        <v>3.3837175350986671E-12</v>
      </c>
      <c r="EN182" s="59">
        <f t="shared" si="128"/>
        <v>293.33333333333672</v>
      </c>
      <c r="EO182" s="59">
        <f ca="1">AVERAGE(OFFSET($EN$3,0,0,'Données projet'!$E$15+1,1))-AVERAGE(OFFSET($H$3,0,0,'Données projet'!$E$15+1,1))</f>
        <v>168.72306536277267</v>
      </c>
      <c r="EP182" s="59">
        <f t="shared" si="154"/>
        <v>203.35476578922339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0.15908989445484131</v>
      </c>
      <c r="EW182" s="21">
        <f>EXP(-LN(2)/25)*EW181+(1-EXP(-LN(2)/25))/(LN(2)/25)*Calculateur!ER182*Calculateur!ET182*VLOOKUP('Données projet'!$B$15,Paramètres!$A$1:$I$89,3,0)*0.475*44/12</f>
        <v>0.36923778840358012</v>
      </c>
      <c r="EX182" s="21">
        <f>EXP(-LN(2)/2)*EX181+(1-EXP(-LN(2)/2))/(LN(2)/2)*ER182*EU182*VLOOKUP('Données projet'!$B$15,Paramètres!$A$1:$I$89,3,0)*0.475*44/12</f>
        <v>7.4957109868962623E-22</v>
      </c>
      <c r="EY182" s="22">
        <f t="shared" si="181"/>
        <v>0.52832768285842147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3.4106051316484809E-13</v>
      </c>
      <c r="FF182" s="17">
        <f>FE182*VLOOKUP('Données projet'!$B$16,Paramètres!$A$1:$I$89,3,0)*VLOOKUP('Données projet'!$B$16,Paramètres!$A$1:$I$89,5,0)</f>
        <v>1.8621904018800707E-13</v>
      </c>
      <c r="FG182" s="13">
        <f t="shared" si="182"/>
        <v>2.6022279988572714E-12</v>
      </c>
      <c r="FH182" s="20">
        <f t="shared" si="183"/>
        <v>4.8565452596705266E-12</v>
      </c>
      <c r="FI182" s="59">
        <f t="shared" si="131"/>
        <v>293.33333333333815</v>
      </c>
      <c r="FJ182" s="59">
        <f ca="1">AVERAGE(OFFSET($FI$3,0,0,'Données projet'!$E$16+1,1))-AVERAGE(OFFSET($H$3,0,0,'Données projet'!$E$16+1,1))</f>
        <v>127.76128532861486</v>
      </c>
      <c r="FK182" s="59">
        <f t="shared" si="156"/>
        <v>157.52303491639736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>
        <f>EXP(-LN(2)/35)*FQ181+(1-EXP(-LN(2)/35))/(LN(2)/35)*FM182*FN182*VLOOKUP('Données projet'!$B$16,Paramètres!$A$1:$I$89,3,0)*0.475*44/12</f>
        <v>0.12727191556387307</v>
      </c>
      <c r="FR182" s="21">
        <f>EXP(-LN(2)/25)*FR181+(1-EXP(-LN(2)/25))/(LN(2)/25)*Calculateur!FM182*Calculateur!FO182*VLOOKUP('Données projet'!$B$16,Paramètres!$A$1:$I$89,3,0)*0.475*44/12</f>
        <v>0.26218942155621172</v>
      </c>
      <c r="FS182" s="21">
        <f>EXP(-LN(2)/2)*FS181+(1-EXP(-LN(2)/2))/(LN(2)/2)*FM182*FP182*VLOOKUP('Données projet'!$B$16,Paramètres!$A$1:$I$89,3,0)*0.475*44/12</f>
        <v>5.9510087516806523E-22</v>
      </c>
      <c r="FT182" s="22">
        <f t="shared" si="184"/>
        <v>0.38946133712008479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-5.6843418860808015E-13</v>
      </c>
      <c r="O183" s="13">
        <f>N183*VLOOKUP('Données projet'!$B$9,Paramètres!$A$1:$I$89,3,0)*VLOOKUP('Données projet'!$B$9,Paramètres!$A$1:$I$89,5,0)</f>
        <v>-5.1431925385259092E-13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153.45079678708987</v>
      </c>
      <c r="T183" s="59">
        <f t="shared" si="142"/>
        <v>115.4217868409637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0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312.32051282051282</v>
      </c>
      <c r="AG183" s="12">
        <f>VLOOKUP(A183,'Données projet'!$A$61:$I$81,9,0)</f>
        <v>5.1752136752136737</v>
      </c>
      <c r="AH183" s="12">
        <f t="array" ref="AH183">INDEX(AG:AG,MIN(IF(ISNUMBER(AG183:AG379),ROW(AG183:AG379),"")))</f>
        <v>5.1752136752136737</v>
      </c>
      <c r="AI183" s="13">
        <f>IF('Données projet'!$A$62&gt;35,AI182+AH183-AQ182,IF(A183&lt;'Données projet'!$A$62,$AF$205^A183,IF(A183='Données projet'!$A$62,'Données projet'!$B$62,AI182+AH183-AQ182)))</f>
        <v>312.32051282051304</v>
      </c>
      <c r="AJ183" s="13">
        <f>AI183*VLOOKUP('Données projet'!$B$10,Paramètres!$A$1:$I$89,3,0)*VLOOKUP('Données projet'!$B$10,Paramètres!$A$1:$I$89,5,0)</f>
        <v>282.58760000000018</v>
      </c>
      <c r="AK183" s="13">
        <f t="shared" si="164"/>
        <v>67.513550036928351</v>
      </c>
      <c r="AL183" s="20">
        <f t="shared" si="165"/>
        <v>609.75950298098371</v>
      </c>
      <c r="AM183" s="59">
        <f t="shared" si="113"/>
        <v>903.09283631431708</v>
      </c>
      <c r="AN183" s="59">
        <f ca="1">AVERAGE(OFFSET($AM$3,0,0,'Données projet'!$E$10+1,1))-AVERAGE(OFFSET($H$3,0,0,'Données projet'!$E$10+1,1))</f>
        <v>123.92486590666675</v>
      </c>
      <c r="AO183" s="59">
        <f t="shared" si="144"/>
        <v>54.404493017418986</v>
      </c>
      <c r="AP183" s="15">
        <f>IF(ISNA(VLOOKUP(A183,'Données projet'!$A$61:$I$81,3,0)),0,VLOOKUP(A183,'Données projet'!$A$61:$I$81,3,0))</f>
        <v>13</v>
      </c>
      <c r="AQ183" s="15">
        <f>IF(ISNA(VLOOKUP(A183,'Données projet'!$A$61:$I$81,4,0)),0,VLOOKUP(A183,'Données projet'!$A$61:$I$81,4,0))</f>
        <v>120.15384615384615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0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1.1368683772161603E-13</v>
      </c>
      <c r="BE183" s="13">
        <f>BD183*VLOOKUP('Données projet'!$B$11,Paramètres!$A$1:$I$89,3,0)*VLOOKUP('Données projet'!$B$11,Paramètres!$A$1:$I$89,5,0)</f>
        <v>6.3550942286383367E-14</v>
      </c>
      <c r="BF183" s="13">
        <f t="shared" si="167"/>
        <v>1.0064464192543978E-12</v>
      </c>
      <c r="BG183" s="20">
        <f t="shared" si="168"/>
        <v>1.8635787380168604E-12</v>
      </c>
      <c r="BH183" s="59">
        <f t="shared" si="116"/>
        <v>293.33333333333519</v>
      </c>
      <c r="BI183" s="59">
        <f ca="1">AVERAGE(OFFSET($BH$3,0,0,'Données projet'!$E$11+1,1))-AVERAGE(OFFSET($H$3,0,0,'Données projet'!$E$11+1,1))</f>
        <v>224.7049802939942</v>
      </c>
      <c r="BJ183" s="59">
        <f t="shared" si="146"/>
        <v>203.48513862195352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0.11439374075296993</v>
      </c>
      <c r="BQ183" s="21">
        <f>EXP(-LN(2)/25)*BQ182+(1-EXP(-LN(2)/25))/(LN(2)/25)*Calculateur!BL183*Calculateur!BN183*VLOOKUP('Données projet'!$B$11,Paramètres!$A$1:$I$89,3,0)*0.475*44/12</f>
        <v>0.30507074277063445</v>
      </c>
      <c r="BR183" s="21">
        <f>EXP(-LN(2)/2)*BR182+(1-EXP(-LN(2)/2))/(LN(2)/2)*BL183*BO183*VLOOKUP('Données projet'!$B$11,Paramètres!$A$1:$I$89,3,0)*0.475*44/12</f>
        <v>2.3718544038228954E-22</v>
      </c>
      <c r="BS183" s="22">
        <f t="shared" si="169"/>
        <v>0.41946448352360438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6.2527760746888816E-13</v>
      </c>
      <c r="BZ183" s="13">
        <f>BY183*VLOOKUP('Données projet'!$B$12,Paramètres!$A$1:$I$89,3,0)*VLOOKUP('Données projet'!$B$12,Paramètres!$A$1:$I$89,5,0)</f>
        <v>3.4953018257510848E-13</v>
      </c>
      <c r="CA183" s="13">
        <f t="shared" si="170"/>
        <v>4.5391562386470354E-12</v>
      </c>
      <c r="CB183" s="20">
        <f t="shared" si="171"/>
        <v>8.5144621836285662E-12</v>
      </c>
      <c r="CC183" s="59">
        <f t="shared" si="119"/>
        <v>293.33333333334184</v>
      </c>
      <c r="CD183" s="59">
        <f ca="1">AVERAGE(OFFSET($CC$3,0,0,'Données projet'!$E$12+1,1))-AVERAGE(OFFSET($H$3,0,0,'Données projet'!$E$12+1,1))</f>
        <v>190.08613104982993</v>
      </c>
      <c r="CE183" s="59">
        <f t="shared" si="148"/>
        <v>180.55054525447781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0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497</v>
      </c>
      <c r="CU183" s="17">
        <f>CT183*VLOOKUP('Données projet'!$B$13,Paramètres!$A$1:$I$89,3,0)*VLOOKUP('Données projet'!$B$13,Paramètres!$A$1:$I$89,5,0)</f>
        <v>297.20600000000002</v>
      </c>
      <c r="CV183" s="13">
        <f t="shared" si="173"/>
        <v>70.590415164571112</v>
      </c>
      <c r="CW183" s="20">
        <f t="shared" si="174"/>
        <v>640.57875641162809</v>
      </c>
      <c r="CX183" s="59">
        <f t="shared" si="122"/>
        <v>933.91208974496135</v>
      </c>
      <c r="CY183" s="59">
        <f ca="1">AVERAGE(OFFSET($CX$3,0,0,'Données projet'!$E$13+1,1))-AVERAGE(OFFSET($H$3,0,0,'Données projet'!$E$13+1,1))</f>
        <v>270.30888762640245</v>
      </c>
      <c r="CZ183" s="59">
        <f t="shared" si="150"/>
        <v>202.23783851977691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0.10981578028090501</v>
      </c>
      <c r="DG183" s="21">
        <f>EXP(-LN(2)/25)*DG182+(1-EXP(-LN(2)/25))/(LN(2)/25)*Calculateur!DB183*Calculateur!DD183*VLOOKUP('Données projet'!$B$13,Paramètres!$A$1:$I$89,3,0)*0.475*44/12</f>
        <v>0.19211262769126169</v>
      </c>
      <c r="DH183" s="21">
        <f>EXP(-LN(2)/2)*DH182+(1-EXP(-LN(2)/2))/(LN(2)/2)*DB183*DE183*VLOOKUP('Données projet'!$B$13,Paramètres!$A$1:$I$89,3,0)*0.475*44/12</f>
        <v>4.8949527354411198E-22</v>
      </c>
      <c r="DI183" s="22">
        <f t="shared" si="175"/>
        <v>0.30192840797216669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433.00000000000011</v>
      </c>
      <c r="DP183" s="17">
        <f>DO183*VLOOKUP('Données projet'!$B$14,Paramètres!$A$1:$I$89,3,0)*VLOOKUP('Données projet'!$B$14,Paramètres!$A$1:$I$89,5,0)</f>
        <v>258.93400000000008</v>
      </c>
      <c r="DQ183" s="13">
        <f t="shared" si="176"/>
        <v>62.495095530116075</v>
      </c>
      <c r="DR183" s="20">
        <f t="shared" si="177"/>
        <v>559.82234138161891</v>
      </c>
      <c r="DS183" s="59">
        <f t="shared" si="125"/>
        <v>853.15567471495228</v>
      </c>
      <c r="DT183" s="59">
        <f ca="1">AVERAGE(OFFSET($DS$3,0,0,'Données projet'!$E$14+1,1))-AVERAGE(OFFSET($H$3,0,0,'Données projet'!$E$14+1,1))</f>
        <v>221.14988592347311</v>
      </c>
      <c r="DU183" s="59">
        <f t="shared" si="152"/>
        <v>179.09262081171607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0.11713683229963208</v>
      </c>
      <c r="EB183" s="21">
        <f>EXP(-LN(2)/25)*EB182+(1-EXP(-LN(2)/25))/(LN(2)/25)*Calculateur!DW183*Calculateur!DY183*VLOOKUP('Données projet'!$B$14,Paramètres!$A$1:$I$89,3,0)*0.475*44/12</f>
        <v>0.16000782057209581</v>
      </c>
      <c r="EC183" s="21">
        <f>EXP(-LN(2)/2)*EC182+(1-EXP(-LN(2)/2))/(LN(2)/2)*DW183*DZ183*VLOOKUP('Données projet'!$B$14,Paramètres!$A$1:$I$89,3,0)*0.475*44/12</f>
        <v>5.1615428386527874E-22</v>
      </c>
      <c r="ED183" s="22">
        <f t="shared" si="178"/>
        <v>0.2771446528717279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2.2737367544323206E-13</v>
      </c>
      <c r="EK183" s="17">
        <f>EJ183*VLOOKUP('Données projet'!$B$15,Paramètres!$A$1:$I$89,3,0)*VLOOKUP('Données projet'!$B$15,Paramètres!$A$1:$I$89,5,0)</f>
        <v>1.2414602679200471E-13</v>
      </c>
      <c r="EL183" s="13">
        <f t="shared" si="179"/>
        <v>1.8186582995804361E-12</v>
      </c>
      <c r="EM183" s="20">
        <f t="shared" si="180"/>
        <v>3.3837175350986671E-12</v>
      </c>
      <c r="EN183" s="59">
        <f t="shared" si="128"/>
        <v>293.33333333333672</v>
      </c>
      <c r="EO183" s="59">
        <f ca="1">AVERAGE(OFFSET($EN$3,0,0,'Données projet'!$E$15+1,1))-AVERAGE(OFFSET($H$3,0,0,'Données projet'!$E$15+1,1))</f>
        <v>168.72306536277267</v>
      </c>
      <c r="EP183" s="59">
        <f t="shared" si="154"/>
        <v>203.35476578922339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0.15597023865983606</v>
      </c>
      <c r="EW183" s="21">
        <f>EXP(-LN(2)/25)*EW182+(1-EXP(-LN(2)/25))/(LN(2)/25)*Calculateur!ER183*Calculateur!ET183*VLOOKUP('Données projet'!$B$15,Paramètres!$A$1:$I$89,3,0)*0.475*44/12</f>
        <v>0.35914096166231285</v>
      </c>
      <c r="EX183" s="21">
        <f>EXP(-LN(2)/2)*EX182+(1-EXP(-LN(2)/2))/(LN(2)/2)*ER183*EU183*VLOOKUP('Données projet'!$B$15,Paramètres!$A$1:$I$89,3,0)*0.475*44/12</f>
        <v>5.3002680686488554E-22</v>
      </c>
      <c r="EY183" s="22">
        <f t="shared" si="181"/>
        <v>0.51511120032214897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3.4106051316484809E-13</v>
      </c>
      <c r="FF183" s="17">
        <f>FE183*VLOOKUP('Données projet'!$B$16,Paramètres!$A$1:$I$89,3,0)*VLOOKUP('Données projet'!$B$16,Paramètres!$A$1:$I$89,5,0)</f>
        <v>1.8621904018800707E-13</v>
      </c>
      <c r="FG183" s="13">
        <f t="shared" si="182"/>
        <v>2.6022279988572714E-12</v>
      </c>
      <c r="FH183" s="20">
        <f t="shared" si="183"/>
        <v>4.8565452596705266E-12</v>
      </c>
      <c r="FI183" s="59">
        <f t="shared" si="131"/>
        <v>293.33333333333815</v>
      </c>
      <c r="FJ183" s="59">
        <f ca="1">AVERAGE(OFFSET($FI$3,0,0,'Données projet'!$E$16+1,1))-AVERAGE(OFFSET($H$3,0,0,'Données projet'!$E$16+1,1))</f>
        <v>127.76128532861486</v>
      </c>
      <c r="FK183" s="59">
        <f t="shared" si="156"/>
        <v>157.52303491639736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>
        <f>EXP(-LN(2)/35)*FQ182+(1-EXP(-LN(2)/35))/(LN(2)/35)*FM183*FN183*VLOOKUP('Données projet'!$B$16,Paramètres!$A$1:$I$89,3,0)*0.475*44/12</f>
        <v>0.12477619092786886</v>
      </c>
      <c r="FR183" s="21">
        <f>EXP(-LN(2)/25)*FR182+(1-EXP(-LN(2)/25))/(LN(2)/25)*Calculateur!FM183*Calculateur!FO183*VLOOKUP('Données projet'!$B$16,Paramètres!$A$1:$I$89,3,0)*0.475*44/12</f>
        <v>0.25501983803581468</v>
      </c>
      <c r="FS183" s="21">
        <f>EXP(-LN(2)/2)*FS182+(1-EXP(-LN(2)/2))/(LN(2)/2)*FM183*FP183*VLOOKUP('Données projet'!$B$16,Paramètres!$A$1:$I$89,3,0)*0.475*44/12</f>
        <v>4.2079986432138807E-22</v>
      </c>
      <c r="FT183" s="22">
        <f t="shared" si="184"/>
        <v>0.37979602896368353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-5.6843418860808015E-13</v>
      </c>
      <c r="O184" s="13">
        <f>N184*VLOOKUP('Données projet'!$B$9,Paramètres!$A$1:$I$89,3,0)*VLOOKUP('Données projet'!$B$9,Paramètres!$A$1:$I$89,5,0)</f>
        <v>-5.1431925385259092E-13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153.45079678708987</v>
      </c>
      <c r="T184" s="59">
        <f t="shared" si="142"/>
        <v>115.4217868409637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0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3.2339743589743506</v>
      </c>
      <c r="AI184" s="13">
        <f>IF('Données projet'!$A$62&gt;35,AI183+AH184-AQ183,IF(A184&lt;'Données projet'!$A$62,$AF$205^A184,IF(A184='Données projet'!$A$62,'Données projet'!$B$62,AI183+AH184-AQ183)))</f>
        <v>195.40064102564128</v>
      </c>
      <c r="AJ184" s="13">
        <f>AI184*VLOOKUP('Données projet'!$B$10,Paramètres!$A$1:$I$89,3,0)*VLOOKUP('Données projet'!$B$10,Paramètres!$A$1:$I$89,5,0)</f>
        <v>176.79850000000022</v>
      </c>
      <c r="AK184" s="13">
        <f t="shared" si="164"/>
        <v>44.60916916172328</v>
      </c>
      <c r="AL184" s="20">
        <f t="shared" si="165"/>
        <v>385.6183571233351</v>
      </c>
      <c r="AM184" s="59">
        <f t="shared" si="113"/>
        <v>678.95169045666842</v>
      </c>
      <c r="AN184" s="59">
        <f ca="1">AVERAGE(OFFSET($AM$3,0,0,'Données projet'!$E$10+1,1))-AVERAGE(OFFSET($H$3,0,0,'Données projet'!$E$10+1,1))</f>
        <v>123.92486590666675</v>
      </c>
      <c r="AO184" s="59">
        <f t="shared" si="144"/>
        <v>54.404493017418986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0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1.1368683772161603E-13</v>
      </c>
      <c r="BE184" s="13">
        <f>BD184*VLOOKUP('Données projet'!$B$11,Paramètres!$A$1:$I$89,3,0)*VLOOKUP('Données projet'!$B$11,Paramètres!$A$1:$I$89,5,0)</f>
        <v>6.3550942286383367E-14</v>
      </c>
      <c r="BF184" s="13">
        <f t="shared" si="167"/>
        <v>1.0064464192543978E-12</v>
      </c>
      <c r="BG184" s="20">
        <f t="shared" si="168"/>
        <v>1.8635787380168604E-12</v>
      </c>
      <c r="BH184" s="59">
        <f t="shared" si="116"/>
        <v>293.33333333333519</v>
      </c>
      <c r="BI184" s="59">
        <f ca="1">AVERAGE(OFFSET($BH$3,0,0,'Données projet'!$E$11+1,1))-AVERAGE(OFFSET($H$3,0,0,'Données projet'!$E$11+1,1))</f>
        <v>224.7049802939942</v>
      </c>
      <c r="BJ184" s="59">
        <f t="shared" si="146"/>
        <v>203.48513862195352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0.1121505492700965</v>
      </c>
      <c r="BQ184" s="21">
        <f>EXP(-LN(2)/25)*BQ183+(1-EXP(-LN(2)/25))/(LN(2)/25)*Calculateur!BL184*Calculateur!BN184*VLOOKUP('Données projet'!$B$11,Paramètres!$A$1:$I$89,3,0)*0.475*44/12</f>
        <v>0.29672856726659835</v>
      </c>
      <c r="BR184" s="21">
        <f>EXP(-LN(2)/2)*BR183+(1-EXP(-LN(2)/2))/(LN(2)/2)*BL184*BO184*VLOOKUP('Données projet'!$B$11,Paramètres!$A$1:$I$89,3,0)*0.475*44/12</f>
        <v>1.6771543329303452E-22</v>
      </c>
      <c r="BS184" s="22">
        <f t="shared" si="169"/>
        <v>0.40887911653669484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6.2527760746888816E-13</v>
      </c>
      <c r="BZ184" s="13">
        <f>BY184*VLOOKUP('Données projet'!$B$12,Paramètres!$A$1:$I$89,3,0)*VLOOKUP('Données projet'!$B$12,Paramètres!$A$1:$I$89,5,0)</f>
        <v>3.4953018257510848E-13</v>
      </c>
      <c r="CA184" s="13">
        <f t="shared" si="170"/>
        <v>4.5391562386470354E-12</v>
      </c>
      <c r="CB184" s="20">
        <f t="shared" si="171"/>
        <v>8.5144621836285662E-12</v>
      </c>
      <c r="CC184" s="59">
        <f t="shared" si="119"/>
        <v>293.33333333334184</v>
      </c>
      <c r="CD184" s="59">
        <f ca="1">AVERAGE(OFFSET($CC$3,0,0,'Données projet'!$E$12+1,1))-AVERAGE(OFFSET($H$3,0,0,'Données projet'!$E$12+1,1))</f>
        <v>190.08613104982993</v>
      </c>
      <c r="CE184" s="59">
        <f t="shared" si="148"/>
        <v>180.55054525447781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0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497</v>
      </c>
      <c r="CU184" s="17">
        <f>CT184*VLOOKUP('Données projet'!$B$13,Paramètres!$A$1:$I$89,3,0)*VLOOKUP('Données projet'!$B$13,Paramètres!$A$1:$I$89,5,0)</f>
        <v>297.20600000000002</v>
      </c>
      <c r="CV184" s="13">
        <f t="shared" si="173"/>
        <v>70.590415164571112</v>
      </c>
      <c r="CW184" s="20">
        <f t="shared" si="174"/>
        <v>640.57875641162809</v>
      </c>
      <c r="CX184" s="59">
        <f t="shared" si="122"/>
        <v>933.91208974496135</v>
      </c>
      <c r="CY184" s="59">
        <f ca="1">AVERAGE(OFFSET($CX$3,0,0,'Données projet'!$E$13+1,1))-AVERAGE(OFFSET($H$3,0,0,'Données projet'!$E$13+1,1))</f>
        <v>270.30888762640245</v>
      </c>
      <c r="CZ184" s="59">
        <f t="shared" si="150"/>
        <v>202.23783851977691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0.10766235981060861</v>
      </c>
      <c r="DG184" s="21">
        <f>EXP(-LN(2)/25)*DG183+(1-EXP(-LN(2)/25))/(LN(2)/25)*Calculateur!DB184*Calculateur!DD184*VLOOKUP('Données projet'!$B$13,Paramètres!$A$1:$I$89,3,0)*0.475*44/12</f>
        <v>0.18685929778428012</v>
      </c>
      <c r="DH184" s="21">
        <f>EXP(-LN(2)/2)*DH183+(1-EXP(-LN(2)/2))/(LN(2)/2)*DB184*DE184*VLOOKUP('Données projet'!$B$13,Paramètres!$A$1:$I$89,3,0)*0.475*44/12</f>
        <v>3.4612542728180562E-22</v>
      </c>
      <c r="DI184" s="22">
        <f t="shared" si="175"/>
        <v>0.29452165759488874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433.00000000000011</v>
      </c>
      <c r="DP184" s="17">
        <f>DO184*VLOOKUP('Données projet'!$B$14,Paramètres!$A$1:$I$89,3,0)*VLOOKUP('Données projet'!$B$14,Paramètres!$A$1:$I$89,5,0)</f>
        <v>258.93400000000008</v>
      </c>
      <c r="DQ184" s="13">
        <f t="shared" si="176"/>
        <v>62.495095530116075</v>
      </c>
      <c r="DR184" s="20">
        <f t="shared" si="177"/>
        <v>559.82234138161891</v>
      </c>
      <c r="DS184" s="59">
        <f t="shared" si="125"/>
        <v>853.15567471495228</v>
      </c>
      <c r="DT184" s="59">
        <f ca="1">AVERAGE(OFFSET($DS$3,0,0,'Données projet'!$E$14+1,1))-AVERAGE(OFFSET($H$3,0,0,'Données projet'!$E$14+1,1))</f>
        <v>221.14988592347311</v>
      </c>
      <c r="DU184" s="59">
        <f t="shared" si="152"/>
        <v>179.09262081171607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0.11483985046464924</v>
      </c>
      <c r="EB184" s="21">
        <f>EXP(-LN(2)/25)*EB183+(1-EXP(-LN(2)/25))/(LN(2)/25)*Calculateur!DW184*Calculateur!DY184*VLOOKUP('Données projet'!$B$14,Paramètres!$A$1:$I$89,3,0)*0.475*44/12</f>
        <v>0.15563239830410627</v>
      </c>
      <c r="EC184" s="21">
        <f>EXP(-LN(2)/2)*EC183+(1-EXP(-LN(2)/2))/(LN(2)/2)*DW184*DZ184*VLOOKUP('Données projet'!$B$14,Paramètres!$A$1:$I$89,3,0)*0.475*44/12</f>
        <v>3.649761942596248E-22</v>
      </c>
      <c r="ED184" s="22">
        <f t="shared" si="178"/>
        <v>0.27047224876875553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2.2737367544323206E-13</v>
      </c>
      <c r="EK184" s="17">
        <f>EJ184*VLOOKUP('Données projet'!$B$15,Paramètres!$A$1:$I$89,3,0)*VLOOKUP('Données projet'!$B$15,Paramètres!$A$1:$I$89,5,0)</f>
        <v>1.2414602679200471E-13</v>
      </c>
      <c r="EL184" s="13">
        <f t="shared" si="179"/>
        <v>1.8186582995804361E-12</v>
      </c>
      <c r="EM184" s="20">
        <f t="shared" si="180"/>
        <v>3.3837175350986671E-12</v>
      </c>
      <c r="EN184" s="59">
        <f t="shared" si="128"/>
        <v>293.33333333333672</v>
      </c>
      <c r="EO184" s="59">
        <f ca="1">AVERAGE(OFFSET($EN$3,0,0,'Données projet'!$E$15+1,1))-AVERAGE(OFFSET($H$3,0,0,'Données projet'!$E$15+1,1))</f>
        <v>168.72306536277267</v>
      </c>
      <c r="EP184" s="59">
        <f t="shared" si="154"/>
        <v>203.35476578922339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0.1529117574121687</v>
      </c>
      <c r="EW184" s="21">
        <f>EXP(-LN(2)/25)*EW183+(1-EXP(-LN(2)/25))/(LN(2)/25)*Calculateur!ER184*Calculateur!ET184*VLOOKUP('Données projet'!$B$15,Paramètres!$A$1:$I$89,3,0)*0.475*44/12</f>
        <v>0.34932023317925454</v>
      </c>
      <c r="EX184" s="21">
        <f>EXP(-LN(2)/2)*EX183+(1-EXP(-LN(2)/2))/(LN(2)/2)*ER184*EU184*VLOOKUP('Données projet'!$B$15,Paramètres!$A$1:$I$89,3,0)*0.475*44/12</f>
        <v>3.7478554934481311E-22</v>
      </c>
      <c r="EY184" s="22">
        <f t="shared" si="181"/>
        <v>0.50223199059142321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3.4106051316484809E-13</v>
      </c>
      <c r="FF184" s="17">
        <f>FE184*VLOOKUP('Données projet'!$B$16,Paramètres!$A$1:$I$89,3,0)*VLOOKUP('Données projet'!$B$16,Paramètres!$A$1:$I$89,5,0)</f>
        <v>1.8621904018800707E-13</v>
      </c>
      <c r="FG184" s="13">
        <f t="shared" si="182"/>
        <v>2.6022279988572714E-12</v>
      </c>
      <c r="FH184" s="20">
        <f t="shared" si="183"/>
        <v>4.8565452596705266E-12</v>
      </c>
      <c r="FI184" s="59">
        <f t="shared" si="131"/>
        <v>293.33333333333815</v>
      </c>
      <c r="FJ184" s="59">
        <f ca="1">AVERAGE(OFFSET($FI$3,0,0,'Données projet'!$E$16+1,1))-AVERAGE(OFFSET($H$3,0,0,'Données projet'!$E$16+1,1))</f>
        <v>127.76128532861486</v>
      </c>
      <c r="FK184" s="59">
        <f t="shared" si="156"/>
        <v>157.52303491639736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>
        <f>EXP(-LN(2)/35)*FQ183+(1-EXP(-LN(2)/35))/(LN(2)/35)*FM184*FN184*VLOOKUP('Données projet'!$B$16,Paramètres!$A$1:$I$89,3,0)*0.475*44/12</f>
        <v>0.12232940592973497</v>
      </c>
      <c r="FR184" s="21">
        <f>EXP(-LN(2)/25)*FR183+(1-EXP(-LN(2)/25))/(LN(2)/25)*Calculateur!FM184*Calculateur!FO184*VLOOKUP('Données projet'!$B$16,Paramètres!$A$1:$I$89,3,0)*0.475*44/12</f>
        <v>0.2480463071538149</v>
      </c>
      <c r="FS184" s="21">
        <f>EXP(-LN(2)/2)*FS183+(1-EXP(-LN(2)/2))/(LN(2)/2)*FM184*FP184*VLOOKUP('Données projet'!$B$16,Paramètres!$A$1:$I$89,3,0)*0.475*44/12</f>
        <v>2.9755043758403266E-22</v>
      </c>
      <c r="FT184" s="22">
        <f t="shared" si="184"/>
        <v>0.37037571308354988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-5.6843418860808015E-13</v>
      </c>
      <c r="O185" s="13">
        <f>N185*VLOOKUP('Données projet'!$B$9,Paramètres!$A$1:$I$89,3,0)*VLOOKUP('Données projet'!$B$9,Paramètres!$A$1:$I$89,5,0)</f>
        <v>-5.1431925385259092E-13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153.45079678708987</v>
      </c>
      <c r="T185" s="59">
        <f t="shared" si="142"/>
        <v>115.4217868409637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0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3.2339743589743506</v>
      </c>
      <c r="AI185" s="13">
        <f>IF('Données projet'!$A$62&gt;35,AI184+AH185-AQ184,IF(A185&lt;'Données projet'!$A$62,$AF$205^A185,IF(A185='Données projet'!$A$62,'Données projet'!$B$62,AI184+AH185-AQ184)))</f>
        <v>198.63461538461564</v>
      </c>
      <c r="AJ185" s="13">
        <f>AI185*VLOOKUP('Données projet'!$B$10,Paramètres!$A$1:$I$89,3,0)*VLOOKUP('Données projet'!$B$10,Paramètres!$A$1:$I$89,5,0)</f>
        <v>179.72460000000021</v>
      </c>
      <c r="AK185" s="13">
        <f t="shared" si="164"/>
        <v>45.260909281423636</v>
      </c>
      <c r="AL185" s="20">
        <f t="shared" si="165"/>
        <v>391.84976199847983</v>
      </c>
      <c r="AM185" s="59">
        <f t="shared" si="113"/>
        <v>685.18309533181309</v>
      </c>
      <c r="AN185" s="59">
        <f ca="1">AVERAGE(OFFSET($AM$3,0,0,'Données projet'!$E$10+1,1))-AVERAGE(OFFSET($H$3,0,0,'Données projet'!$E$10+1,1))</f>
        <v>123.92486590666675</v>
      </c>
      <c r="AO185" s="59">
        <f t="shared" si="144"/>
        <v>54.404493017418986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0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1.1368683772161603E-13</v>
      </c>
      <c r="BE185" s="13">
        <f>BD185*VLOOKUP('Données projet'!$B$11,Paramètres!$A$1:$I$89,3,0)*VLOOKUP('Données projet'!$B$11,Paramètres!$A$1:$I$89,5,0)</f>
        <v>6.3550942286383367E-14</v>
      </c>
      <c r="BF185" s="13">
        <f t="shared" si="167"/>
        <v>1.0064464192543978E-12</v>
      </c>
      <c r="BG185" s="20">
        <f t="shared" si="168"/>
        <v>1.8635787380168604E-12</v>
      </c>
      <c r="BH185" s="59">
        <f t="shared" si="116"/>
        <v>293.33333333333519</v>
      </c>
      <c r="BI185" s="59">
        <f ca="1">AVERAGE(OFFSET($BH$3,0,0,'Données projet'!$E$11+1,1))-AVERAGE(OFFSET($H$3,0,0,'Données projet'!$E$11+1,1))</f>
        <v>224.7049802939942</v>
      </c>
      <c r="BJ185" s="59">
        <f t="shared" si="146"/>
        <v>203.48513862195352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0.10995134540399053</v>
      </c>
      <c r="BQ185" s="21">
        <f>EXP(-LN(2)/25)*BQ184+(1-EXP(-LN(2)/25))/(LN(2)/25)*Calculateur!BL185*Calculateur!BN185*VLOOKUP('Données projet'!$B$11,Paramètres!$A$1:$I$89,3,0)*0.475*44/12</f>
        <v>0.28861450899041607</v>
      </c>
      <c r="BR185" s="21">
        <f>EXP(-LN(2)/2)*BR184+(1-EXP(-LN(2)/2))/(LN(2)/2)*BL185*BO185*VLOOKUP('Données projet'!$B$11,Paramètres!$A$1:$I$89,3,0)*0.475*44/12</f>
        <v>1.1859272019114477E-22</v>
      </c>
      <c r="BS185" s="22">
        <f t="shared" si="169"/>
        <v>0.39856585439440662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6.2527760746888816E-13</v>
      </c>
      <c r="BZ185" s="13">
        <f>BY185*VLOOKUP('Données projet'!$B$12,Paramètres!$A$1:$I$89,3,0)*VLOOKUP('Données projet'!$B$12,Paramètres!$A$1:$I$89,5,0)</f>
        <v>3.4953018257510848E-13</v>
      </c>
      <c r="CA185" s="13">
        <f t="shared" si="170"/>
        <v>4.5391562386470354E-12</v>
      </c>
      <c r="CB185" s="20">
        <f t="shared" si="171"/>
        <v>8.5144621836285662E-12</v>
      </c>
      <c r="CC185" s="59">
        <f t="shared" si="119"/>
        <v>293.33333333334184</v>
      </c>
      <c r="CD185" s="59">
        <f ca="1">AVERAGE(OFFSET($CC$3,0,0,'Données projet'!$E$12+1,1))-AVERAGE(OFFSET($H$3,0,0,'Données projet'!$E$12+1,1))</f>
        <v>190.08613104982993</v>
      </c>
      <c r="CE185" s="59">
        <f t="shared" si="148"/>
        <v>180.55054525447781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0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497</v>
      </c>
      <c r="CU185" s="17">
        <f>CT185*VLOOKUP('Données projet'!$B$13,Paramètres!$A$1:$I$89,3,0)*VLOOKUP('Données projet'!$B$13,Paramètres!$A$1:$I$89,5,0)</f>
        <v>297.20600000000002</v>
      </c>
      <c r="CV185" s="13">
        <f t="shared" si="173"/>
        <v>70.590415164571112</v>
      </c>
      <c r="CW185" s="20">
        <f t="shared" si="174"/>
        <v>640.57875641162809</v>
      </c>
      <c r="CX185" s="59">
        <f t="shared" si="122"/>
        <v>933.91208974496135</v>
      </c>
      <c r="CY185" s="59">
        <f ca="1">AVERAGE(OFFSET($CX$3,0,0,'Données projet'!$E$13+1,1))-AVERAGE(OFFSET($H$3,0,0,'Données projet'!$E$13+1,1))</f>
        <v>270.30888762640245</v>
      </c>
      <c r="CZ185" s="59">
        <f t="shared" si="150"/>
        <v>202.23783851977691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0.10555116660227792</v>
      </c>
      <c r="DG185" s="21">
        <f>EXP(-LN(2)/25)*DG184+(1-EXP(-LN(2)/25))/(LN(2)/25)*Calculateur!DB185*Calculateur!DD185*VLOOKUP('Données projet'!$B$13,Paramètres!$A$1:$I$89,3,0)*0.475*44/12</f>
        <v>0.18174962045986559</v>
      </c>
      <c r="DH185" s="21">
        <f>EXP(-LN(2)/2)*DH184+(1-EXP(-LN(2)/2))/(LN(2)/2)*DB185*DE185*VLOOKUP('Données projet'!$B$13,Paramètres!$A$1:$I$89,3,0)*0.475*44/12</f>
        <v>2.4474763677205599E-22</v>
      </c>
      <c r="DI185" s="22">
        <f t="shared" si="175"/>
        <v>0.28730078706214351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433.00000000000011</v>
      </c>
      <c r="DP185" s="17">
        <f>DO185*VLOOKUP('Données projet'!$B$14,Paramètres!$A$1:$I$89,3,0)*VLOOKUP('Données projet'!$B$14,Paramètres!$A$1:$I$89,5,0)</f>
        <v>258.93400000000008</v>
      </c>
      <c r="DQ185" s="13">
        <f t="shared" si="176"/>
        <v>62.495095530116075</v>
      </c>
      <c r="DR185" s="20">
        <f t="shared" si="177"/>
        <v>559.82234138161891</v>
      </c>
      <c r="DS185" s="59">
        <f t="shared" si="125"/>
        <v>853.15567471495228</v>
      </c>
      <c r="DT185" s="59">
        <f ca="1">AVERAGE(OFFSET($DS$3,0,0,'Données projet'!$E$14+1,1))-AVERAGE(OFFSET($H$3,0,0,'Données projet'!$E$14+1,1))</f>
        <v>221.14988592347311</v>
      </c>
      <c r="DU185" s="59">
        <f t="shared" si="152"/>
        <v>179.09262081171607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0.11258791104242985</v>
      </c>
      <c r="EB185" s="21">
        <f>EXP(-LN(2)/25)*EB184+(1-EXP(-LN(2)/25))/(LN(2)/25)*Calculateur!DW185*Calculateur!DY185*VLOOKUP('Données projet'!$B$14,Paramètres!$A$1:$I$89,3,0)*0.475*44/12</f>
        <v>0.15137662218812836</v>
      </c>
      <c r="EC185" s="21">
        <f>EXP(-LN(2)/2)*EC184+(1-EXP(-LN(2)/2))/(LN(2)/2)*DW185*DZ185*VLOOKUP('Données projet'!$B$14,Paramètres!$A$1:$I$89,3,0)*0.475*44/12</f>
        <v>2.5807714193263937E-22</v>
      </c>
      <c r="ED185" s="22">
        <f t="shared" si="178"/>
        <v>0.26396453323055824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2.2737367544323206E-13</v>
      </c>
      <c r="EK185" s="17">
        <f>EJ185*VLOOKUP('Données projet'!$B$15,Paramètres!$A$1:$I$89,3,0)*VLOOKUP('Données projet'!$B$15,Paramètres!$A$1:$I$89,5,0)</f>
        <v>1.2414602679200471E-13</v>
      </c>
      <c r="EL185" s="13">
        <f t="shared" si="179"/>
        <v>1.8186582995804361E-12</v>
      </c>
      <c r="EM185" s="20">
        <f t="shared" si="180"/>
        <v>3.3837175350986671E-12</v>
      </c>
      <c r="EN185" s="59">
        <f t="shared" si="128"/>
        <v>293.33333333333672</v>
      </c>
      <c r="EO185" s="59">
        <f ca="1">AVERAGE(OFFSET($EN$3,0,0,'Données projet'!$E$15+1,1))-AVERAGE(OFFSET($H$3,0,0,'Données projet'!$E$15+1,1))</f>
        <v>168.72306536277267</v>
      </c>
      <c r="EP185" s="59">
        <f t="shared" si="154"/>
        <v>203.35476578922339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0.14991325111627873</v>
      </c>
      <c r="EW185" s="21">
        <f>EXP(-LN(2)/25)*EW184+(1-EXP(-LN(2)/25))/(LN(2)/25)*Calculateur!ER185*Calculateur!ET185*VLOOKUP('Données projet'!$B$15,Paramètres!$A$1:$I$89,3,0)*0.475*44/12</f>
        <v>0.33976805303301516</v>
      </c>
      <c r="EX185" s="21">
        <f>EXP(-LN(2)/2)*EX184+(1-EXP(-LN(2)/2))/(LN(2)/2)*ER185*EU185*VLOOKUP('Données projet'!$B$15,Paramètres!$A$1:$I$89,3,0)*0.475*44/12</f>
        <v>2.6501340343244277E-22</v>
      </c>
      <c r="EY185" s="22">
        <f t="shared" si="181"/>
        <v>0.48968130414929389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3.4106051316484809E-13</v>
      </c>
      <c r="FF185" s="17">
        <f>FE185*VLOOKUP('Données projet'!$B$16,Paramètres!$A$1:$I$89,3,0)*VLOOKUP('Données projet'!$B$16,Paramètres!$A$1:$I$89,5,0)</f>
        <v>1.8621904018800707E-13</v>
      </c>
      <c r="FG185" s="13">
        <f t="shared" si="182"/>
        <v>2.6022279988572714E-12</v>
      </c>
      <c r="FH185" s="20">
        <f t="shared" si="183"/>
        <v>4.8565452596705266E-12</v>
      </c>
      <c r="FI185" s="59">
        <f t="shared" si="131"/>
        <v>293.33333333333815</v>
      </c>
      <c r="FJ185" s="59">
        <f ca="1">AVERAGE(OFFSET($FI$3,0,0,'Données projet'!$E$16+1,1))-AVERAGE(OFFSET($H$3,0,0,'Données projet'!$E$16+1,1))</f>
        <v>127.76128532861486</v>
      </c>
      <c r="FK185" s="59">
        <f t="shared" si="156"/>
        <v>157.52303491639736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>
        <f>EXP(-LN(2)/35)*FQ184+(1-EXP(-LN(2)/35))/(LN(2)/35)*FM185*FN185*VLOOKUP('Données projet'!$B$16,Paramètres!$A$1:$I$89,3,0)*0.475*44/12</f>
        <v>0.119930600893023</v>
      </c>
      <c r="FR185" s="21">
        <f>EXP(-LN(2)/25)*FR184+(1-EXP(-LN(2)/25))/(LN(2)/25)*Calculateur!FM185*Calculateur!FO185*VLOOKUP('Données projet'!$B$16,Paramètres!$A$1:$I$89,3,0)*0.475*44/12</f>
        <v>0.24126346784050545</v>
      </c>
      <c r="FS185" s="21">
        <f>EXP(-LN(2)/2)*FS184+(1-EXP(-LN(2)/2))/(LN(2)/2)*FM185*FP185*VLOOKUP('Données projet'!$B$16,Paramètres!$A$1:$I$89,3,0)*0.475*44/12</f>
        <v>2.1039993216069406E-22</v>
      </c>
      <c r="FT185" s="22">
        <f t="shared" si="184"/>
        <v>0.36119406873352844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-5.6843418860808015E-13</v>
      </c>
      <c r="O186" s="13">
        <f>N186*VLOOKUP('Données projet'!$B$9,Paramètres!$A$1:$I$89,3,0)*VLOOKUP('Données projet'!$B$9,Paramètres!$A$1:$I$89,5,0)</f>
        <v>-5.1431925385259092E-13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153.45079678708987</v>
      </c>
      <c r="T186" s="59">
        <f t="shared" si="142"/>
        <v>115.4217868409637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0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3.2339743589743506</v>
      </c>
      <c r="AI186" s="13">
        <f>IF('Données projet'!$A$62&gt;35,AI185+AH186-AQ185,IF(A186&lt;'Données projet'!$A$62,$AF$205^A186,IF(A186='Données projet'!$A$62,'Données projet'!$B$62,AI185+AH186-AQ185)))</f>
        <v>201.86858974359001</v>
      </c>
      <c r="AJ186" s="13">
        <f>AI186*VLOOKUP('Données projet'!$B$10,Paramètres!$A$1:$I$89,3,0)*VLOOKUP('Données projet'!$B$10,Paramètres!$A$1:$I$89,5,0)</f>
        <v>182.65070000000023</v>
      </c>
      <c r="AK186" s="13">
        <f t="shared" si="164"/>
        <v>45.911415393316702</v>
      </c>
      <c r="AL186" s="20">
        <f t="shared" si="165"/>
        <v>398.07901764336037</v>
      </c>
      <c r="AM186" s="59">
        <f t="shared" si="113"/>
        <v>691.41235097669369</v>
      </c>
      <c r="AN186" s="59">
        <f ca="1">AVERAGE(OFFSET($AM$3,0,0,'Données projet'!$E$10+1,1))-AVERAGE(OFFSET($H$3,0,0,'Données projet'!$E$10+1,1))</f>
        <v>123.92486590666675</v>
      </c>
      <c r="AO186" s="59">
        <f t="shared" si="144"/>
        <v>54.404493017418986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0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1.1368683772161603E-13</v>
      </c>
      <c r="BE186" s="13">
        <f>BD186*VLOOKUP('Données projet'!$B$11,Paramètres!$A$1:$I$89,3,0)*VLOOKUP('Données projet'!$B$11,Paramètres!$A$1:$I$89,5,0)</f>
        <v>6.3550942286383367E-14</v>
      </c>
      <c r="BF186" s="13">
        <f t="shared" si="167"/>
        <v>1.0064464192543978E-12</v>
      </c>
      <c r="BG186" s="20">
        <f t="shared" si="168"/>
        <v>1.8635787380168604E-12</v>
      </c>
      <c r="BH186" s="59">
        <f t="shared" si="116"/>
        <v>293.33333333333519</v>
      </c>
      <c r="BI186" s="59">
        <f ca="1">AVERAGE(OFFSET($BH$3,0,0,'Données projet'!$E$11+1,1))-AVERAGE(OFFSET($H$3,0,0,'Données projet'!$E$11+1,1))</f>
        <v>224.7049802939942</v>
      </c>
      <c r="BJ186" s="59">
        <f t="shared" si="146"/>
        <v>203.48513862195352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0.10779526658431698</v>
      </c>
      <c r="BQ186" s="21">
        <f>EXP(-LN(2)/25)*BQ185+(1-EXP(-LN(2)/25))/(LN(2)/25)*Calculateur!BL186*Calculateur!BN186*VLOOKUP('Données projet'!$B$11,Paramètres!$A$1:$I$89,3,0)*0.475*44/12</f>
        <v>0.28072233006449576</v>
      </c>
      <c r="BR186" s="21">
        <f>EXP(-LN(2)/2)*BR185+(1-EXP(-LN(2)/2))/(LN(2)/2)*BL186*BO186*VLOOKUP('Données projet'!$B$11,Paramètres!$A$1:$I$89,3,0)*0.475*44/12</f>
        <v>8.3857716646517261E-23</v>
      </c>
      <c r="BS186" s="22">
        <f t="shared" si="169"/>
        <v>0.38851759664881275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6.2527760746888816E-13</v>
      </c>
      <c r="BZ186" s="13">
        <f>BY186*VLOOKUP('Données projet'!$B$12,Paramètres!$A$1:$I$89,3,0)*VLOOKUP('Données projet'!$B$12,Paramètres!$A$1:$I$89,5,0)</f>
        <v>3.4953018257510848E-13</v>
      </c>
      <c r="CA186" s="13">
        <f t="shared" si="170"/>
        <v>4.5391562386470354E-12</v>
      </c>
      <c r="CB186" s="20">
        <f t="shared" si="171"/>
        <v>8.5144621836285662E-12</v>
      </c>
      <c r="CC186" s="59">
        <f t="shared" si="119"/>
        <v>293.33333333334184</v>
      </c>
      <c r="CD186" s="59">
        <f ca="1">AVERAGE(OFFSET($CC$3,0,0,'Données projet'!$E$12+1,1))-AVERAGE(OFFSET($H$3,0,0,'Données projet'!$E$12+1,1))</f>
        <v>190.08613104982993</v>
      </c>
      <c r="CE186" s="59">
        <f t="shared" si="148"/>
        <v>180.55054525447781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0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497</v>
      </c>
      <c r="CU186" s="17">
        <f>CT186*VLOOKUP('Données projet'!$B$13,Paramètres!$A$1:$I$89,3,0)*VLOOKUP('Données projet'!$B$13,Paramètres!$A$1:$I$89,5,0)</f>
        <v>297.20600000000002</v>
      </c>
      <c r="CV186" s="13">
        <f t="shared" si="173"/>
        <v>70.590415164571112</v>
      </c>
      <c r="CW186" s="20">
        <f t="shared" si="174"/>
        <v>640.57875641162809</v>
      </c>
      <c r="CX186" s="59">
        <f t="shared" si="122"/>
        <v>933.91208974496135</v>
      </c>
      <c r="CY186" s="59">
        <f ca="1">AVERAGE(OFFSET($CX$3,0,0,'Données projet'!$E$13+1,1))-AVERAGE(OFFSET($H$3,0,0,'Données projet'!$E$13+1,1))</f>
        <v>270.30888762640245</v>
      </c>
      <c r="CZ186" s="59">
        <f t="shared" si="150"/>
        <v>202.23783851977691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0.10348137260506191</v>
      </c>
      <c r="DG186" s="21">
        <f>EXP(-LN(2)/25)*DG185+(1-EXP(-LN(2)/25))/(LN(2)/25)*Calculateur!DB186*Calculateur!DD186*VLOOKUP('Données projet'!$B$13,Paramètres!$A$1:$I$89,3,0)*0.475*44/12</f>
        <v>0.17677966753059343</v>
      </c>
      <c r="DH186" s="21">
        <f>EXP(-LN(2)/2)*DH185+(1-EXP(-LN(2)/2))/(LN(2)/2)*DB186*DE186*VLOOKUP('Données projet'!$B$13,Paramètres!$A$1:$I$89,3,0)*0.475*44/12</f>
        <v>1.7306271364090281E-22</v>
      </c>
      <c r="DI186" s="22">
        <f t="shared" si="175"/>
        <v>0.28026104013565534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433.00000000000011</v>
      </c>
      <c r="DP186" s="17">
        <f>DO186*VLOOKUP('Données projet'!$B$14,Paramètres!$A$1:$I$89,3,0)*VLOOKUP('Données projet'!$B$14,Paramètres!$A$1:$I$89,5,0)</f>
        <v>258.93400000000008</v>
      </c>
      <c r="DQ186" s="13">
        <f t="shared" si="176"/>
        <v>62.495095530116075</v>
      </c>
      <c r="DR186" s="20">
        <f t="shared" si="177"/>
        <v>559.82234138161891</v>
      </c>
      <c r="DS186" s="59">
        <f t="shared" si="125"/>
        <v>853.15567471495228</v>
      </c>
      <c r="DT186" s="59">
        <f ca="1">AVERAGE(OFFSET($DS$3,0,0,'Données projet'!$E$14+1,1))-AVERAGE(OFFSET($H$3,0,0,'Données projet'!$E$14+1,1))</f>
        <v>221.14988592347311</v>
      </c>
      <c r="DU186" s="59">
        <f t="shared" si="152"/>
        <v>179.09262081171607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0.11038013077873275</v>
      </c>
      <c r="EB186" s="21">
        <f>EXP(-LN(2)/25)*EB185+(1-EXP(-LN(2)/25))/(LN(2)/25)*Calculateur!DW186*Calculateur!DY186*VLOOKUP('Données projet'!$B$14,Paramètres!$A$1:$I$89,3,0)*0.475*44/12</f>
        <v>0.14723722049384341</v>
      </c>
      <c r="EC186" s="21">
        <f>EXP(-LN(2)/2)*EC185+(1-EXP(-LN(2)/2))/(LN(2)/2)*DW186*DZ186*VLOOKUP('Données projet'!$B$14,Paramètres!$A$1:$I$89,3,0)*0.475*44/12</f>
        <v>1.824880971298124E-22</v>
      </c>
      <c r="ED186" s="22">
        <f t="shared" si="178"/>
        <v>0.25761735127257618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2.2737367544323206E-13</v>
      </c>
      <c r="EK186" s="17">
        <f>EJ186*VLOOKUP('Données projet'!$B$15,Paramètres!$A$1:$I$89,3,0)*VLOOKUP('Données projet'!$B$15,Paramètres!$A$1:$I$89,5,0)</f>
        <v>1.2414602679200471E-13</v>
      </c>
      <c r="EL186" s="13">
        <f t="shared" si="179"/>
        <v>1.8186582995804361E-12</v>
      </c>
      <c r="EM186" s="20">
        <f t="shared" si="180"/>
        <v>3.3837175350986671E-12</v>
      </c>
      <c r="EN186" s="59">
        <f t="shared" si="128"/>
        <v>293.33333333333672</v>
      </c>
      <c r="EO186" s="59">
        <f ca="1">AVERAGE(OFFSET($EN$3,0,0,'Données projet'!$E$15+1,1))-AVERAGE(OFFSET($H$3,0,0,'Données projet'!$E$15+1,1))</f>
        <v>168.72306536277267</v>
      </c>
      <c r="EP186" s="59">
        <f t="shared" si="154"/>
        <v>203.35476578922339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0.14697354369994292</v>
      </c>
      <c r="EW186" s="21">
        <f>EXP(-LN(2)/25)*EW185+(1-EXP(-LN(2)/25))/(LN(2)/25)*Calculateur!ER186*Calculateur!ET186*VLOOKUP('Données projet'!$B$15,Paramètres!$A$1:$I$89,3,0)*0.475*44/12</f>
        <v>0.33047707775520202</v>
      </c>
      <c r="EX186" s="21">
        <f>EXP(-LN(2)/2)*EX185+(1-EXP(-LN(2)/2))/(LN(2)/2)*ER186*EU186*VLOOKUP('Données projet'!$B$15,Paramètres!$A$1:$I$89,3,0)*0.475*44/12</f>
        <v>1.8739277467240656E-22</v>
      </c>
      <c r="EY186" s="22">
        <f t="shared" si="181"/>
        <v>0.47745062145514494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3.4106051316484809E-13</v>
      </c>
      <c r="FF186" s="17">
        <f>FE186*VLOOKUP('Données projet'!$B$16,Paramètres!$A$1:$I$89,3,0)*VLOOKUP('Données projet'!$B$16,Paramètres!$A$1:$I$89,5,0)</f>
        <v>1.8621904018800707E-13</v>
      </c>
      <c r="FG186" s="13">
        <f t="shared" si="182"/>
        <v>2.6022279988572714E-12</v>
      </c>
      <c r="FH186" s="20">
        <f t="shared" si="183"/>
        <v>4.8565452596705266E-12</v>
      </c>
      <c r="FI186" s="59">
        <f t="shared" si="131"/>
        <v>293.33333333333815</v>
      </c>
      <c r="FJ186" s="59">
        <f ca="1">AVERAGE(OFFSET($FI$3,0,0,'Données projet'!$E$16+1,1))-AVERAGE(OFFSET($H$3,0,0,'Données projet'!$E$16+1,1))</f>
        <v>127.76128532861486</v>
      </c>
      <c r="FK186" s="59">
        <f t="shared" si="156"/>
        <v>157.52303491639736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>
        <f>EXP(-LN(2)/35)*FQ185+(1-EXP(-LN(2)/35))/(LN(2)/35)*FM186*FN186*VLOOKUP('Données projet'!$B$16,Paramètres!$A$1:$I$89,3,0)*0.475*44/12</f>
        <v>0.11757883495995436</v>
      </c>
      <c r="FR186" s="21">
        <f>EXP(-LN(2)/25)*FR185+(1-EXP(-LN(2)/25))/(LN(2)/25)*Calculateur!FM186*Calculateur!FO186*VLOOKUP('Données projet'!$B$16,Paramètres!$A$1:$I$89,3,0)*0.475*44/12</f>
        <v>0.23466610562491247</v>
      </c>
      <c r="FS186" s="21">
        <f>EXP(-LN(2)/2)*FS185+(1-EXP(-LN(2)/2))/(LN(2)/2)*FM186*FP186*VLOOKUP('Données projet'!$B$16,Paramètres!$A$1:$I$89,3,0)*0.475*44/12</f>
        <v>1.4877521879201635E-22</v>
      </c>
      <c r="FT186" s="22">
        <f t="shared" si="184"/>
        <v>0.35224494058486683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-5.6843418860808015E-13</v>
      </c>
      <c r="O187" s="13">
        <f>N187*VLOOKUP('Données projet'!$B$9,Paramètres!$A$1:$I$89,3,0)*VLOOKUP('Données projet'!$B$9,Paramètres!$A$1:$I$89,5,0)</f>
        <v>-5.1431925385259092E-13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153.45079678708987</v>
      </c>
      <c r="T187" s="59">
        <f t="shared" si="142"/>
        <v>115.4217868409637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0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>
        <f>VLOOKUP(A187,'Données projet'!$A$61:$I$81,2,0)</f>
        <v>205.10256410256409</v>
      </c>
      <c r="AG187" s="12">
        <f>VLOOKUP(A187,'Données projet'!$A$61:$I$81,9,0)</f>
        <v>3.2339743589743506</v>
      </c>
      <c r="AH187" s="12">
        <f t="array" ref="AH187">INDEX(AG:AG,MIN(IF(ISNUMBER(AG187:AG383),ROW(AG187:AG383),"")))</f>
        <v>3.2339743589743506</v>
      </c>
      <c r="AI187" s="13">
        <f>IF('Données projet'!$A$62&gt;35,AI186+AH187-AQ186,IF(A187&lt;'Données projet'!$A$62,$AF$205^A187,IF(A187='Données projet'!$A$62,'Données projet'!$B$62,AI186+AH187-AQ186)))</f>
        <v>205.10256410256437</v>
      </c>
      <c r="AJ187" s="13">
        <f>AI187*VLOOKUP('Données projet'!$B$10,Paramètres!$A$1:$I$89,3,0)*VLOOKUP('Données projet'!$B$10,Paramètres!$A$1:$I$89,5,0)</f>
        <v>185.57680000000025</v>
      </c>
      <c r="AK187" s="13">
        <f t="shared" si="164"/>
        <v>46.560709548901571</v>
      </c>
      <c r="AL187" s="20">
        <f t="shared" si="165"/>
        <v>404.30616246433732</v>
      </c>
      <c r="AM187" s="59">
        <f t="shared" si="113"/>
        <v>697.63949579767063</v>
      </c>
      <c r="AN187" s="59">
        <f ca="1">AVERAGE(OFFSET($AM$3,0,0,'Données projet'!$E$10+1,1))-AVERAGE(OFFSET($H$3,0,0,'Données projet'!$E$10+1,1))</f>
        <v>123.92486590666675</v>
      </c>
      <c r="AO187" s="59">
        <f t="shared" si="144"/>
        <v>54.404493017418986</v>
      </c>
      <c r="AP187" s="15">
        <f>IF(ISNA(VLOOKUP(A187,'Données projet'!$A$61:$I$81,3,0)),0,VLOOKUP(A187,'Données projet'!$A$61:$I$81,3,0))</f>
        <v>14</v>
      </c>
      <c r="AQ187" s="15">
        <f>IF(ISNA(VLOOKUP(A187,'Données projet'!$A$61:$I$81,4,0)),0,VLOOKUP(A187,'Données projet'!$A$61:$I$81,4,0))</f>
        <v>69.160256410256409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0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1.1368683772161603E-13</v>
      </c>
      <c r="BE187" s="13">
        <f>BD187*VLOOKUP('Données projet'!$B$11,Paramètres!$A$1:$I$89,3,0)*VLOOKUP('Données projet'!$B$11,Paramètres!$A$1:$I$89,5,0)</f>
        <v>6.3550942286383367E-14</v>
      </c>
      <c r="BF187" s="13">
        <f t="shared" si="167"/>
        <v>1.0064464192543978E-12</v>
      </c>
      <c r="BG187" s="20">
        <f t="shared" si="168"/>
        <v>1.8635787380168604E-12</v>
      </c>
      <c r="BH187" s="59">
        <f t="shared" si="116"/>
        <v>293.33333333333519</v>
      </c>
      <c r="BI187" s="59">
        <f ca="1">AVERAGE(OFFSET($BH$3,0,0,'Données projet'!$E$11+1,1))-AVERAGE(OFFSET($H$3,0,0,'Données projet'!$E$11+1,1))</f>
        <v>224.7049802939942</v>
      </c>
      <c r="BJ187" s="59">
        <f t="shared" si="146"/>
        <v>203.48513862195352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0.10568146715521901</v>
      </c>
      <c r="BQ187" s="21">
        <f>EXP(-LN(2)/25)*BQ186+(1-EXP(-LN(2)/25))/(LN(2)/25)*Calculateur!BL187*Calculateur!BN187*VLOOKUP('Données projet'!$B$11,Paramètres!$A$1:$I$89,3,0)*0.475*44/12</f>
        <v>0.27304596318633639</v>
      </c>
      <c r="BR187" s="21">
        <f>EXP(-LN(2)/2)*BR186+(1-EXP(-LN(2)/2))/(LN(2)/2)*BL187*BO187*VLOOKUP('Données projet'!$B$11,Paramètres!$A$1:$I$89,3,0)*0.475*44/12</f>
        <v>5.9296360095572385E-23</v>
      </c>
      <c r="BS187" s="22">
        <f t="shared" si="169"/>
        <v>0.37872743034155543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6.2527760746888816E-13</v>
      </c>
      <c r="BZ187" s="13">
        <f>BY187*VLOOKUP('Données projet'!$B$12,Paramètres!$A$1:$I$89,3,0)*VLOOKUP('Données projet'!$B$12,Paramètres!$A$1:$I$89,5,0)</f>
        <v>3.4953018257510848E-13</v>
      </c>
      <c r="CA187" s="13">
        <f t="shared" si="170"/>
        <v>4.5391562386470354E-12</v>
      </c>
      <c r="CB187" s="20">
        <f t="shared" si="171"/>
        <v>8.5144621836285662E-12</v>
      </c>
      <c r="CC187" s="59">
        <f t="shared" si="119"/>
        <v>293.33333333334184</v>
      </c>
      <c r="CD187" s="59">
        <f ca="1">AVERAGE(OFFSET($CC$3,0,0,'Données projet'!$E$12+1,1))-AVERAGE(OFFSET($H$3,0,0,'Données projet'!$E$12+1,1))</f>
        <v>190.08613104982993</v>
      </c>
      <c r="CE187" s="59">
        <f t="shared" si="148"/>
        <v>180.55054525447781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0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497</v>
      </c>
      <c r="CU187" s="17">
        <f>CT187*VLOOKUP('Données projet'!$B$13,Paramètres!$A$1:$I$89,3,0)*VLOOKUP('Données projet'!$B$13,Paramètres!$A$1:$I$89,5,0)</f>
        <v>297.20600000000002</v>
      </c>
      <c r="CV187" s="13">
        <f t="shared" si="173"/>
        <v>70.590415164571112</v>
      </c>
      <c r="CW187" s="20">
        <f t="shared" si="174"/>
        <v>640.57875641162809</v>
      </c>
      <c r="CX187" s="59">
        <f t="shared" si="122"/>
        <v>933.91208974496135</v>
      </c>
      <c r="CY187" s="59">
        <f ca="1">AVERAGE(OFFSET($CX$3,0,0,'Données projet'!$E$13+1,1))-AVERAGE(OFFSET($H$3,0,0,'Données projet'!$E$13+1,1))</f>
        <v>270.30888762640245</v>
      </c>
      <c r="CZ187" s="59">
        <f t="shared" si="150"/>
        <v>202.23783851977691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0.1014521660056816</v>
      </c>
      <c r="DG187" s="21">
        <f>EXP(-LN(2)/25)*DG186+(1-EXP(-LN(2)/25))/(LN(2)/25)*Calculateur!DB187*Calculateur!DD187*VLOOKUP('Données projet'!$B$13,Paramètres!$A$1:$I$89,3,0)*0.475*44/12</f>
        <v>0.17194561822553067</v>
      </c>
      <c r="DH187" s="21">
        <f>EXP(-LN(2)/2)*DH186+(1-EXP(-LN(2)/2))/(LN(2)/2)*DB187*DE187*VLOOKUP('Données projet'!$B$13,Paramètres!$A$1:$I$89,3,0)*0.475*44/12</f>
        <v>1.22373818386028E-22</v>
      </c>
      <c r="DI187" s="22">
        <f t="shared" si="175"/>
        <v>0.2733977842312123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433.00000000000011</v>
      </c>
      <c r="DP187" s="17">
        <f>DO187*VLOOKUP('Données projet'!$B$14,Paramètres!$A$1:$I$89,3,0)*VLOOKUP('Données projet'!$B$14,Paramètres!$A$1:$I$89,5,0)</f>
        <v>258.93400000000008</v>
      </c>
      <c r="DQ187" s="13">
        <f t="shared" si="176"/>
        <v>62.495095530116075</v>
      </c>
      <c r="DR187" s="20">
        <f t="shared" si="177"/>
        <v>559.82234138161891</v>
      </c>
      <c r="DS187" s="59">
        <f t="shared" si="125"/>
        <v>853.15567471495228</v>
      </c>
      <c r="DT187" s="59">
        <f ca="1">AVERAGE(OFFSET($DS$3,0,0,'Données projet'!$E$14+1,1))-AVERAGE(OFFSET($H$3,0,0,'Données projet'!$E$14+1,1))</f>
        <v>221.14988592347311</v>
      </c>
      <c r="DU187" s="59">
        <f t="shared" si="152"/>
        <v>179.09262081171607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0.10821564373939377</v>
      </c>
      <c r="EB187" s="21">
        <f>EXP(-LN(2)/25)*EB186+(1-EXP(-LN(2)/25))/(LN(2)/25)*Calculateur!DW187*Calculateur!DY187*VLOOKUP('Données projet'!$B$14,Paramètres!$A$1:$I$89,3,0)*0.475*44/12</f>
        <v>0.14321101095657035</v>
      </c>
      <c r="EC187" s="21">
        <f>EXP(-LN(2)/2)*EC186+(1-EXP(-LN(2)/2))/(LN(2)/2)*DW187*DZ187*VLOOKUP('Données projet'!$B$14,Paramètres!$A$1:$I$89,3,0)*0.475*44/12</f>
        <v>1.2903857096631969E-22</v>
      </c>
      <c r="ED187" s="22">
        <f t="shared" si="178"/>
        <v>0.25142665469596415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2.2737367544323206E-13</v>
      </c>
      <c r="EK187" s="17">
        <f>EJ187*VLOOKUP('Données projet'!$B$15,Paramètres!$A$1:$I$89,3,0)*VLOOKUP('Données projet'!$B$15,Paramètres!$A$1:$I$89,5,0)</f>
        <v>1.2414602679200471E-13</v>
      </c>
      <c r="EL187" s="13">
        <f t="shared" si="179"/>
        <v>1.8186582995804361E-12</v>
      </c>
      <c r="EM187" s="20">
        <f t="shared" si="180"/>
        <v>3.3837175350986671E-12</v>
      </c>
      <c r="EN187" s="59">
        <f t="shared" si="128"/>
        <v>293.33333333333672</v>
      </c>
      <c r="EO187" s="59">
        <f ca="1">AVERAGE(OFFSET($EN$3,0,0,'Données projet'!$E$15+1,1))-AVERAGE(OFFSET($H$3,0,0,'Données projet'!$E$15+1,1))</f>
        <v>168.72306536277267</v>
      </c>
      <c r="EP187" s="59">
        <f t="shared" si="154"/>
        <v>203.35476578922339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0.144091482152997</v>
      </c>
      <c r="EW187" s="21">
        <f>EXP(-LN(2)/25)*EW186+(1-EXP(-LN(2)/25))/(LN(2)/25)*Calculateur!ER187*Calculateur!ET187*VLOOKUP('Données projet'!$B$15,Paramètres!$A$1:$I$89,3,0)*0.475*44/12</f>
        <v>0.32144016468495179</v>
      </c>
      <c r="EX187" s="21">
        <f>EXP(-LN(2)/2)*EX186+(1-EXP(-LN(2)/2))/(LN(2)/2)*ER187*EU187*VLOOKUP('Données projet'!$B$15,Paramètres!$A$1:$I$89,3,0)*0.475*44/12</f>
        <v>1.3250670171622139E-22</v>
      </c>
      <c r="EY187" s="22">
        <f t="shared" si="181"/>
        <v>0.46553164683794879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3.4106051316484809E-13</v>
      </c>
      <c r="FF187" s="17">
        <f>FE187*VLOOKUP('Données projet'!$B$16,Paramètres!$A$1:$I$89,3,0)*VLOOKUP('Données projet'!$B$16,Paramètres!$A$1:$I$89,5,0)</f>
        <v>1.8621904018800707E-13</v>
      </c>
      <c r="FG187" s="13">
        <f t="shared" si="182"/>
        <v>2.6022279988572714E-12</v>
      </c>
      <c r="FH187" s="20">
        <f t="shared" si="183"/>
        <v>4.8565452596705266E-12</v>
      </c>
      <c r="FI187" s="59">
        <f t="shared" si="131"/>
        <v>293.33333333333815</v>
      </c>
      <c r="FJ187" s="59">
        <f ca="1">AVERAGE(OFFSET($FI$3,0,0,'Données projet'!$E$16+1,1))-AVERAGE(OFFSET($H$3,0,0,'Données projet'!$E$16+1,1))</f>
        <v>127.76128532861486</v>
      </c>
      <c r="FK187" s="59">
        <f t="shared" si="156"/>
        <v>157.52303491639736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>
        <f>EXP(-LN(2)/35)*FQ186+(1-EXP(-LN(2)/35))/(LN(2)/35)*FM187*FN187*VLOOKUP('Données projet'!$B$16,Paramètres!$A$1:$I$89,3,0)*0.475*44/12</f>
        <v>0.11527318572239761</v>
      </c>
      <c r="FR187" s="21">
        <f>EXP(-LN(2)/25)*FR186+(1-EXP(-LN(2)/25))/(LN(2)/25)*Calculateur!FM187*Calculateur!FO187*VLOOKUP('Données projet'!$B$16,Paramètres!$A$1:$I$89,3,0)*0.475*44/12</f>
        <v>0.22824914862604509</v>
      </c>
      <c r="FS187" s="21">
        <f>EXP(-LN(2)/2)*FS186+(1-EXP(-LN(2)/2))/(LN(2)/2)*FM187*FP187*VLOOKUP('Données projet'!$B$16,Paramètres!$A$1:$I$89,3,0)*0.475*44/12</f>
        <v>1.0519996608034705E-22</v>
      </c>
      <c r="FT187" s="22">
        <f t="shared" si="184"/>
        <v>0.3435223343484427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-5.6843418860808015E-13</v>
      </c>
      <c r="O188" s="13">
        <f>N188*VLOOKUP('Données projet'!$B$9,Paramètres!$A$1:$I$89,3,0)*VLOOKUP('Données projet'!$B$9,Paramètres!$A$1:$I$89,5,0)</f>
        <v>-5.1431925385259092E-13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153.45079678708987</v>
      </c>
      <c r="T188" s="59">
        <f t="shared" si="142"/>
        <v>115.4217868409637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0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2.0801282051282115</v>
      </c>
      <c r="AI188" s="13">
        <f>IF('Données projet'!$A$62&gt;35,AI187+AH188-AQ187,IF(A188&lt;'Données projet'!$A$62,$AF$205^A188,IF(A188='Données projet'!$A$62,'Données projet'!$B$62,AI187+AH188-AQ187)))</f>
        <v>138.02243589743617</v>
      </c>
      <c r="AJ188" s="13">
        <f>AI188*VLOOKUP('Données projet'!$B$10,Paramètres!$A$1:$I$89,3,0)*VLOOKUP('Données projet'!$B$10,Paramètres!$A$1:$I$89,5,0)</f>
        <v>124.88270000000024</v>
      </c>
      <c r="AK188" s="13">
        <f t="shared" si="164"/>
        <v>32.811152037630578</v>
      </c>
      <c r="AL188" s="20">
        <f t="shared" si="165"/>
        <v>274.65012563220699</v>
      </c>
      <c r="AM188" s="59">
        <f t="shared" si="113"/>
        <v>567.98345896554031</v>
      </c>
      <c r="AN188" s="59">
        <f ca="1">AVERAGE(OFFSET($AM$3,0,0,'Données projet'!$E$10+1,1))-AVERAGE(OFFSET($H$3,0,0,'Données projet'!$E$10+1,1))</f>
        <v>123.92486590666675</v>
      </c>
      <c r="AO188" s="59">
        <f t="shared" si="144"/>
        <v>54.404493017418986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0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1.1368683772161603E-13</v>
      </c>
      <c r="BE188" s="13">
        <f>BD188*VLOOKUP('Données projet'!$B$11,Paramètres!$A$1:$I$89,3,0)*VLOOKUP('Données projet'!$B$11,Paramètres!$A$1:$I$89,5,0)</f>
        <v>6.3550942286383367E-14</v>
      </c>
      <c r="BF188" s="13">
        <f t="shared" si="167"/>
        <v>1.0064464192543978E-12</v>
      </c>
      <c r="BG188" s="20">
        <f t="shared" si="168"/>
        <v>1.8635787380168604E-12</v>
      </c>
      <c r="BH188" s="59">
        <f t="shared" si="116"/>
        <v>293.33333333333519</v>
      </c>
      <c r="BI188" s="59">
        <f ca="1">AVERAGE(OFFSET($BH$3,0,0,'Données projet'!$E$11+1,1))-AVERAGE(OFFSET($H$3,0,0,'Données projet'!$E$11+1,1))</f>
        <v>224.7049802939942</v>
      </c>
      <c r="BJ188" s="59">
        <f t="shared" si="146"/>
        <v>203.48513862195352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0.10360911804363529</v>
      </c>
      <c r="BQ188" s="21">
        <f>EXP(-LN(2)/25)*BQ187+(1-EXP(-LN(2)/25))/(LN(2)/25)*Calculateur!BL188*Calculateur!BN188*VLOOKUP('Données projet'!$B$11,Paramètres!$A$1:$I$89,3,0)*0.475*44/12</f>
        <v>0.2655795069641429</v>
      </c>
      <c r="BR188" s="21">
        <f>EXP(-LN(2)/2)*BR187+(1-EXP(-LN(2)/2))/(LN(2)/2)*BL188*BO188*VLOOKUP('Données projet'!$B$11,Paramètres!$A$1:$I$89,3,0)*0.475*44/12</f>
        <v>4.1928858323258631E-23</v>
      </c>
      <c r="BS188" s="22">
        <f t="shared" si="169"/>
        <v>0.36918862500777816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6.2527760746888816E-13</v>
      </c>
      <c r="BZ188" s="13">
        <f>BY188*VLOOKUP('Données projet'!$B$12,Paramètres!$A$1:$I$89,3,0)*VLOOKUP('Données projet'!$B$12,Paramètres!$A$1:$I$89,5,0)</f>
        <v>3.4953018257510848E-13</v>
      </c>
      <c r="CA188" s="13">
        <f t="shared" si="170"/>
        <v>4.5391562386470354E-12</v>
      </c>
      <c r="CB188" s="20">
        <f t="shared" si="171"/>
        <v>8.5144621836285662E-12</v>
      </c>
      <c r="CC188" s="59">
        <f t="shared" si="119"/>
        <v>293.33333333334184</v>
      </c>
      <c r="CD188" s="59">
        <f ca="1">AVERAGE(OFFSET($CC$3,0,0,'Données projet'!$E$12+1,1))-AVERAGE(OFFSET($H$3,0,0,'Données projet'!$E$12+1,1))</f>
        <v>190.08613104982993</v>
      </c>
      <c r="CE188" s="59">
        <f t="shared" si="148"/>
        <v>180.55054525447781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0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497</v>
      </c>
      <c r="CU188" s="17">
        <f>CT188*VLOOKUP('Données projet'!$B$13,Paramètres!$A$1:$I$89,3,0)*VLOOKUP('Données projet'!$B$13,Paramètres!$A$1:$I$89,5,0)</f>
        <v>297.20600000000002</v>
      </c>
      <c r="CV188" s="13">
        <f t="shared" si="173"/>
        <v>70.590415164571112</v>
      </c>
      <c r="CW188" s="20">
        <f t="shared" si="174"/>
        <v>640.57875641162809</v>
      </c>
      <c r="CX188" s="59">
        <f t="shared" si="122"/>
        <v>933.91208974496135</v>
      </c>
      <c r="CY188" s="59">
        <f ca="1">AVERAGE(OFFSET($CX$3,0,0,'Données projet'!$E$13+1,1))-AVERAGE(OFFSET($H$3,0,0,'Données projet'!$E$13+1,1))</f>
        <v>270.30888762640245</v>
      </c>
      <c r="CZ188" s="59">
        <f t="shared" si="150"/>
        <v>202.23783851977691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9.9462750910021339E-2</v>
      </c>
      <c r="DG188" s="21">
        <f>EXP(-LN(2)/25)*DG187+(1-EXP(-LN(2)/25))/(LN(2)/25)*Calculateur!DB188*Calculateur!DD188*VLOOKUP('Données projet'!$B$13,Paramètres!$A$1:$I$89,3,0)*0.475*44/12</f>
        <v>0.16724375625292645</v>
      </c>
      <c r="DH188" s="21">
        <f>EXP(-LN(2)/2)*DH187+(1-EXP(-LN(2)/2))/(LN(2)/2)*DB188*DE188*VLOOKUP('Données projet'!$B$13,Paramètres!$A$1:$I$89,3,0)*0.475*44/12</f>
        <v>8.6531356820451405E-23</v>
      </c>
      <c r="DI188" s="22">
        <f t="shared" si="175"/>
        <v>0.2667065071629478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433.00000000000011</v>
      </c>
      <c r="DP188" s="17">
        <f>DO188*VLOOKUP('Données projet'!$B$14,Paramètres!$A$1:$I$89,3,0)*VLOOKUP('Données projet'!$B$14,Paramètres!$A$1:$I$89,5,0)</f>
        <v>258.93400000000008</v>
      </c>
      <c r="DQ188" s="13">
        <f t="shared" si="176"/>
        <v>62.495095530116075</v>
      </c>
      <c r="DR188" s="20">
        <f t="shared" si="177"/>
        <v>559.82234138161891</v>
      </c>
      <c r="DS188" s="59">
        <f t="shared" si="125"/>
        <v>853.15567471495228</v>
      </c>
      <c r="DT188" s="59">
        <f ca="1">AVERAGE(OFFSET($DS$3,0,0,'Données projet'!$E$14+1,1))-AVERAGE(OFFSET($H$3,0,0,'Données projet'!$E$14+1,1))</f>
        <v>221.14988592347311</v>
      </c>
      <c r="DU188" s="59">
        <f t="shared" si="152"/>
        <v>179.09262081171607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0.10609360097068948</v>
      </c>
      <c r="EB188" s="21">
        <f>EXP(-LN(2)/25)*EB187+(1-EXP(-LN(2)/25))/(LN(2)/25)*Calculateur!DW188*Calculateur!DY188*VLOOKUP('Données projet'!$B$14,Paramètres!$A$1:$I$89,3,0)*0.475*44/12</f>
        <v>0.13929489833082317</v>
      </c>
      <c r="EC188" s="21">
        <f>EXP(-LN(2)/2)*EC187+(1-EXP(-LN(2)/2))/(LN(2)/2)*DW188*DZ188*VLOOKUP('Données projet'!$B$14,Paramètres!$A$1:$I$89,3,0)*0.475*44/12</f>
        <v>9.1244048564906199E-23</v>
      </c>
      <c r="ED188" s="22">
        <f t="shared" si="178"/>
        <v>0.24538849930151266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2.2737367544323206E-13</v>
      </c>
      <c r="EK188" s="17">
        <f>EJ188*VLOOKUP('Données projet'!$B$15,Paramètres!$A$1:$I$89,3,0)*VLOOKUP('Données projet'!$B$15,Paramètres!$A$1:$I$89,5,0)</f>
        <v>1.2414602679200471E-13</v>
      </c>
      <c r="EL188" s="13">
        <f t="shared" si="179"/>
        <v>1.8186582995804361E-12</v>
      </c>
      <c r="EM188" s="20">
        <f t="shared" si="180"/>
        <v>3.3837175350986671E-12</v>
      </c>
      <c r="EN188" s="59">
        <f t="shared" si="128"/>
        <v>293.33333333333672</v>
      </c>
      <c r="EO188" s="59">
        <f ca="1">AVERAGE(OFFSET($EN$3,0,0,'Données projet'!$E$15+1,1))-AVERAGE(OFFSET($H$3,0,0,'Données projet'!$E$15+1,1))</f>
        <v>168.72306536277267</v>
      </c>
      <c r="EP188" s="59">
        <f t="shared" si="154"/>
        <v>203.35476578922339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0.14126593607510271</v>
      </c>
      <c r="EW188" s="21">
        <f>EXP(-LN(2)/25)*EW187+(1-EXP(-LN(2)/25))/(LN(2)/25)*Calculateur!ER188*Calculateur!ET188*VLOOKUP('Données projet'!$B$15,Paramètres!$A$1:$I$89,3,0)*0.475*44/12</f>
        <v>0.31265036647783817</v>
      </c>
      <c r="EX188" s="21">
        <f>EXP(-LN(2)/2)*EX187+(1-EXP(-LN(2)/2))/(LN(2)/2)*ER188*EU188*VLOOKUP('Données projet'!$B$15,Paramètres!$A$1:$I$89,3,0)*0.475*44/12</f>
        <v>9.3696387336203278E-23</v>
      </c>
      <c r="EY188" s="22">
        <f t="shared" si="181"/>
        <v>0.45391630255294091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3.4106051316484809E-13</v>
      </c>
      <c r="FF188" s="17">
        <f>FE188*VLOOKUP('Données projet'!$B$16,Paramètres!$A$1:$I$89,3,0)*VLOOKUP('Données projet'!$B$16,Paramètres!$A$1:$I$89,5,0)</f>
        <v>1.8621904018800707E-13</v>
      </c>
      <c r="FG188" s="13">
        <f t="shared" si="182"/>
        <v>2.6022279988572714E-12</v>
      </c>
      <c r="FH188" s="20">
        <f t="shared" si="183"/>
        <v>4.8565452596705266E-12</v>
      </c>
      <c r="FI188" s="59">
        <f t="shared" si="131"/>
        <v>293.33333333333815</v>
      </c>
      <c r="FJ188" s="59">
        <f ca="1">AVERAGE(OFFSET($FI$3,0,0,'Données projet'!$E$16+1,1))-AVERAGE(OFFSET($H$3,0,0,'Données projet'!$E$16+1,1))</f>
        <v>127.76128532861486</v>
      </c>
      <c r="FK188" s="59">
        <f t="shared" si="156"/>
        <v>157.52303491639736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>
        <f>EXP(-LN(2)/35)*FQ187+(1-EXP(-LN(2)/35))/(LN(2)/35)*FM188*FN188*VLOOKUP('Données projet'!$B$16,Paramètres!$A$1:$I$89,3,0)*0.475*44/12</f>
        <v>0.11301274886008218</v>
      </c>
      <c r="FR188" s="21">
        <f>EXP(-LN(2)/25)*FR187+(1-EXP(-LN(2)/25))/(LN(2)/25)*Calculateur!FM188*Calculateur!FO188*VLOOKUP('Données projet'!$B$16,Paramètres!$A$1:$I$89,3,0)*0.475*44/12</f>
        <v>0.22200766365376484</v>
      </c>
      <c r="FS188" s="21">
        <f>EXP(-LN(2)/2)*FS187+(1-EXP(-LN(2)/2))/(LN(2)/2)*FM188*FP188*VLOOKUP('Données projet'!$B$16,Paramètres!$A$1:$I$89,3,0)*0.475*44/12</f>
        <v>7.4387609396008188E-23</v>
      </c>
      <c r="FT188" s="22">
        <f t="shared" si="184"/>
        <v>0.33502041251384701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-5.6843418860808015E-13</v>
      </c>
      <c r="O189" s="13">
        <f>N189*VLOOKUP('Données projet'!$B$9,Paramètres!$A$1:$I$89,3,0)*VLOOKUP('Données projet'!$B$9,Paramètres!$A$1:$I$89,5,0)</f>
        <v>-5.1431925385259092E-13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153.45079678708987</v>
      </c>
      <c r="T189" s="59">
        <f t="shared" si="142"/>
        <v>115.4217868409637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0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2.0801282051282115</v>
      </c>
      <c r="AI189" s="13">
        <f>IF('Données projet'!$A$62&gt;35,AI188+AH189-AQ188,IF(A189&lt;'Données projet'!$A$62,$AF$205^A189,IF(A189='Données projet'!$A$62,'Données projet'!$B$62,AI188+AH189-AQ188)))</f>
        <v>140.10256410256437</v>
      </c>
      <c r="AJ189" s="13">
        <f>AI189*VLOOKUP('Données projet'!$B$10,Paramètres!$A$1:$I$89,3,0)*VLOOKUP('Données projet'!$B$10,Paramètres!$A$1:$I$89,5,0)</f>
        <v>126.76480000000025</v>
      </c>
      <c r="AK189" s="13">
        <f t="shared" si="164"/>
        <v>33.2477066925724</v>
      </c>
      <c r="AL189" s="20">
        <f t="shared" si="165"/>
        <v>278.68844915623072</v>
      </c>
      <c r="AM189" s="59">
        <f t="shared" si="113"/>
        <v>572.02178248956398</v>
      </c>
      <c r="AN189" s="59">
        <f ca="1">AVERAGE(OFFSET($AM$3,0,0,'Données projet'!$E$10+1,1))-AVERAGE(OFFSET($H$3,0,0,'Données projet'!$E$10+1,1))</f>
        <v>123.92486590666675</v>
      </c>
      <c r="AO189" s="59">
        <f t="shared" si="144"/>
        <v>54.404493017418986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0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1.1368683772161603E-13</v>
      </c>
      <c r="BE189" s="13">
        <f>BD189*VLOOKUP('Données projet'!$B$11,Paramètres!$A$1:$I$89,3,0)*VLOOKUP('Données projet'!$B$11,Paramètres!$A$1:$I$89,5,0)</f>
        <v>6.3550942286383367E-14</v>
      </c>
      <c r="BF189" s="13">
        <f t="shared" si="167"/>
        <v>1.0064464192543978E-12</v>
      </c>
      <c r="BG189" s="20">
        <f t="shared" si="168"/>
        <v>1.8635787380168604E-12</v>
      </c>
      <c r="BH189" s="59">
        <f t="shared" si="116"/>
        <v>293.33333333333519</v>
      </c>
      <c r="BI189" s="59">
        <f ca="1">AVERAGE(OFFSET($BH$3,0,0,'Données projet'!$E$11+1,1))-AVERAGE(OFFSET($H$3,0,0,'Données projet'!$E$11+1,1))</f>
        <v>224.7049802939942</v>
      </c>
      <c r="BJ189" s="59">
        <f t="shared" si="146"/>
        <v>203.48513862195352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0.10157740643412159</v>
      </c>
      <c r="BQ189" s="21">
        <f>EXP(-LN(2)/25)*BQ188+(1-EXP(-LN(2)/25))/(LN(2)/25)*Calculateur!BL189*Calculateur!BN189*VLOOKUP('Données projet'!$B$11,Paramètres!$A$1:$I$89,3,0)*0.475*44/12</f>
        <v>0.25831722137998914</v>
      </c>
      <c r="BR189" s="21">
        <f>EXP(-LN(2)/2)*BR188+(1-EXP(-LN(2)/2))/(LN(2)/2)*BL189*BO189*VLOOKUP('Données projet'!$B$11,Paramètres!$A$1:$I$89,3,0)*0.475*44/12</f>
        <v>2.9648180047786192E-23</v>
      </c>
      <c r="BS189" s="22">
        <f t="shared" si="169"/>
        <v>0.35989462781411075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6.2527760746888816E-13</v>
      </c>
      <c r="BZ189" s="13">
        <f>BY189*VLOOKUP('Données projet'!$B$12,Paramètres!$A$1:$I$89,3,0)*VLOOKUP('Données projet'!$B$12,Paramètres!$A$1:$I$89,5,0)</f>
        <v>3.4953018257510848E-13</v>
      </c>
      <c r="CA189" s="13">
        <f t="shared" si="170"/>
        <v>4.5391562386470354E-12</v>
      </c>
      <c r="CB189" s="20">
        <f t="shared" si="171"/>
        <v>8.5144621836285662E-12</v>
      </c>
      <c r="CC189" s="59">
        <f t="shared" si="119"/>
        <v>293.33333333334184</v>
      </c>
      <c r="CD189" s="59">
        <f ca="1">AVERAGE(OFFSET($CC$3,0,0,'Données projet'!$E$12+1,1))-AVERAGE(OFFSET($H$3,0,0,'Données projet'!$E$12+1,1))</f>
        <v>190.08613104982993</v>
      </c>
      <c r="CE189" s="59">
        <f t="shared" si="148"/>
        <v>180.55054525447781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0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497</v>
      </c>
      <c r="CU189" s="17">
        <f>CT189*VLOOKUP('Données projet'!$B$13,Paramètres!$A$1:$I$89,3,0)*VLOOKUP('Données projet'!$B$13,Paramètres!$A$1:$I$89,5,0)</f>
        <v>297.20600000000002</v>
      </c>
      <c r="CV189" s="13">
        <f t="shared" si="173"/>
        <v>70.590415164571112</v>
      </c>
      <c r="CW189" s="20">
        <f t="shared" si="174"/>
        <v>640.57875641162809</v>
      </c>
      <c r="CX189" s="59">
        <f t="shared" si="122"/>
        <v>933.91208974496135</v>
      </c>
      <c r="CY189" s="59">
        <f ca="1">AVERAGE(OFFSET($CX$3,0,0,'Données projet'!$E$13+1,1))-AVERAGE(OFFSET($H$3,0,0,'Données projet'!$E$13+1,1))</f>
        <v>270.30888762640245</v>
      </c>
      <c r="CZ189" s="59">
        <f t="shared" si="150"/>
        <v>202.23783851977691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9.7512347030963578E-2</v>
      </c>
      <c r="DG189" s="21">
        <f>EXP(-LN(2)/25)*DG188+(1-EXP(-LN(2)/25))/(LN(2)/25)*Calculateur!DB189*Calculateur!DD189*VLOOKUP('Données projet'!$B$13,Paramètres!$A$1:$I$89,3,0)*0.475*44/12</f>
        <v>0.16267046694322326</v>
      </c>
      <c r="DH189" s="21">
        <f>EXP(-LN(2)/2)*DH188+(1-EXP(-LN(2)/2))/(LN(2)/2)*DB189*DE189*VLOOKUP('Données projet'!$B$13,Paramètres!$A$1:$I$89,3,0)*0.475*44/12</f>
        <v>6.1186909193013998E-23</v>
      </c>
      <c r="DI189" s="22">
        <f t="shared" si="175"/>
        <v>0.26018281397418686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433.00000000000011</v>
      </c>
      <c r="DP189" s="17">
        <f>DO189*VLOOKUP('Données projet'!$B$14,Paramètres!$A$1:$I$89,3,0)*VLOOKUP('Données projet'!$B$14,Paramètres!$A$1:$I$89,5,0)</f>
        <v>258.93400000000008</v>
      </c>
      <c r="DQ189" s="13">
        <f t="shared" si="176"/>
        <v>62.495095530116075</v>
      </c>
      <c r="DR189" s="20">
        <f t="shared" si="177"/>
        <v>559.82234138161891</v>
      </c>
      <c r="DS189" s="59">
        <f t="shared" si="125"/>
        <v>853.15567471495228</v>
      </c>
      <c r="DT189" s="59">
        <f ca="1">AVERAGE(OFFSET($DS$3,0,0,'Données projet'!$E$14+1,1))-AVERAGE(OFFSET($H$3,0,0,'Données projet'!$E$14+1,1))</f>
        <v>221.14988592347311</v>
      </c>
      <c r="DU189" s="59">
        <f t="shared" si="152"/>
        <v>179.09262081171607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0.1040131701663612</v>
      </c>
      <c r="EB189" s="21">
        <f>EXP(-LN(2)/25)*EB188+(1-EXP(-LN(2)/25))/(LN(2)/25)*Calculateur!DW189*Calculateur!DY189*VLOOKUP('Données projet'!$B$14,Paramètres!$A$1:$I$89,3,0)*0.475*44/12</f>
        <v>0.13548587201076648</v>
      </c>
      <c r="EC189" s="21">
        <f>EXP(-LN(2)/2)*EC188+(1-EXP(-LN(2)/2))/(LN(2)/2)*DW189*DZ189*VLOOKUP('Données projet'!$B$14,Paramètres!$A$1:$I$89,3,0)*0.475*44/12</f>
        <v>6.4519285483159843E-23</v>
      </c>
      <c r="ED189" s="22">
        <f t="shared" si="178"/>
        <v>0.2394990421771277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2.2737367544323206E-13</v>
      </c>
      <c r="EK189" s="17">
        <f>EJ189*VLOOKUP('Données projet'!$B$15,Paramètres!$A$1:$I$89,3,0)*VLOOKUP('Données projet'!$B$15,Paramètres!$A$1:$I$89,5,0)</f>
        <v>1.2414602679200471E-13</v>
      </c>
      <c r="EL189" s="13">
        <f t="shared" si="179"/>
        <v>1.8186582995804361E-12</v>
      </c>
      <c r="EM189" s="20">
        <f t="shared" si="180"/>
        <v>3.3837175350986671E-12</v>
      </c>
      <c r="EN189" s="59">
        <f t="shared" si="128"/>
        <v>293.33333333333672</v>
      </c>
      <c r="EO189" s="59">
        <f ca="1">AVERAGE(OFFSET($EN$3,0,0,'Données projet'!$E$15+1,1))-AVERAGE(OFFSET($H$3,0,0,'Données projet'!$E$15+1,1))</f>
        <v>168.72306536277267</v>
      </c>
      <c r="EP189" s="59">
        <f t="shared" si="154"/>
        <v>203.35476578922339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0.13849579723238301</v>
      </c>
      <c r="EW189" s="21">
        <f>EXP(-LN(2)/25)*EW188+(1-EXP(-LN(2)/25))/(LN(2)/25)*Calculateur!ER189*Calculateur!ET189*VLOOKUP('Données projet'!$B$15,Paramètres!$A$1:$I$89,3,0)*0.475*44/12</f>
        <v>0.30410092576493347</v>
      </c>
      <c r="EX189" s="21">
        <f>EXP(-LN(2)/2)*EX188+(1-EXP(-LN(2)/2))/(LN(2)/2)*ER189*EU189*VLOOKUP('Données projet'!$B$15,Paramètres!$A$1:$I$89,3,0)*0.475*44/12</f>
        <v>6.6253350858110693E-23</v>
      </c>
      <c r="EY189" s="22">
        <f t="shared" si="181"/>
        <v>0.44259672299731645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3.4106051316484809E-13</v>
      </c>
      <c r="FF189" s="17">
        <f>FE189*VLOOKUP('Données projet'!$B$16,Paramètres!$A$1:$I$89,3,0)*VLOOKUP('Données projet'!$B$16,Paramètres!$A$1:$I$89,5,0)</f>
        <v>1.8621904018800707E-13</v>
      </c>
      <c r="FG189" s="13">
        <f t="shared" si="182"/>
        <v>2.6022279988572714E-12</v>
      </c>
      <c r="FH189" s="20">
        <f t="shared" si="183"/>
        <v>4.8565452596705266E-12</v>
      </c>
      <c r="FI189" s="59">
        <f t="shared" si="131"/>
        <v>293.33333333333815</v>
      </c>
      <c r="FJ189" s="59">
        <f ca="1">AVERAGE(OFFSET($FI$3,0,0,'Données projet'!$E$16+1,1))-AVERAGE(OFFSET($H$3,0,0,'Données projet'!$E$16+1,1))</f>
        <v>127.76128532861486</v>
      </c>
      <c r="FK189" s="59">
        <f t="shared" si="156"/>
        <v>157.52303491639736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>
        <f>EXP(-LN(2)/35)*FQ188+(1-EXP(-LN(2)/35))/(LN(2)/35)*FM189*FN189*VLOOKUP('Données projet'!$B$16,Paramètres!$A$1:$I$89,3,0)*0.475*44/12</f>
        <v>0.11079663778590641</v>
      </c>
      <c r="FR189" s="21">
        <f>EXP(-LN(2)/25)*FR188+(1-EXP(-LN(2)/25))/(LN(2)/25)*Calculateur!FM189*Calculateur!FO189*VLOOKUP('Données projet'!$B$16,Paramètres!$A$1:$I$89,3,0)*0.475*44/12</f>
        <v>0.21593685241627703</v>
      </c>
      <c r="FS189" s="21">
        <f>EXP(-LN(2)/2)*FS188+(1-EXP(-LN(2)/2))/(LN(2)/2)*FM189*FP189*VLOOKUP('Données projet'!$B$16,Paramètres!$A$1:$I$89,3,0)*0.475*44/12</f>
        <v>5.2599983040173532E-23</v>
      </c>
      <c r="FT189" s="22">
        <f t="shared" si="184"/>
        <v>0.32673349020218345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-5.6843418860808015E-13</v>
      </c>
      <c r="O190" s="13">
        <f>N190*VLOOKUP('Données projet'!$B$9,Paramètres!$A$1:$I$89,3,0)*VLOOKUP('Données projet'!$B$9,Paramètres!$A$1:$I$89,5,0)</f>
        <v>-5.1431925385259092E-13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153.45079678708987</v>
      </c>
      <c r="T190" s="59">
        <f t="shared" si="142"/>
        <v>115.4217868409637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0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2.0801282051282115</v>
      </c>
      <c r="AI190" s="13">
        <f>IF('Données projet'!$A$62&gt;35,AI189+AH190-AQ189,IF(A190&lt;'Données projet'!$A$62,$AF$205^A190,IF(A190='Données projet'!$A$62,'Données projet'!$B$62,AI189+AH190-AQ189)))</f>
        <v>142.18269230769258</v>
      </c>
      <c r="AJ190" s="13">
        <f>AI190*VLOOKUP('Données projet'!$B$10,Paramètres!$A$1:$I$89,3,0)*VLOOKUP('Données projet'!$B$10,Paramètres!$A$1:$I$89,5,0)</f>
        <v>128.64690000000024</v>
      </c>
      <c r="AK190" s="13">
        <f t="shared" si="164"/>
        <v>33.683507510823439</v>
      </c>
      <c r="AL190" s="20">
        <f t="shared" si="165"/>
        <v>282.72545974801784</v>
      </c>
      <c r="AM190" s="59">
        <f t="shared" si="113"/>
        <v>576.05879308135115</v>
      </c>
      <c r="AN190" s="59">
        <f ca="1">AVERAGE(OFFSET($AM$3,0,0,'Données projet'!$E$10+1,1))-AVERAGE(OFFSET($H$3,0,0,'Données projet'!$E$10+1,1))</f>
        <v>123.92486590666675</v>
      </c>
      <c r="AO190" s="59">
        <f t="shared" si="144"/>
        <v>54.404493017418986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0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1.1368683772161603E-13</v>
      </c>
      <c r="BE190" s="13">
        <f>BD190*VLOOKUP('Données projet'!$B$11,Paramètres!$A$1:$I$89,3,0)*VLOOKUP('Données projet'!$B$11,Paramètres!$A$1:$I$89,5,0)</f>
        <v>6.3550942286383367E-14</v>
      </c>
      <c r="BF190" s="13">
        <f t="shared" si="167"/>
        <v>1.0064464192543978E-12</v>
      </c>
      <c r="BG190" s="20">
        <f t="shared" si="168"/>
        <v>1.8635787380168604E-12</v>
      </c>
      <c r="BH190" s="59">
        <f t="shared" si="116"/>
        <v>293.33333333333519</v>
      </c>
      <c r="BI190" s="59">
        <f ca="1">AVERAGE(OFFSET($BH$3,0,0,'Données projet'!$E$11+1,1))-AVERAGE(OFFSET($H$3,0,0,'Données projet'!$E$11+1,1))</f>
        <v>224.7049802939942</v>
      </c>
      <c r="BJ190" s="59">
        <f t="shared" si="146"/>
        <v>203.48513862195352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9.9585535450048737E-2</v>
      </c>
      <c r="BQ190" s="21">
        <f>EXP(-LN(2)/25)*BQ189+(1-EXP(-LN(2)/25))/(LN(2)/25)*Calculateur!BL190*Calculateur!BN190*VLOOKUP('Données projet'!$B$11,Paramètres!$A$1:$I$89,3,0)*0.475*44/12</f>
        <v>0.25125352337704104</v>
      </c>
      <c r="BR190" s="21">
        <f>EXP(-LN(2)/2)*BR189+(1-EXP(-LN(2)/2))/(LN(2)/2)*BL190*BO190*VLOOKUP('Données projet'!$B$11,Paramètres!$A$1:$I$89,3,0)*0.475*44/12</f>
        <v>2.0964429161629315E-23</v>
      </c>
      <c r="BS190" s="22">
        <f t="shared" si="169"/>
        <v>0.35083905882708977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6.2527760746888816E-13</v>
      </c>
      <c r="BZ190" s="13">
        <f>BY190*VLOOKUP('Données projet'!$B$12,Paramètres!$A$1:$I$89,3,0)*VLOOKUP('Données projet'!$B$12,Paramètres!$A$1:$I$89,5,0)</f>
        <v>3.4953018257510848E-13</v>
      </c>
      <c r="CA190" s="13">
        <f t="shared" si="170"/>
        <v>4.5391562386470354E-12</v>
      </c>
      <c r="CB190" s="20">
        <f t="shared" si="171"/>
        <v>8.5144621836285662E-12</v>
      </c>
      <c r="CC190" s="59">
        <f t="shared" si="119"/>
        <v>293.33333333334184</v>
      </c>
      <c r="CD190" s="59">
        <f ca="1">AVERAGE(OFFSET($CC$3,0,0,'Données projet'!$E$12+1,1))-AVERAGE(OFFSET($H$3,0,0,'Données projet'!$E$12+1,1))</f>
        <v>190.08613104982993</v>
      </c>
      <c r="CE190" s="59">
        <f t="shared" si="148"/>
        <v>180.55054525447781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0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497</v>
      </c>
      <c r="CU190" s="17">
        <f>CT190*VLOOKUP('Données projet'!$B$13,Paramètres!$A$1:$I$89,3,0)*VLOOKUP('Données projet'!$B$13,Paramètres!$A$1:$I$89,5,0)</f>
        <v>297.20600000000002</v>
      </c>
      <c r="CV190" s="13">
        <f t="shared" si="173"/>
        <v>70.590415164571112</v>
      </c>
      <c r="CW190" s="20">
        <f t="shared" si="174"/>
        <v>640.57875641162809</v>
      </c>
      <c r="CX190" s="59">
        <f t="shared" si="122"/>
        <v>933.91208974496135</v>
      </c>
      <c r="CY190" s="59">
        <f ca="1">AVERAGE(OFFSET($CX$3,0,0,'Données projet'!$E$13+1,1))-AVERAGE(OFFSET($H$3,0,0,'Données projet'!$E$13+1,1))</f>
        <v>270.30888762640245</v>
      </c>
      <c r="CZ190" s="59">
        <f t="shared" si="150"/>
        <v>202.23783851977691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9.5600189382345241E-2</v>
      </c>
      <c r="DG190" s="21">
        <f>EXP(-LN(2)/25)*DG189+(1-EXP(-LN(2)/25))/(LN(2)/25)*Calculateur!DB190*Calculateur!DD190*VLOOKUP('Données projet'!$B$13,Paramètres!$A$1:$I$89,3,0)*0.475*44/12</f>
        <v>0.15822223447019276</v>
      </c>
      <c r="DH190" s="21">
        <f>EXP(-LN(2)/2)*DH189+(1-EXP(-LN(2)/2))/(LN(2)/2)*DB190*DE190*VLOOKUP('Données projet'!$B$13,Paramètres!$A$1:$I$89,3,0)*0.475*44/12</f>
        <v>4.3265678410225702E-23</v>
      </c>
      <c r="DI190" s="22">
        <f t="shared" si="175"/>
        <v>0.253822423852538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433.00000000000011</v>
      </c>
      <c r="DP190" s="17">
        <f>DO190*VLOOKUP('Données projet'!$B$14,Paramètres!$A$1:$I$89,3,0)*VLOOKUP('Données projet'!$B$14,Paramètres!$A$1:$I$89,5,0)</f>
        <v>258.93400000000008</v>
      </c>
      <c r="DQ190" s="13">
        <f t="shared" si="176"/>
        <v>62.495095530116075</v>
      </c>
      <c r="DR190" s="20">
        <f t="shared" si="177"/>
        <v>559.82234138161891</v>
      </c>
      <c r="DS190" s="59">
        <f t="shared" si="125"/>
        <v>853.15567471495228</v>
      </c>
      <c r="DT190" s="59">
        <f ca="1">AVERAGE(OFFSET($DS$3,0,0,'Données projet'!$E$14+1,1))-AVERAGE(OFFSET($H$3,0,0,'Données projet'!$E$14+1,1))</f>
        <v>221.14988592347311</v>
      </c>
      <c r="DU190" s="59">
        <f t="shared" si="152"/>
        <v>179.09262081171607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0.10197353534116831</v>
      </c>
      <c r="EB190" s="21">
        <f>EXP(-LN(2)/25)*EB189+(1-EXP(-LN(2)/25))/(LN(2)/25)*Calculateur!DW190*Calculateur!DY190*VLOOKUP('Données projet'!$B$14,Paramètres!$A$1:$I$89,3,0)*0.475*44/12</f>
        <v>0.13178100371573973</v>
      </c>
      <c r="EC190" s="21">
        <f>EXP(-LN(2)/2)*EC189+(1-EXP(-LN(2)/2))/(LN(2)/2)*DW190*DZ190*VLOOKUP('Données projet'!$B$14,Paramètres!$A$1:$I$89,3,0)*0.475*44/12</f>
        <v>4.56220242824531E-23</v>
      </c>
      <c r="ED190" s="22">
        <f t="shared" si="178"/>
        <v>0.23375453905690802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2.2737367544323206E-13</v>
      </c>
      <c r="EK190" s="17">
        <f>EJ190*VLOOKUP('Données projet'!$B$15,Paramètres!$A$1:$I$89,3,0)*VLOOKUP('Données projet'!$B$15,Paramètres!$A$1:$I$89,5,0)</f>
        <v>1.2414602679200471E-13</v>
      </c>
      <c r="EL190" s="13">
        <f t="shared" si="179"/>
        <v>1.8186582995804361E-12</v>
      </c>
      <c r="EM190" s="20">
        <f t="shared" si="180"/>
        <v>3.3837175350986671E-12</v>
      </c>
      <c r="EN190" s="59">
        <f t="shared" si="128"/>
        <v>293.33333333333672</v>
      </c>
      <c r="EO190" s="59">
        <f ca="1">AVERAGE(OFFSET($EN$3,0,0,'Données projet'!$E$15+1,1))-AVERAGE(OFFSET($H$3,0,0,'Données projet'!$E$15+1,1))</f>
        <v>168.72306536277267</v>
      </c>
      <c r="EP190" s="59">
        <f t="shared" si="154"/>
        <v>203.35476578922339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0.13577997912275117</v>
      </c>
      <c r="EW190" s="21">
        <f>EXP(-LN(2)/25)*EW189+(1-EXP(-LN(2)/25))/(LN(2)/25)*Calculateur!ER190*Calculateur!ET190*VLOOKUP('Données projet'!$B$15,Paramètres!$A$1:$I$89,3,0)*0.475*44/12</f>
        <v>0.29578526995791871</v>
      </c>
      <c r="EX190" s="21">
        <f>EXP(-LN(2)/2)*EX189+(1-EXP(-LN(2)/2))/(LN(2)/2)*ER190*EU190*VLOOKUP('Données projet'!$B$15,Paramètres!$A$1:$I$89,3,0)*0.475*44/12</f>
        <v>4.6848193668101639E-23</v>
      </c>
      <c r="EY190" s="22">
        <f t="shared" si="181"/>
        <v>0.43156524908066984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3.4106051316484809E-13</v>
      </c>
      <c r="FF190" s="17">
        <f>FE190*VLOOKUP('Données projet'!$B$16,Paramètres!$A$1:$I$89,3,0)*VLOOKUP('Données projet'!$B$16,Paramètres!$A$1:$I$89,5,0)</f>
        <v>1.8621904018800707E-13</v>
      </c>
      <c r="FG190" s="13">
        <f t="shared" si="182"/>
        <v>2.6022279988572714E-12</v>
      </c>
      <c r="FH190" s="20">
        <f t="shared" si="183"/>
        <v>4.8565452596705266E-12</v>
      </c>
      <c r="FI190" s="59">
        <f t="shared" si="131"/>
        <v>293.33333333333815</v>
      </c>
      <c r="FJ190" s="59">
        <f ca="1">AVERAGE(OFFSET($FI$3,0,0,'Données projet'!$E$16+1,1))-AVERAGE(OFFSET($H$3,0,0,'Données projet'!$E$16+1,1))</f>
        <v>127.76128532861486</v>
      </c>
      <c r="FK190" s="59">
        <f t="shared" si="156"/>
        <v>157.52303491639736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>
        <f>EXP(-LN(2)/35)*FQ189+(1-EXP(-LN(2)/35))/(LN(2)/35)*FM190*FN190*VLOOKUP('Données projet'!$B$16,Paramètres!$A$1:$I$89,3,0)*0.475*44/12</f>
        <v>0.10862398329820094</v>
      </c>
      <c r="FR190" s="21">
        <f>EXP(-LN(2)/25)*FR189+(1-EXP(-LN(2)/25))/(LN(2)/25)*Calculateur!FM190*Calculateur!FO190*VLOOKUP('Données projet'!$B$16,Paramètres!$A$1:$I$89,3,0)*0.475*44/12</f>
        <v>0.21003204783132839</v>
      </c>
      <c r="FS190" s="21">
        <f>EXP(-LN(2)/2)*FS189+(1-EXP(-LN(2)/2))/(LN(2)/2)*FM190*FP190*VLOOKUP('Données projet'!$B$16,Paramètres!$A$1:$I$89,3,0)*0.475*44/12</f>
        <v>3.71938046980041E-23</v>
      </c>
      <c r="FT190" s="22">
        <f t="shared" si="184"/>
        <v>0.31865603112952934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-5.6843418860808015E-13</v>
      </c>
      <c r="O191" s="13">
        <f>N191*VLOOKUP('Données projet'!$B$9,Paramètres!$A$1:$I$89,3,0)*VLOOKUP('Données projet'!$B$9,Paramètres!$A$1:$I$89,5,0)</f>
        <v>-5.1431925385259092E-13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153.45079678708987</v>
      </c>
      <c r="T191" s="59">
        <f t="shared" si="142"/>
        <v>115.4217868409637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0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>
        <f>VLOOKUP(A191,'Données projet'!$A$61:$I$81,2,0)</f>
        <v>144.26282051282053</v>
      </c>
      <c r="AG191" s="12">
        <f>VLOOKUP(A191,'Données projet'!$A$61:$I$81,9,0)</f>
        <v>2.0801282051282115</v>
      </c>
      <c r="AH191" s="12">
        <f t="array" ref="AH191">INDEX(AG:AG,MIN(IF(ISNUMBER(AG191:AG387),ROW(AG191:AG387),"")))</f>
        <v>2.0801282051282115</v>
      </c>
      <c r="AI191" s="13">
        <f>IF('Données projet'!$A$62&gt;35,AI190+AH191-AQ190,IF(A191&lt;'Données projet'!$A$62,$AF$205^A191,IF(A191='Données projet'!$A$62,'Données projet'!$B$62,AI190+AH191-AQ190)))</f>
        <v>144.26282051282078</v>
      </c>
      <c r="AJ191" s="13">
        <f>AI191*VLOOKUP('Données projet'!$B$10,Paramètres!$A$1:$I$89,3,0)*VLOOKUP('Données projet'!$B$10,Paramètres!$A$1:$I$89,5,0)</f>
        <v>130.52900000000022</v>
      </c>
      <c r="AK191" s="13">
        <f t="shared" si="164"/>
        <v>34.118566795125972</v>
      </c>
      <c r="AL191" s="20">
        <f t="shared" si="165"/>
        <v>286.76117883484477</v>
      </c>
      <c r="AM191" s="59">
        <f t="shared" si="113"/>
        <v>580.09451216817808</v>
      </c>
      <c r="AN191" s="59">
        <f ca="1">AVERAGE(OFFSET($AM$3,0,0,'Données projet'!$E$10+1,1))-AVERAGE(OFFSET($H$3,0,0,'Données projet'!$E$10+1,1))</f>
        <v>123.92486590666675</v>
      </c>
      <c r="AO191" s="59">
        <f t="shared" si="144"/>
        <v>54.404493017418986</v>
      </c>
      <c r="AP191" s="15">
        <f>IF(ISNA(VLOOKUP(A191,'Données projet'!$A$61:$I$81,3,0)),0,VLOOKUP(A191,'Données projet'!$A$61:$I$81,3,0))</f>
        <v>15</v>
      </c>
      <c r="AQ191" s="15">
        <f>IF(ISNA(VLOOKUP(A191,'Données projet'!$A$61:$I$81,4,0)),0,VLOOKUP(A191,'Données projet'!$A$61:$I$81,4,0))</f>
        <v>49.307692307692307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0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1.1368683772161603E-13</v>
      </c>
      <c r="BE191" s="13">
        <f>BD191*VLOOKUP('Données projet'!$B$11,Paramètres!$A$1:$I$89,3,0)*VLOOKUP('Données projet'!$B$11,Paramètres!$A$1:$I$89,5,0)</f>
        <v>6.3550942286383367E-14</v>
      </c>
      <c r="BF191" s="13">
        <f t="shared" si="167"/>
        <v>1.0064464192543978E-12</v>
      </c>
      <c r="BG191" s="20">
        <f t="shared" si="168"/>
        <v>1.8635787380168604E-12</v>
      </c>
      <c r="BH191" s="59">
        <f t="shared" si="116"/>
        <v>293.33333333333519</v>
      </c>
      <c r="BI191" s="59">
        <f ca="1">AVERAGE(OFFSET($BH$3,0,0,'Données projet'!$E$11+1,1))-AVERAGE(OFFSET($H$3,0,0,'Données projet'!$E$11+1,1))</f>
        <v>224.7049802939942</v>
      </c>
      <c r="BJ191" s="59">
        <f t="shared" si="146"/>
        <v>203.48513862195352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9.7632723841052219E-2</v>
      </c>
      <c r="BQ191" s="21">
        <f>EXP(-LN(2)/25)*BQ190+(1-EXP(-LN(2)/25))/(LN(2)/25)*Calculateur!BL191*Calculateur!BN191*VLOOKUP('Données projet'!$B$11,Paramètres!$A$1:$I$89,3,0)*0.475*44/12</f>
        <v>0.24438298256744731</v>
      </c>
      <c r="BR191" s="21">
        <f>EXP(-LN(2)/2)*BR190+(1-EXP(-LN(2)/2))/(LN(2)/2)*BL191*BO191*VLOOKUP('Données projet'!$B$11,Paramètres!$A$1:$I$89,3,0)*0.475*44/12</f>
        <v>1.4824090023893096E-23</v>
      </c>
      <c r="BS191" s="22">
        <f t="shared" si="169"/>
        <v>0.34201570640849954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6.2527760746888816E-13</v>
      </c>
      <c r="BZ191" s="13">
        <f>BY191*VLOOKUP('Données projet'!$B$12,Paramètres!$A$1:$I$89,3,0)*VLOOKUP('Données projet'!$B$12,Paramètres!$A$1:$I$89,5,0)</f>
        <v>3.4953018257510848E-13</v>
      </c>
      <c r="CA191" s="13">
        <f t="shared" si="170"/>
        <v>4.5391562386470354E-12</v>
      </c>
      <c r="CB191" s="20">
        <f t="shared" si="171"/>
        <v>8.5144621836285662E-12</v>
      </c>
      <c r="CC191" s="59">
        <f t="shared" si="119"/>
        <v>293.33333333334184</v>
      </c>
      <c r="CD191" s="59">
        <f ca="1">AVERAGE(OFFSET($CC$3,0,0,'Données projet'!$E$12+1,1))-AVERAGE(OFFSET($H$3,0,0,'Données projet'!$E$12+1,1))</f>
        <v>190.08613104982993</v>
      </c>
      <c r="CE191" s="59">
        <f t="shared" si="148"/>
        <v>180.55054525447781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0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497</v>
      </c>
      <c r="CU191" s="17">
        <f>CT191*VLOOKUP('Données projet'!$B$13,Paramètres!$A$1:$I$89,3,0)*VLOOKUP('Données projet'!$B$13,Paramètres!$A$1:$I$89,5,0)</f>
        <v>297.20600000000002</v>
      </c>
      <c r="CV191" s="13">
        <f t="shared" si="173"/>
        <v>70.590415164571112</v>
      </c>
      <c r="CW191" s="20">
        <f t="shared" si="174"/>
        <v>640.57875641162809</v>
      </c>
      <c r="CX191" s="59">
        <f t="shared" si="122"/>
        <v>933.91208974496135</v>
      </c>
      <c r="CY191" s="59">
        <f ca="1">AVERAGE(OFFSET($CX$3,0,0,'Données projet'!$E$13+1,1))-AVERAGE(OFFSET($H$3,0,0,'Données projet'!$E$13+1,1))</f>
        <v>270.30888762640245</v>
      </c>
      <c r="CZ191" s="59">
        <f t="shared" si="150"/>
        <v>202.23783851977691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9.3725527978915299E-2</v>
      </c>
      <c r="DG191" s="21">
        <f>EXP(-LN(2)/25)*DG190+(1-EXP(-LN(2)/25))/(LN(2)/25)*Calculateur!DB191*Calculateur!DD191*VLOOKUP('Données projet'!$B$13,Paramètres!$A$1:$I$89,3,0)*0.475*44/12</f>
        <v>0.15389563914805965</v>
      </c>
      <c r="DH191" s="21">
        <f>EXP(-LN(2)/2)*DH190+(1-EXP(-LN(2)/2))/(LN(2)/2)*DB191*DE191*VLOOKUP('Données projet'!$B$13,Paramètres!$A$1:$I$89,3,0)*0.475*44/12</f>
        <v>3.0593454596506999E-23</v>
      </c>
      <c r="DI191" s="22">
        <f t="shared" si="175"/>
        <v>0.24762116712697496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433.00000000000011</v>
      </c>
      <c r="DP191" s="17">
        <f>DO191*VLOOKUP('Données projet'!$B$14,Paramètres!$A$1:$I$89,3,0)*VLOOKUP('Données projet'!$B$14,Paramètres!$A$1:$I$89,5,0)</f>
        <v>258.93400000000008</v>
      </c>
      <c r="DQ191" s="13">
        <f t="shared" si="176"/>
        <v>62.495095530116075</v>
      </c>
      <c r="DR191" s="20">
        <f t="shared" si="177"/>
        <v>559.82234138161891</v>
      </c>
      <c r="DS191" s="59">
        <f t="shared" si="125"/>
        <v>853.15567471495228</v>
      </c>
      <c r="DT191" s="59">
        <f ca="1">AVERAGE(OFFSET($DS$3,0,0,'Données projet'!$E$14+1,1))-AVERAGE(OFFSET($H$3,0,0,'Données projet'!$E$14+1,1))</f>
        <v>221.14988592347311</v>
      </c>
      <c r="DU191" s="59">
        <f t="shared" si="152"/>
        <v>179.09262081171607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9.9973896510843041E-2</v>
      </c>
      <c r="EB191" s="21">
        <f>EXP(-LN(2)/25)*EB190+(1-EXP(-LN(2)/25))/(LN(2)/25)*Calculateur!DW191*Calculateur!DY191*VLOOKUP('Données projet'!$B$14,Paramètres!$A$1:$I$89,3,0)*0.475*44/12</f>
        <v>0.12817744523907101</v>
      </c>
      <c r="EC191" s="21">
        <f>EXP(-LN(2)/2)*EC190+(1-EXP(-LN(2)/2))/(LN(2)/2)*DW191*DZ191*VLOOKUP('Données projet'!$B$14,Paramètres!$A$1:$I$89,3,0)*0.475*44/12</f>
        <v>3.2259642741579921E-23</v>
      </c>
      <c r="ED191" s="22">
        <f t="shared" si="178"/>
        <v>0.22815134174991406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2.2737367544323206E-13</v>
      </c>
      <c r="EK191" s="17">
        <f>EJ191*VLOOKUP('Données projet'!$B$15,Paramètres!$A$1:$I$89,3,0)*VLOOKUP('Données projet'!$B$15,Paramètres!$A$1:$I$89,5,0)</f>
        <v>1.2414602679200471E-13</v>
      </c>
      <c r="EL191" s="13">
        <f t="shared" si="179"/>
        <v>1.8186582995804361E-12</v>
      </c>
      <c r="EM191" s="20">
        <f t="shared" si="180"/>
        <v>3.3837175350986671E-12</v>
      </c>
      <c r="EN191" s="59">
        <f t="shared" si="128"/>
        <v>293.33333333333672</v>
      </c>
      <c r="EO191" s="59">
        <f ca="1">AVERAGE(OFFSET($EN$3,0,0,'Données projet'!$E$15+1,1))-AVERAGE(OFFSET($H$3,0,0,'Données projet'!$E$15+1,1))</f>
        <v>168.72306536277267</v>
      </c>
      <c r="EP191" s="59">
        <f t="shared" si="154"/>
        <v>203.35476578922339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0.13311741654976372</v>
      </c>
      <c r="EW191" s="21">
        <f>EXP(-LN(2)/25)*EW190+(1-EXP(-LN(2)/25))/(LN(2)/25)*Calculateur!ER191*Calculateur!ET191*VLOOKUP('Données projet'!$B$15,Paramètres!$A$1:$I$89,3,0)*0.475*44/12</f>
        <v>0.28769700619624811</v>
      </c>
      <c r="EX191" s="21">
        <f>EXP(-LN(2)/2)*EX190+(1-EXP(-LN(2)/2))/(LN(2)/2)*ER191*EU191*VLOOKUP('Données projet'!$B$15,Paramètres!$A$1:$I$89,3,0)*0.475*44/12</f>
        <v>3.3126675429055346E-23</v>
      </c>
      <c r="EY191" s="22">
        <f t="shared" si="181"/>
        <v>0.42081442274601183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3.4106051316484809E-13</v>
      </c>
      <c r="FF191" s="17">
        <f>FE191*VLOOKUP('Données projet'!$B$16,Paramètres!$A$1:$I$89,3,0)*VLOOKUP('Données projet'!$B$16,Paramètres!$A$1:$I$89,5,0)</f>
        <v>1.8621904018800707E-13</v>
      </c>
      <c r="FG191" s="13">
        <f t="shared" si="182"/>
        <v>2.6022279988572714E-12</v>
      </c>
      <c r="FH191" s="20">
        <f t="shared" si="183"/>
        <v>4.8565452596705266E-12</v>
      </c>
      <c r="FI191" s="59">
        <f t="shared" si="131"/>
        <v>293.33333333333815</v>
      </c>
      <c r="FJ191" s="59">
        <f ca="1">AVERAGE(OFFSET($FI$3,0,0,'Données projet'!$E$16+1,1))-AVERAGE(OFFSET($H$3,0,0,'Données projet'!$E$16+1,1))</f>
        <v>127.76128532861486</v>
      </c>
      <c r="FK191" s="59">
        <f t="shared" si="156"/>
        <v>157.52303491639736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>
        <f>EXP(-LN(2)/35)*FQ190+(1-EXP(-LN(2)/35))/(LN(2)/35)*FM191*FN191*VLOOKUP('Données projet'!$B$16,Paramètres!$A$1:$I$89,3,0)*0.475*44/12</f>
        <v>0.10649393323981099</v>
      </c>
      <c r="FR191" s="21">
        <f>EXP(-LN(2)/25)*FR190+(1-EXP(-LN(2)/25))/(LN(2)/25)*Calculateur!FM191*Calculateur!FO191*VLOOKUP('Données projet'!$B$16,Paramètres!$A$1:$I$89,3,0)*0.475*44/12</f>
        <v>0.20428871043827537</v>
      </c>
      <c r="FS191" s="21">
        <f>EXP(-LN(2)/2)*FS190+(1-EXP(-LN(2)/2))/(LN(2)/2)*FM191*FP191*VLOOKUP('Données projet'!$B$16,Paramètres!$A$1:$I$89,3,0)*0.475*44/12</f>
        <v>2.6299991520086772E-23</v>
      </c>
      <c r="FT191" s="22">
        <f t="shared" si="184"/>
        <v>0.31078264367808639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-5.6843418860808015E-13</v>
      </c>
      <c r="O192" s="13">
        <f>N192*VLOOKUP('Données projet'!$B$9,Paramètres!$A$1:$I$89,3,0)*VLOOKUP('Données projet'!$B$9,Paramètres!$A$1:$I$89,5,0)</f>
        <v>-5.1431925385259092E-13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153.45079678708987</v>
      </c>
      <c r="T192" s="59">
        <f t="shared" si="142"/>
        <v>115.4217868409637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0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1.3354700854700781</v>
      </c>
      <c r="AI192" s="13">
        <f>IF('Données projet'!$A$62&gt;35,AI191+AH192-AQ191,IF(A192&lt;'Données projet'!$A$62,$AF$205^A192,IF(A192='Données projet'!$A$62,'Données projet'!$B$62,AI191+AH192-AQ191)))</f>
        <v>96.290598290598567</v>
      </c>
      <c r="AJ192" s="13">
        <f>AI192*VLOOKUP('Données projet'!$B$10,Paramètres!$A$1:$I$89,3,0)*VLOOKUP('Données projet'!$B$10,Paramètres!$A$1:$I$89,5,0)</f>
        <v>87.123733333333576</v>
      </c>
      <c r="AK192" s="13">
        <f t="shared" si="164"/>
        <v>23.870232878251311</v>
      </c>
      <c r="AL192" s="20">
        <f t="shared" si="165"/>
        <v>193.31449115184367</v>
      </c>
      <c r="AM192" s="59">
        <f t="shared" si="113"/>
        <v>486.64782448517701</v>
      </c>
      <c r="AN192" s="59">
        <f ca="1">AVERAGE(OFFSET($AM$3,0,0,'Données projet'!$E$10+1,1))-AVERAGE(OFFSET($H$3,0,0,'Données projet'!$E$10+1,1))</f>
        <v>123.92486590666675</v>
      </c>
      <c r="AO192" s="59">
        <f t="shared" si="144"/>
        <v>54.404493017418986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0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1.1368683772161603E-13</v>
      </c>
      <c r="BE192" s="13">
        <f>BD192*VLOOKUP('Données projet'!$B$11,Paramètres!$A$1:$I$89,3,0)*VLOOKUP('Données projet'!$B$11,Paramètres!$A$1:$I$89,5,0)</f>
        <v>6.3550942286383367E-14</v>
      </c>
      <c r="BF192" s="13">
        <f t="shared" si="167"/>
        <v>1.0064464192543978E-12</v>
      </c>
      <c r="BG192" s="20">
        <f t="shared" si="168"/>
        <v>1.8635787380168604E-12</v>
      </c>
      <c r="BH192" s="59">
        <f t="shared" si="116"/>
        <v>293.33333333333519</v>
      </c>
      <c r="BI192" s="59">
        <f ca="1">AVERAGE(OFFSET($BH$3,0,0,'Données projet'!$E$11+1,1))-AVERAGE(OFFSET($H$3,0,0,'Données projet'!$E$11+1,1))</f>
        <v>224.7049802939942</v>
      </c>
      <c r="BJ192" s="59">
        <f t="shared" si="146"/>
        <v>203.48513862195352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9.5718205676610643E-2</v>
      </c>
      <c r="BQ192" s="21">
        <f>EXP(-LN(2)/25)*BQ191+(1-EXP(-LN(2)/25))/(LN(2)/25)*Calculateur!BL192*Calculateur!BN192*VLOOKUP('Données projet'!$B$11,Paramètres!$A$1:$I$89,3,0)*0.475*44/12</f>
        <v>0.23770031705759795</v>
      </c>
      <c r="BR192" s="21">
        <f>EXP(-LN(2)/2)*BR191+(1-EXP(-LN(2)/2))/(LN(2)/2)*BL192*BO192*VLOOKUP('Données projet'!$B$11,Paramètres!$A$1:$I$89,3,0)*0.475*44/12</f>
        <v>1.0482214580814658E-23</v>
      </c>
      <c r="BS192" s="22">
        <f t="shared" si="169"/>
        <v>0.33341852273420858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6.2527760746888816E-13</v>
      </c>
      <c r="BZ192" s="13">
        <f>BY192*VLOOKUP('Données projet'!$B$12,Paramètres!$A$1:$I$89,3,0)*VLOOKUP('Données projet'!$B$12,Paramètres!$A$1:$I$89,5,0)</f>
        <v>3.4953018257510848E-13</v>
      </c>
      <c r="CA192" s="13">
        <f t="shared" si="170"/>
        <v>4.5391562386470354E-12</v>
      </c>
      <c r="CB192" s="20">
        <f t="shared" si="171"/>
        <v>8.5144621836285662E-12</v>
      </c>
      <c r="CC192" s="59">
        <f t="shared" si="119"/>
        <v>293.33333333334184</v>
      </c>
      <c r="CD192" s="59">
        <f ca="1">AVERAGE(OFFSET($CC$3,0,0,'Données projet'!$E$12+1,1))-AVERAGE(OFFSET($H$3,0,0,'Données projet'!$E$12+1,1))</f>
        <v>190.08613104982993</v>
      </c>
      <c r="CE192" s="59">
        <f t="shared" si="148"/>
        <v>180.55054525447781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0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497</v>
      </c>
      <c r="CU192" s="17">
        <f>CT192*VLOOKUP('Données projet'!$B$13,Paramètres!$A$1:$I$89,3,0)*VLOOKUP('Données projet'!$B$13,Paramètres!$A$1:$I$89,5,0)</f>
        <v>297.20600000000002</v>
      </c>
      <c r="CV192" s="13">
        <f t="shared" si="173"/>
        <v>70.590415164571112</v>
      </c>
      <c r="CW192" s="20">
        <f t="shared" si="174"/>
        <v>640.57875641162809</v>
      </c>
      <c r="CX192" s="59">
        <f t="shared" si="122"/>
        <v>933.91208974496135</v>
      </c>
      <c r="CY192" s="59">
        <f ca="1">AVERAGE(OFFSET($CX$3,0,0,'Données projet'!$E$13+1,1))-AVERAGE(OFFSET($H$3,0,0,'Données projet'!$E$13+1,1))</f>
        <v>270.30888762640245</v>
      </c>
      <c r="CZ192" s="59">
        <f t="shared" si="150"/>
        <v>202.23783851977691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9.1887627542176067E-2</v>
      </c>
      <c r="DG192" s="21">
        <f>EXP(-LN(2)/25)*DG191+(1-EXP(-LN(2)/25))/(LN(2)/25)*Calculateur!DB192*Calculateur!DD192*VLOOKUP('Données projet'!$B$13,Paramètres!$A$1:$I$89,3,0)*0.475*44/12</f>
        <v>0.14968735480253603</v>
      </c>
      <c r="DH192" s="21">
        <f>EXP(-LN(2)/2)*DH191+(1-EXP(-LN(2)/2))/(LN(2)/2)*DB192*DE192*VLOOKUP('Données projet'!$B$13,Paramètres!$A$1:$I$89,3,0)*0.475*44/12</f>
        <v>2.1632839205112851E-23</v>
      </c>
      <c r="DI192" s="22">
        <f t="shared" si="175"/>
        <v>0.24157498234471209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433.00000000000011</v>
      </c>
      <c r="DP192" s="17">
        <f>DO192*VLOOKUP('Données projet'!$B$14,Paramètres!$A$1:$I$89,3,0)*VLOOKUP('Données projet'!$B$14,Paramètres!$A$1:$I$89,5,0)</f>
        <v>258.93400000000008</v>
      </c>
      <c r="DQ192" s="13">
        <f t="shared" si="176"/>
        <v>62.495095530116075</v>
      </c>
      <c r="DR192" s="20">
        <f t="shared" si="177"/>
        <v>559.82234138161891</v>
      </c>
      <c r="DS192" s="59">
        <f t="shared" si="125"/>
        <v>853.15567471495228</v>
      </c>
      <c r="DT192" s="59">
        <f ca="1">AVERAGE(OFFSET($DS$3,0,0,'Données projet'!$E$14+1,1))-AVERAGE(OFFSET($H$3,0,0,'Données projet'!$E$14+1,1))</f>
        <v>221.14988592347311</v>
      </c>
      <c r="DU192" s="59">
        <f t="shared" si="152"/>
        <v>179.09262081171607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9.80134693783212E-2</v>
      </c>
      <c r="EB192" s="21">
        <f>EXP(-LN(2)/25)*EB191+(1-EXP(-LN(2)/25))/(LN(2)/25)*Calculateur!DW192*Calculateur!DY192*VLOOKUP('Données projet'!$B$14,Paramètres!$A$1:$I$89,3,0)*0.475*44/12</f>
        <v>0.12467242625844972</v>
      </c>
      <c r="EC192" s="21">
        <f>EXP(-LN(2)/2)*EC191+(1-EXP(-LN(2)/2))/(LN(2)/2)*DW192*DZ192*VLOOKUP('Données projet'!$B$14,Paramètres!$A$1:$I$89,3,0)*0.475*44/12</f>
        <v>2.281101214122655E-23</v>
      </c>
      <c r="ED192" s="22">
        <f t="shared" si="178"/>
        <v>0.22268589563677094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2.2737367544323206E-13</v>
      </c>
      <c r="EK192" s="17">
        <f>EJ192*VLOOKUP('Données projet'!$B$15,Paramètres!$A$1:$I$89,3,0)*VLOOKUP('Données projet'!$B$15,Paramètres!$A$1:$I$89,5,0)</f>
        <v>1.2414602679200471E-13</v>
      </c>
      <c r="EL192" s="13">
        <f t="shared" si="179"/>
        <v>1.8186582995804361E-12</v>
      </c>
      <c r="EM192" s="20">
        <f t="shared" si="180"/>
        <v>3.3837175350986671E-12</v>
      </c>
      <c r="EN192" s="59">
        <f t="shared" si="128"/>
        <v>293.33333333333672</v>
      </c>
      <c r="EO192" s="59">
        <f ca="1">AVERAGE(OFFSET($EN$3,0,0,'Données projet'!$E$15+1,1))-AVERAGE(OFFSET($H$3,0,0,'Données projet'!$E$15+1,1))</f>
        <v>168.72306536277267</v>
      </c>
      <c r="EP192" s="59">
        <f t="shared" si="154"/>
        <v>203.35476578922339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0.13050706520482974</v>
      </c>
      <c r="EW192" s="21">
        <f>EXP(-LN(2)/25)*EW191+(1-EXP(-LN(2)/25))/(LN(2)/25)*Calculateur!ER192*Calculateur!ET192*VLOOKUP('Données projet'!$B$15,Paramètres!$A$1:$I$89,3,0)*0.475*44/12</f>
        <v>0.27982991643248367</v>
      </c>
      <c r="EX192" s="21">
        <f>EXP(-LN(2)/2)*EX191+(1-EXP(-LN(2)/2))/(LN(2)/2)*ER192*EU192*VLOOKUP('Données projet'!$B$15,Paramètres!$A$1:$I$89,3,0)*0.475*44/12</f>
        <v>2.342409683405082E-23</v>
      </c>
      <c r="EY192" s="22">
        <f t="shared" si="181"/>
        <v>0.41033698163731341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3.4106051316484809E-13</v>
      </c>
      <c r="FF192" s="17">
        <f>FE192*VLOOKUP('Données projet'!$B$16,Paramètres!$A$1:$I$89,3,0)*VLOOKUP('Données projet'!$B$16,Paramètres!$A$1:$I$89,5,0)</f>
        <v>1.8621904018800707E-13</v>
      </c>
      <c r="FG192" s="13">
        <f t="shared" si="182"/>
        <v>2.6022279988572714E-12</v>
      </c>
      <c r="FH192" s="20">
        <f t="shared" si="183"/>
        <v>4.8565452596705266E-12</v>
      </c>
      <c r="FI192" s="59">
        <f t="shared" si="131"/>
        <v>293.33333333333815</v>
      </c>
      <c r="FJ192" s="59">
        <f ca="1">AVERAGE(OFFSET($FI$3,0,0,'Données projet'!$E$16+1,1))-AVERAGE(OFFSET($H$3,0,0,'Données projet'!$E$16+1,1))</f>
        <v>127.76128532861486</v>
      </c>
      <c r="FK192" s="59">
        <f t="shared" si="156"/>
        <v>157.52303491639736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>
        <f>EXP(-LN(2)/35)*FQ191+(1-EXP(-LN(2)/35))/(LN(2)/35)*FM192*FN192*VLOOKUP('Données projet'!$B$16,Paramètres!$A$1:$I$89,3,0)*0.475*44/12</f>
        <v>0.10440565216386381</v>
      </c>
      <c r="FR192" s="21">
        <f>EXP(-LN(2)/25)*FR191+(1-EXP(-LN(2)/25))/(LN(2)/25)*Calculateur!FM192*Calculateur!FO192*VLOOKUP('Données projet'!$B$16,Paramètres!$A$1:$I$89,3,0)*0.475*44/12</f>
        <v>0.19870242490826437</v>
      </c>
      <c r="FS192" s="21">
        <f>EXP(-LN(2)/2)*FS191+(1-EXP(-LN(2)/2))/(LN(2)/2)*FM192*FP192*VLOOKUP('Données projet'!$B$16,Paramètres!$A$1:$I$89,3,0)*0.475*44/12</f>
        <v>1.8596902349002053E-23</v>
      </c>
      <c r="FT192" s="22">
        <f t="shared" si="184"/>
        <v>0.30310807707212817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-5.6843418860808015E-13</v>
      </c>
      <c r="O193" s="13">
        <f>N193*VLOOKUP('Données projet'!$B$9,Paramètres!$A$1:$I$89,3,0)*VLOOKUP('Données projet'!$B$9,Paramètres!$A$1:$I$89,5,0)</f>
        <v>-5.1431925385259092E-13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153.45079678708987</v>
      </c>
      <c r="T193" s="59">
        <f t="shared" si="142"/>
        <v>115.4217868409637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0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1.3354700854700781</v>
      </c>
      <c r="AI193" s="13">
        <f>IF('Données projet'!$A$62&gt;35,AI192+AH193-AQ192,IF(A193&lt;'Données projet'!$A$62,$AF$205^A193,IF(A193='Données projet'!$A$62,'Données projet'!$B$62,AI192+AH193-AQ192)))</f>
        <v>97.626068376068645</v>
      </c>
      <c r="AJ193" s="13">
        <f>AI193*VLOOKUP('Données projet'!$B$10,Paramètres!$A$1:$I$89,3,0)*VLOOKUP('Données projet'!$B$10,Paramètres!$A$1:$I$89,5,0)</f>
        <v>88.332066666666904</v>
      </c>
      <c r="AK193" s="13">
        <f t="shared" si="164"/>
        <v>24.162522733502406</v>
      </c>
      <c r="AL193" s="20">
        <f t="shared" si="165"/>
        <v>195.92807653862818</v>
      </c>
      <c r="AM193" s="59">
        <f t="shared" si="113"/>
        <v>489.26140987196152</v>
      </c>
      <c r="AN193" s="59">
        <f ca="1">AVERAGE(OFFSET($AM$3,0,0,'Données projet'!$E$10+1,1))-AVERAGE(OFFSET($H$3,0,0,'Données projet'!$E$10+1,1))</f>
        <v>123.92486590666675</v>
      </c>
      <c r="AO193" s="59">
        <f t="shared" si="144"/>
        <v>54.404493017418986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0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1.1368683772161603E-13</v>
      </c>
      <c r="BE193" s="13">
        <f>BD193*VLOOKUP('Données projet'!$B$11,Paramètres!$A$1:$I$89,3,0)*VLOOKUP('Données projet'!$B$11,Paramètres!$A$1:$I$89,5,0)</f>
        <v>6.3550942286383367E-14</v>
      </c>
      <c r="BF193" s="13">
        <f t="shared" si="167"/>
        <v>1.0064464192543978E-12</v>
      </c>
      <c r="BG193" s="20">
        <f t="shared" si="168"/>
        <v>1.8635787380168604E-12</v>
      </c>
      <c r="BH193" s="59">
        <f t="shared" si="116"/>
        <v>293.33333333333519</v>
      </c>
      <c r="BI193" s="59">
        <f ca="1">AVERAGE(OFFSET($BH$3,0,0,'Données projet'!$E$11+1,1))-AVERAGE(OFFSET($H$3,0,0,'Données projet'!$E$11+1,1))</f>
        <v>224.7049802939942</v>
      </c>
      <c r="BJ193" s="59">
        <f t="shared" si="146"/>
        <v>203.48513862195352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9.3841230045632995E-2</v>
      </c>
      <c r="BQ193" s="21">
        <f>EXP(-LN(2)/25)*BQ192+(1-EXP(-LN(2)/25))/(LN(2)/25)*Calculateur!BL193*Calculateur!BN193*VLOOKUP('Données projet'!$B$11,Paramètres!$A$1:$I$89,3,0)*0.475*44/12</f>
        <v>0.23120038938754153</v>
      </c>
      <c r="BR193" s="21">
        <f>EXP(-LN(2)/2)*BR192+(1-EXP(-LN(2)/2))/(LN(2)/2)*BL193*BO193*VLOOKUP('Données projet'!$B$11,Paramètres!$A$1:$I$89,3,0)*0.475*44/12</f>
        <v>7.4120450119465481E-24</v>
      </c>
      <c r="BS193" s="22">
        <f t="shared" si="169"/>
        <v>0.32504161943317456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6.2527760746888816E-13</v>
      </c>
      <c r="BZ193" s="13">
        <f>BY193*VLOOKUP('Données projet'!$B$12,Paramètres!$A$1:$I$89,3,0)*VLOOKUP('Données projet'!$B$12,Paramètres!$A$1:$I$89,5,0)</f>
        <v>3.4953018257510848E-13</v>
      </c>
      <c r="CA193" s="13">
        <f t="shared" si="170"/>
        <v>4.5391562386470354E-12</v>
      </c>
      <c r="CB193" s="20">
        <f t="shared" si="171"/>
        <v>8.5144621836285662E-12</v>
      </c>
      <c r="CC193" s="59">
        <f t="shared" si="119"/>
        <v>293.33333333334184</v>
      </c>
      <c r="CD193" s="59">
        <f ca="1">AVERAGE(OFFSET($CC$3,0,0,'Données projet'!$E$12+1,1))-AVERAGE(OFFSET($H$3,0,0,'Données projet'!$E$12+1,1))</f>
        <v>190.08613104982993</v>
      </c>
      <c r="CE193" s="59">
        <f t="shared" si="148"/>
        <v>180.55054525447781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0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497</v>
      </c>
      <c r="CU193" s="17">
        <f>CT193*VLOOKUP('Données projet'!$B$13,Paramètres!$A$1:$I$89,3,0)*VLOOKUP('Données projet'!$B$13,Paramètres!$A$1:$I$89,5,0)</f>
        <v>297.20600000000002</v>
      </c>
      <c r="CV193" s="13">
        <f t="shared" si="173"/>
        <v>70.590415164571112</v>
      </c>
      <c r="CW193" s="20">
        <f t="shared" si="174"/>
        <v>640.57875641162809</v>
      </c>
      <c r="CX193" s="59">
        <f t="shared" si="122"/>
        <v>933.91208974496135</v>
      </c>
      <c r="CY193" s="59">
        <f ca="1">AVERAGE(OFFSET($CX$3,0,0,'Données projet'!$E$13+1,1))-AVERAGE(OFFSET($H$3,0,0,'Données projet'!$E$13+1,1))</f>
        <v>270.30888762640245</v>
      </c>
      <c r="CZ193" s="59">
        <f t="shared" si="150"/>
        <v>202.23783851977691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9.0085767211992726E-2</v>
      </c>
      <c r="DG193" s="21">
        <f>EXP(-LN(2)/25)*DG192+(1-EXP(-LN(2)/25))/(LN(2)/25)*Calculateur!DB193*Calculateur!DD193*VLOOKUP('Données projet'!$B$13,Paramètres!$A$1:$I$89,3,0)*0.475*44/12</f>
        <v>0.14559414621374481</v>
      </c>
      <c r="DH193" s="21">
        <f>EXP(-LN(2)/2)*DH192+(1-EXP(-LN(2)/2))/(LN(2)/2)*DB193*DE193*VLOOKUP('Données projet'!$B$13,Paramètres!$A$1:$I$89,3,0)*0.475*44/12</f>
        <v>1.5296727298253499E-23</v>
      </c>
      <c r="DI193" s="22">
        <f t="shared" si="175"/>
        <v>0.23567991342573752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433.00000000000011</v>
      </c>
      <c r="DP193" s="17">
        <f>DO193*VLOOKUP('Données projet'!$B$14,Paramètres!$A$1:$I$89,3,0)*VLOOKUP('Données projet'!$B$14,Paramètres!$A$1:$I$89,5,0)</f>
        <v>258.93400000000008</v>
      </c>
      <c r="DQ193" s="13">
        <f t="shared" si="176"/>
        <v>62.495095530116075</v>
      </c>
      <c r="DR193" s="20">
        <f t="shared" si="177"/>
        <v>559.82234138161891</v>
      </c>
      <c r="DS193" s="59">
        <f t="shared" si="125"/>
        <v>853.15567471495228</v>
      </c>
      <c r="DT193" s="59">
        <f ca="1">AVERAGE(OFFSET($DS$3,0,0,'Données projet'!$E$14+1,1))-AVERAGE(OFFSET($H$3,0,0,'Données projet'!$E$14+1,1))</f>
        <v>221.14988592347311</v>
      </c>
      <c r="DU193" s="59">
        <f t="shared" si="152"/>
        <v>179.09262081171607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9.6091485026125634E-2</v>
      </c>
      <c r="EB193" s="21">
        <f>EXP(-LN(2)/25)*EB192+(1-EXP(-LN(2)/25))/(LN(2)/25)*Calculateur!DW193*Calculateur!DY193*VLOOKUP('Données projet'!$B$14,Paramètres!$A$1:$I$89,3,0)*0.475*44/12</f>
        <v>0.12126325220617445</v>
      </c>
      <c r="EC193" s="21">
        <f>EXP(-LN(2)/2)*EC192+(1-EXP(-LN(2)/2))/(LN(2)/2)*DW193*DZ193*VLOOKUP('Données projet'!$B$14,Paramètres!$A$1:$I$89,3,0)*0.475*44/12</f>
        <v>1.6129821370789961E-23</v>
      </c>
      <c r="ED193" s="22">
        <f t="shared" si="178"/>
        <v>0.21735473723230009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2.2737367544323206E-13</v>
      </c>
      <c r="EK193" s="17">
        <f>EJ193*VLOOKUP('Données projet'!$B$15,Paramètres!$A$1:$I$89,3,0)*VLOOKUP('Données projet'!$B$15,Paramètres!$A$1:$I$89,5,0)</f>
        <v>1.2414602679200471E-13</v>
      </c>
      <c r="EL193" s="13">
        <f t="shared" si="179"/>
        <v>1.8186582995804361E-12</v>
      </c>
      <c r="EM193" s="20">
        <f t="shared" si="180"/>
        <v>3.3837175350986671E-12</v>
      </c>
      <c r="EN193" s="59">
        <f t="shared" si="128"/>
        <v>293.33333333333672</v>
      </c>
      <c r="EO193" s="59">
        <f ca="1">AVERAGE(OFFSET($EN$3,0,0,'Données projet'!$E$15+1,1))-AVERAGE(OFFSET($H$3,0,0,'Données projet'!$E$15+1,1))</f>
        <v>168.72306536277267</v>
      </c>
      <c r="EP193" s="59">
        <f t="shared" si="154"/>
        <v>203.35476578922339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0.12794790125761282</v>
      </c>
      <c r="EW193" s="21">
        <f>EXP(-LN(2)/25)*EW192+(1-EXP(-LN(2)/25))/(LN(2)/25)*Calculateur!ER193*Calculateur!ET193*VLOOKUP('Données projet'!$B$15,Paramètres!$A$1:$I$89,3,0)*0.475*44/12</f>
        <v>0.27217795265202166</v>
      </c>
      <c r="EX193" s="21">
        <f>EXP(-LN(2)/2)*EX192+(1-EXP(-LN(2)/2))/(LN(2)/2)*ER193*EU193*VLOOKUP('Données projet'!$B$15,Paramètres!$A$1:$I$89,3,0)*0.475*44/12</f>
        <v>1.6563337714527673E-23</v>
      </c>
      <c r="EY193" s="22">
        <f t="shared" si="181"/>
        <v>0.40012585390963451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3.4106051316484809E-13</v>
      </c>
      <c r="FF193" s="17">
        <f>FE193*VLOOKUP('Données projet'!$B$16,Paramètres!$A$1:$I$89,3,0)*VLOOKUP('Données projet'!$B$16,Paramètres!$A$1:$I$89,5,0)</f>
        <v>1.8621904018800707E-13</v>
      </c>
      <c r="FG193" s="13">
        <f t="shared" si="182"/>
        <v>2.6022279988572714E-12</v>
      </c>
      <c r="FH193" s="20">
        <f t="shared" si="183"/>
        <v>4.8565452596705266E-12</v>
      </c>
      <c r="FI193" s="59">
        <f t="shared" si="131"/>
        <v>293.33333333333815</v>
      </c>
      <c r="FJ193" s="59">
        <f ca="1">AVERAGE(OFFSET($FI$3,0,0,'Données projet'!$E$16+1,1))-AVERAGE(OFFSET($H$3,0,0,'Données projet'!$E$16+1,1))</f>
        <v>127.76128532861486</v>
      </c>
      <c r="FK193" s="59">
        <f t="shared" si="156"/>
        <v>157.52303491639736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>
        <f>EXP(-LN(2)/35)*FQ192+(1-EXP(-LN(2)/35))/(LN(2)/35)*FM193*FN193*VLOOKUP('Données projet'!$B$16,Paramètres!$A$1:$I$89,3,0)*0.475*44/12</f>
        <v>0.10235832100609027</v>
      </c>
      <c r="FR193" s="21">
        <f>EXP(-LN(2)/25)*FR192+(1-EXP(-LN(2)/25))/(LN(2)/25)*Calculateur!FM193*Calculateur!FO193*VLOOKUP('Données projet'!$B$16,Paramètres!$A$1:$I$89,3,0)*0.475*44/12</f>
        <v>0.19326889664984148</v>
      </c>
      <c r="FS193" s="21">
        <f>EXP(-LN(2)/2)*FS192+(1-EXP(-LN(2)/2))/(LN(2)/2)*FM193*FP193*VLOOKUP('Données projet'!$B$16,Paramètres!$A$1:$I$89,3,0)*0.475*44/12</f>
        <v>1.3149995760043387E-23</v>
      </c>
      <c r="FT193" s="22">
        <f t="shared" si="184"/>
        <v>0.29562721765593175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-5.6843418860808015E-13</v>
      </c>
      <c r="O194" s="13">
        <f>N194*VLOOKUP('Données projet'!$B$9,Paramètres!$A$1:$I$89,3,0)*VLOOKUP('Données projet'!$B$9,Paramètres!$A$1:$I$89,5,0)</f>
        <v>-5.1431925385259092E-13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153.45079678708987</v>
      </c>
      <c r="T194" s="59">
        <f t="shared" si="142"/>
        <v>115.4217868409637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0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>
        <f>VLOOKUP(A194,'Données projet'!$A$61:$I$81,2,0)</f>
        <v>98.961538461538453</v>
      </c>
      <c r="AG194" s="12">
        <f>VLOOKUP(A194,'Données projet'!$A$61:$I$81,9,0)</f>
        <v>1.3354700854700781</v>
      </c>
      <c r="AH194" s="12">
        <f t="array" ref="AH194">INDEX(AG:AG,MIN(IF(ISNUMBER(AG194:AG390),ROW(AG194:AG390),"")))</f>
        <v>1.3354700854700781</v>
      </c>
      <c r="AI194" s="13">
        <f>IF('Données projet'!$A$62&gt;35,AI193+AH194-AQ193,IF(A194&lt;'Données projet'!$A$62,$AF$205^A194,IF(A194='Données projet'!$A$62,'Données projet'!$B$62,AI193+AH194-AQ193)))</f>
        <v>98.961538461538723</v>
      </c>
      <c r="AJ194" s="13">
        <f>AI194*VLOOKUP('Données projet'!$B$10,Paramètres!$A$1:$I$89,3,0)*VLOOKUP('Données projet'!$B$10,Paramètres!$A$1:$I$89,5,0)</f>
        <v>89.540400000000233</v>
      </c>
      <c r="AK194" s="13">
        <f t="shared" si="164"/>
        <v>24.454347534420851</v>
      </c>
      <c r="AL194" s="20">
        <f t="shared" si="165"/>
        <v>198.54085195578338</v>
      </c>
      <c r="AM194" s="59">
        <f t="shared" si="113"/>
        <v>491.87418528911667</v>
      </c>
      <c r="AN194" s="59">
        <f ca="1">AVERAGE(OFFSET($AM$3,0,0,'Données projet'!$E$10+1,1))-AVERAGE(OFFSET($H$3,0,0,'Données projet'!$E$10+1,1))</f>
        <v>123.92486590666675</v>
      </c>
      <c r="AO194" s="59">
        <f t="shared" si="144"/>
        <v>54.404493017418986</v>
      </c>
      <c r="AP194" s="15">
        <f>IF(ISNA(VLOOKUP(A194,'Données projet'!$A$61:$I$81,3,0)),0,VLOOKUP(A194,'Données projet'!$A$61:$I$81,3,0))</f>
        <v>16</v>
      </c>
      <c r="AQ194" s="15">
        <f>IF(ISNA(VLOOKUP(A194,'Données projet'!$A$61:$I$81,4,0)),0,VLOOKUP(A194,'Données projet'!$A$61:$I$81,4,0))</f>
        <v>98.961538461538453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0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1.1368683772161603E-13</v>
      </c>
      <c r="BE194" s="13">
        <f>BD194*VLOOKUP('Données projet'!$B$11,Paramètres!$A$1:$I$89,3,0)*VLOOKUP('Données projet'!$B$11,Paramètres!$A$1:$I$89,5,0)</f>
        <v>6.3550942286383367E-14</v>
      </c>
      <c r="BF194" s="13">
        <f t="shared" si="167"/>
        <v>1.0064464192543978E-12</v>
      </c>
      <c r="BG194" s="20">
        <f t="shared" si="168"/>
        <v>1.8635787380168604E-12</v>
      </c>
      <c r="BH194" s="59">
        <f t="shared" si="116"/>
        <v>293.33333333333519</v>
      </c>
      <c r="BI194" s="59">
        <f ca="1">AVERAGE(OFFSET($BH$3,0,0,'Données projet'!$E$11+1,1))-AVERAGE(OFFSET($H$3,0,0,'Données projet'!$E$11+1,1))</f>
        <v>224.7049802939942</v>
      </c>
      <c r="BJ194" s="59">
        <f t="shared" si="146"/>
        <v>203.48513862195352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9.2001060761936732E-2</v>
      </c>
      <c r="BQ194" s="21">
        <f>EXP(-LN(2)/25)*BQ193+(1-EXP(-LN(2)/25))/(LN(2)/25)*Calculateur!BL194*Calculateur!BN194*VLOOKUP('Données projet'!$B$11,Paramètres!$A$1:$I$89,3,0)*0.475*44/12</f>
        <v>0.22487820258143915</v>
      </c>
      <c r="BR194" s="21">
        <f>EXP(-LN(2)/2)*BR193+(1-EXP(-LN(2)/2))/(LN(2)/2)*BL194*BO194*VLOOKUP('Données projet'!$B$11,Paramètres!$A$1:$I$89,3,0)*0.475*44/12</f>
        <v>5.2411072904073288E-24</v>
      </c>
      <c r="BS194" s="22">
        <f t="shared" si="169"/>
        <v>0.31687926334337591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6.2527760746888816E-13</v>
      </c>
      <c r="BZ194" s="13">
        <f>BY194*VLOOKUP('Données projet'!$B$12,Paramètres!$A$1:$I$89,3,0)*VLOOKUP('Données projet'!$B$12,Paramètres!$A$1:$I$89,5,0)</f>
        <v>3.4953018257510848E-13</v>
      </c>
      <c r="CA194" s="13">
        <f t="shared" si="170"/>
        <v>4.5391562386470354E-12</v>
      </c>
      <c r="CB194" s="20">
        <f t="shared" si="171"/>
        <v>8.5144621836285662E-12</v>
      </c>
      <c r="CC194" s="59">
        <f t="shared" si="119"/>
        <v>293.33333333334184</v>
      </c>
      <c r="CD194" s="59">
        <f ca="1">AVERAGE(OFFSET($CC$3,0,0,'Données projet'!$E$12+1,1))-AVERAGE(OFFSET($H$3,0,0,'Données projet'!$E$12+1,1))</f>
        <v>190.08613104982993</v>
      </c>
      <c r="CE194" s="59">
        <f t="shared" si="148"/>
        <v>180.55054525447781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0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497</v>
      </c>
      <c r="CU194" s="17">
        <f>CT194*VLOOKUP('Données projet'!$B$13,Paramètres!$A$1:$I$89,3,0)*VLOOKUP('Données projet'!$B$13,Paramètres!$A$1:$I$89,5,0)</f>
        <v>297.20600000000002</v>
      </c>
      <c r="CV194" s="13">
        <f t="shared" si="173"/>
        <v>70.590415164571112</v>
      </c>
      <c r="CW194" s="20">
        <f t="shared" si="174"/>
        <v>640.57875641162809</v>
      </c>
      <c r="CX194" s="59">
        <f t="shared" si="122"/>
        <v>933.91208974496135</v>
      </c>
      <c r="CY194" s="59">
        <f ca="1">AVERAGE(OFFSET($CX$3,0,0,'Données projet'!$E$13+1,1))-AVERAGE(OFFSET($H$3,0,0,'Données projet'!$E$13+1,1))</f>
        <v>270.30888762640245</v>
      </c>
      <c r="CZ194" s="59">
        <f t="shared" si="150"/>
        <v>202.23783851977691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8.8319240263857998E-2</v>
      </c>
      <c r="DG194" s="21">
        <f>EXP(-LN(2)/25)*DG193+(1-EXP(-LN(2)/25))/(LN(2)/25)*Calculateur!DB194*Calculateur!DD194*VLOOKUP('Données projet'!$B$13,Paramètres!$A$1:$I$89,3,0)*0.475*44/12</f>
        <v>0.14161286662906655</v>
      </c>
      <c r="DH194" s="21">
        <f>EXP(-LN(2)/2)*DH193+(1-EXP(-LN(2)/2))/(LN(2)/2)*DB194*DE194*VLOOKUP('Données projet'!$B$13,Paramètres!$A$1:$I$89,3,0)*0.475*44/12</f>
        <v>1.0816419602556426E-23</v>
      </c>
      <c r="DI194" s="22">
        <f t="shared" si="175"/>
        <v>0.22993210689292454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433.00000000000011</v>
      </c>
      <c r="DP194" s="17">
        <f>DO194*VLOOKUP('Données projet'!$B$14,Paramètres!$A$1:$I$89,3,0)*VLOOKUP('Données projet'!$B$14,Paramètres!$A$1:$I$89,5,0)</f>
        <v>258.93400000000008</v>
      </c>
      <c r="DQ194" s="13">
        <f t="shared" si="176"/>
        <v>62.495095530116075</v>
      </c>
      <c r="DR194" s="20">
        <f t="shared" si="177"/>
        <v>559.82234138161891</v>
      </c>
      <c r="DS194" s="59">
        <f t="shared" si="125"/>
        <v>853.15567471495228</v>
      </c>
      <c r="DT194" s="59">
        <f ca="1">AVERAGE(OFFSET($DS$3,0,0,'Données projet'!$E$14+1,1))-AVERAGE(OFFSET($H$3,0,0,'Données projet'!$E$14+1,1))</f>
        <v>221.14988592347311</v>
      </c>
      <c r="DU194" s="59">
        <f t="shared" si="152"/>
        <v>179.09262081171607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9.4207189614781917E-2</v>
      </c>
      <c r="EB194" s="21">
        <f>EXP(-LN(2)/25)*EB193+(1-EXP(-LN(2)/25))/(LN(2)/25)*Calculateur!DW194*Calculateur!DY194*VLOOKUP('Données projet'!$B$14,Paramètres!$A$1:$I$89,3,0)*0.475*44/12</f>
        <v>0.11794730219763933</v>
      </c>
      <c r="EC194" s="21">
        <f>EXP(-LN(2)/2)*EC193+(1-EXP(-LN(2)/2))/(LN(2)/2)*DW194*DZ194*VLOOKUP('Données projet'!$B$14,Paramètres!$A$1:$I$89,3,0)*0.475*44/12</f>
        <v>1.1405506070613275E-23</v>
      </c>
      <c r="ED194" s="22">
        <f t="shared" si="178"/>
        <v>0.21215449181242124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2.2737367544323206E-13</v>
      </c>
      <c r="EK194" s="17">
        <f>EJ194*VLOOKUP('Données projet'!$B$15,Paramètres!$A$1:$I$89,3,0)*VLOOKUP('Données projet'!$B$15,Paramètres!$A$1:$I$89,5,0)</f>
        <v>1.2414602679200471E-13</v>
      </c>
      <c r="EL194" s="13">
        <f t="shared" si="179"/>
        <v>1.8186582995804361E-12</v>
      </c>
      <c r="EM194" s="20">
        <f t="shared" si="180"/>
        <v>3.3837175350986671E-12</v>
      </c>
      <c r="EN194" s="59">
        <f t="shared" si="128"/>
        <v>293.33333333333672</v>
      </c>
      <c r="EO194" s="59">
        <f ca="1">AVERAGE(OFFSET($EN$3,0,0,'Données projet'!$E$15+1,1))-AVERAGE(OFFSET($H$3,0,0,'Données projet'!$E$15+1,1))</f>
        <v>168.72306536277267</v>
      </c>
      <c r="EP194" s="59">
        <f t="shared" si="154"/>
        <v>203.35476578922339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0.12543892095446493</v>
      </c>
      <c r="EW194" s="21">
        <f>EXP(-LN(2)/25)*EW193+(1-EXP(-LN(2)/25))/(LN(2)/25)*Calculateur!ER194*Calculateur!ET194*VLOOKUP('Données projet'!$B$15,Paramètres!$A$1:$I$89,3,0)*0.475*44/12</f>
        <v>0.26473523222353568</v>
      </c>
      <c r="EX194" s="21">
        <f>EXP(-LN(2)/2)*EX193+(1-EXP(-LN(2)/2))/(LN(2)/2)*ER194*EU194*VLOOKUP('Données projet'!$B$15,Paramètres!$A$1:$I$89,3,0)*0.475*44/12</f>
        <v>1.171204841702541E-23</v>
      </c>
      <c r="EY194" s="22">
        <f t="shared" si="181"/>
        <v>0.39017415317800064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3.4106051316484809E-13</v>
      </c>
      <c r="FF194" s="17">
        <f>FE194*VLOOKUP('Données projet'!$B$16,Paramètres!$A$1:$I$89,3,0)*VLOOKUP('Données projet'!$B$16,Paramètres!$A$1:$I$89,5,0)</f>
        <v>1.8621904018800707E-13</v>
      </c>
      <c r="FG194" s="13">
        <f t="shared" si="182"/>
        <v>2.6022279988572714E-12</v>
      </c>
      <c r="FH194" s="20">
        <f t="shared" si="183"/>
        <v>4.8565452596705266E-12</v>
      </c>
      <c r="FI194" s="59">
        <f t="shared" si="131"/>
        <v>293.33333333333815</v>
      </c>
      <c r="FJ194" s="59">
        <f ca="1">AVERAGE(OFFSET($FI$3,0,0,'Données projet'!$E$16+1,1))-AVERAGE(OFFSET($H$3,0,0,'Données projet'!$E$16+1,1))</f>
        <v>127.76128532861486</v>
      </c>
      <c r="FK194" s="59">
        <f t="shared" si="156"/>
        <v>157.52303491639736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>
        <f>EXP(-LN(2)/35)*FQ193+(1-EXP(-LN(2)/35))/(LN(2)/35)*FM194*FN194*VLOOKUP('Données projet'!$B$16,Paramètres!$A$1:$I$89,3,0)*0.475*44/12</f>
        <v>0.10035113676357196</v>
      </c>
      <c r="FR194" s="21">
        <f>EXP(-LN(2)/25)*FR193+(1-EXP(-LN(2)/25))/(LN(2)/25)*Calculateur!FM194*Calculateur!FO194*VLOOKUP('Données projet'!$B$16,Paramètres!$A$1:$I$89,3,0)*0.475*44/12</f>
        <v>0.18798394850738201</v>
      </c>
      <c r="FS194" s="21">
        <f>EXP(-LN(2)/2)*FS193+(1-EXP(-LN(2)/2))/(LN(2)/2)*FM194*FP194*VLOOKUP('Données projet'!$B$16,Paramètres!$A$1:$I$89,3,0)*0.475*44/12</f>
        <v>9.298451174501028E-24</v>
      </c>
      <c r="FT194" s="22">
        <f t="shared" si="184"/>
        <v>0.28833508527095397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-5.6843418860808015E-13</v>
      </c>
      <c r="O195" s="13">
        <f>N195*VLOOKUP('Données projet'!$B$9,Paramètres!$A$1:$I$89,3,0)*VLOOKUP('Données projet'!$B$9,Paramètres!$A$1:$I$89,5,0)</f>
        <v>-5.1431925385259092E-13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153.45079678708987</v>
      </c>
      <c r="T195" s="59">
        <f t="shared" si="142"/>
        <v>115.4217868409637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0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2.7000623958883807E-13</v>
      </c>
      <c r="AJ195" s="13">
        <f>AI195*VLOOKUP('Données projet'!$B$10,Paramètres!$A$1:$I$89,3,0)*VLOOKUP('Données projet'!$B$10,Paramètres!$A$1:$I$89,5,0)</f>
        <v>2.4430164557998066E-13</v>
      </c>
      <c r="AK195" s="13">
        <f t="shared" si="164"/>
        <v>3.3076825730591037E-12</v>
      </c>
      <c r="AL195" s="20">
        <f t="shared" si="165"/>
        <v>6.1863725141297383E-12</v>
      </c>
      <c r="AM195" s="59">
        <f t="shared" si="113"/>
        <v>293.33333333333951</v>
      </c>
      <c r="AN195" s="59">
        <f ca="1">AVERAGE(OFFSET($AM$3,0,0,'Données projet'!$E$10+1,1))-AVERAGE(OFFSET($H$3,0,0,'Données projet'!$E$10+1,1))</f>
        <v>123.92486590666675</v>
      </c>
      <c r="AO195" s="59">
        <f t="shared" si="144"/>
        <v>54.404493017418986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0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1.1368683772161603E-13</v>
      </c>
      <c r="BE195" s="13">
        <f>BD195*VLOOKUP('Données projet'!$B$11,Paramètres!$A$1:$I$89,3,0)*VLOOKUP('Données projet'!$B$11,Paramètres!$A$1:$I$89,5,0)</f>
        <v>6.3550942286383367E-14</v>
      </c>
      <c r="BF195" s="13">
        <f t="shared" si="167"/>
        <v>1.0064464192543978E-12</v>
      </c>
      <c r="BG195" s="20">
        <f t="shared" si="168"/>
        <v>1.8635787380168604E-12</v>
      </c>
      <c r="BH195" s="59">
        <f t="shared" si="116"/>
        <v>293.33333333333519</v>
      </c>
      <c r="BI195" s="59">
        <f ca="1">AVERAGE(OFFSET($BH$3,0,0,'Données projet'!$E$11+1,1))-AVERAGE(OFFSET($H$3,0,0,'Données projet'!$E$11+1,1))</f>
        <v>224.7049802939942</v>
      </c>
      <c r="BJ195" s="59">
        <f t="shared" si="146"/>
        <v>203.48513862195352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9.0196976075501312E-2</v>
      </c>
      <c r="BQ195" s="21">
        <f>EXP(-LN(2)/25)*BQ194+(1-EXP(-LN(2)/25))/(LN(2)/25)*Calculateur!BL195*Calculateur!BN195*VLOOKUP('Données projet'!$B$11,Paramètres!$A$1:$I$89,3,0)*0.475*44/12</f>
        <v>0.21872889630601899</v>
      </c>
      <c r="BR195" s="21">
        <f>EXP(-LN(2)/2)*BR194+(1-EXP(-LN(2)/2))/(LN(2)/2)*BL195*BO195*VLOOKUP('Données projet'!$B$11,Paramètres!$A$1:$I$89,3,0)*0.475*44/12</f>
        <v>3.7060225059732741E-24</v>
      </c>
      <c r="BS195" s="22">
        <f t="shared" si="169"/>
        <v>0.30892587238152031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6.2527760746888816E-13</v>
      </c>
      <c r="BZ195" s="13">
        <f>BY195*VLOOKUP('Données projet'!$B$12,Paramètres!$A$1:$I$89,3,0)*VLOOKUP('Données projet'!$B$12,Paramètres!$A$1:$I$89,5,0)</f>
        <v>3.4953018257510848E-13</v>
      </c>
      <c r="CA195" s="13">
        <f t="shared" si="170"/>
        <v>4.5391562386470354E-12</v>
      </c>
      <c r="CB195" s="20">
        <f t="shared" si="171"/>
        <v>8.5144621836285662E-12</v>
      </c>
      <c r="CC195" s="59">
        <f t="shared" si="119"/>
        <v>293.33333333334184</v>
      </c>
      <c r="CD195" s="59">
        <f ca="1">AVERAGE(OFFSET($CC$3,0,0,'Données projet'!$E$12+1,1))-AVERAGE(OFFSET($H$3,0,0,'Données projet'!$E$12+1,1))</f>
        <v>190.08613104982993</v>
      </c>
      <c r="CE195" s="59">
        <f t="shared" si="148"/>
        <v>180.55054525447781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0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497</v>
      </c>
      <c r="CU195" s="17">
        <f>CT195*VLOOKUP('Données projet'!$B$13,Paramètres!$A$1:$I$89,3,0)*VLOOKUP('Données projet'!$B$13,Paramètres!$A$1:$I$89,5,0)</f>
        <v>297.20600000000002</v>
      </c>
      <c r="CV195" s="13">
        <f t="shared" si="173"/>
        <v>70.590415164571112</v>
      </c>
      <c r="CW195" s="20">
        <f t="shared" si="174"/>
        <v>640.57875641162809</v>
      </c>
      <c r="CX195" s="59">
        <f t="shared" si="122"/>
        <v>933.91208974496135</v>
      </c>
      <c r="CY195" s="59">
        <f ca="1">AVERAGE(OFFSET($CX$3,0,0,'Données projet'!$E$13+1,1))-AVERAGE(OFFSET($H$3,0,0,'Données projet'!$E$13+1,1))</f>
        <v>270.30888762640245</v>
      </c>
      <c r="CZ195" s="59">
        <f t="shared" si="150"/>
        <v>202.23783851977691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8.6587353831701144E-2</v>
      </c>
      <c r="DG195" s="21">
        <f>EXP(-LN(2)/25)*DG194+(1-EXP(-LN(2)/25))/(LN(2)/25)*Calculateur!DB195*Calculateur!DD195*VLOOKUP('Données projet'!$B$13,Paramètres!$A$1:$I$89,3,0)*0.475*44/12</f>
        <v>0.13774045534399773</v>
      </c>
      <c r="DH195" s="21">
        <f>EXP(-LN(2)/2)*DH194+(1-EXP(-LN(2)/2))/(LN(2)/2)*DB195*DE195*VLOOKUP('Données projet'!$B$13,Paramètres!$A$1:$I$89,3,0)*0.475*44/12</f>
        <v>7.6483636491267497E-24</v>
      </c>
      <c r="DI195" s="22">
        <f t="shared" si="175"/>
        <v>0.22432780917569889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433.00000000000011</v>
      </c>
      <c r="DP195" s="17">
        <f>DO195*VLOOKUP('Données projet'!$B$14,Paramètres!$A$1:$I$89,3,0)*VLOOKUP('Données projet'!$B$14,Paramètres!$A$1:$I$89,5,0)</f>
        <v>258.93400000000008</v>
      </c>
      <c r="DQ195" s="13">
        <f t="shared" si="176"/>
        <v>62.495095530116075</v>
      </c>
      <c r="DR195" s="20">
        <f t="shared" si="177"/>
        <v>559.82234138161891</v>
      </c>
      <c r="DS195" s="59">
        <f t="shared" si="125"/>
        <v>853.15567471495228</v>
      </c>
      <c r="DT195" s="59">
        <f ca="1">AVERAGE(OFFSET($DS$3,0,0,'Données projet'!$E$14+1,1))-AVERAGE(OFFSET($H$3,0,0,'Données projet'!$E$14+1,1))</f>
        <v>221.14988592347311</v>
      </c>
      <c r="DU195" s="59">
        <f t="shared" si="152"/>
        <v>179.09262081171607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9.2359844087147938E-2</v>
      </c>
      <c r="EB195" s="21">
        <f>EXP(-LN(2)/25)*EB194+(1-EXP(-LN(2)/25))/(LN(2)/25)*Calculateur!DW195*Calculateur!DY195*VLOOKUP('Données projet'!$B$14,Paramètres!$A$1:$I$89,3,0)*0.475*44/12</f>
        <v>0.11472202701646583</v>
      </c>
      <c r="EC195" s="21">
        <f>EXP(-LN(2)/2)*EC194+(1-EXP(-LN(2)/2))/(LN(2)/2)*DW195*DZ195*VLOOKUP('Données projet'!$B$14,Paramètres!$A$1:$I$89,3,0)*0.475*44/12</f>
        <v>8.0649106853949803E-24</v>
      </c>
      <c r="ED195" s="22">
        <f t="shared" si="178"/>
        <v>0.20708187110361376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2.2737367544323206E-13</v>
      </c>
      <c r="EK195" s="17">
        <f>EJ195*VLOOKUP('Données projet'!$B$15,Paramètres!$A$1:$I$89,3,0)*VLOOKUP('Données projet'!$B$15,Paramètres!$A$1:$I$89,5,0)</f>
        <v>1.2414602679200471E-13</v>
      </c>
      <c r="EL195" s="13">
        <f t="shared" si="179"/>
        <v>1.8186582995804361E-12</v>
      </c>
      <c r="EM195" s="20">
        <f t="shared" si="180"/>
        <v>3.3837175350986671E-12</v>
      </c>
      <c r="EN195" s="59">
        <f t="shared" si="128"/>
        <v>293.33333333333672</v>
      </c>
      <c r="EO195" s="59">
        <f ca="1">AVERAGE(OFFSET($EN$3,0,0,'Données projet'!$E$15+1,1))-AVERAGE(OFFSET($H$3,0,0,'Données projet'!$E$15+1,1))</f>
        <v>168.72306536277267</v>
      </c>
      <c r="EP195" s="59">
        <f t="shared" si="154"/>
        <v>203.35476578922339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0.1229791402247349</v>
      </c>
      <c r="EW195" s="21">
        <f>EXP(-LN(2)/25)*EW194+(1-EXP(-LN(2)/25))/(LN(2)/25)*Calculateur!ER195*Calculateur!ET195*VLOOKUP('Données projet'!$B$15,Paramètres!$A$1:$I$89,3,0)*0.475*44/12</f>
        <v>0.25749603337656229</v>
      </c>
      <c r="EX195" s="21">
        <f>EXP(-LN(2)/2)*EX194+(1-EXP(-LN(2)/2))/(LN(2)/2)*ER195*EU195*VLOOKUP('Données projet'!$B$15,Paramètres!$A$1:$I$89,3,0)*0.475*44/12</f>
        <v>8.2816688572638366E-24</v>
      </c>
      <c r="EY195" s="22">
        <f t="shared" si="181"/>
        <v>0.38047517360129718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3.4106051316484809E-13</v>
      </c>
      <c r="FF195" s="17">
        <f>FE195*VLOOKUP('Données projet'!$B$16,Paramètres!$A$1:$I$89,3,0)*VLOOKUP('Données projet'!$B$16,Paramètres!$A$1:$I$89,5,0)</f>
        <v>1.8621904018800707E-13</v>
      </c>
      <c r="FG195" s="13">
        <f t="shared" si="182"/>
        <v>2.6022279988572714E-12</v>
      </c>
      <c r="FH195" s="20">
        <f t="shared" si="183"/>
        <v>4.8565452596705266E-12</v>
      </c>
      <c r="FI195" s="59">
        <f t="shared" si="131"/>
        <v>293.33333333333815</v>
      </c>
      <c r="FJ195" s="59">
        <f ca="1">AVERAGE(OFFSET($FI$3,0,0,'Données projet'!$E$16+1,1))-AVERAGE(OFFSET($H$3,0,0,'Données projet'!$E$16+1,1))</f>
        <v>127.76128532861486</v>
      </c>
      <c r="FK195" s="59">
        <f t="shared" si="156"/>
        <v>157.52303491639736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>
        <f>EXP(-LN(2)/35)*FQ194+(1-EXP(-LN(2)/35))/(LN(2)/35)*FM195*FN195*VLOOKUP('Données projet'!$B$16,Paramètres!$A$1:$I$89,3,0)*0.475*44/12</f>
        <v>9.8383312179787935E-2</v>
      </c>
      <c r="FR195" s="21">
        <f>EXP(-LN(2)/25)*FR194+(1-EXP(-LN(2)/25))/(LN(2)/25)*Calculateur!FM195*Calculateur!FO195*VLOOKUP('Données projet'!$B$16,Paramètres!$A$1:$I$89,3,0)*0.475*44/12</f>
        <v>0.18284351754980144</v>
      </c>
      <c r="FS195" s="21">
        <f>EXP(-LN(2)/2)*FS194+(1-EXP(-LN(2)/2))/(LN(2)/2)*FM195*FP195*VLOOKUP('Données projet'!$B$16,Paramètres!$A$1:$I$89,3,0)*0.475*44/12</f>
        <v>6.5749978800216944E-24</v>
      </c>
      <c r="FT195" s="22">
        <f t="shared" si="184"/>
        <v>0.28122682972958934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-5.6843418860808015E-13</v>
      </c>
      <c r="O196" s="13">
        <f>N196*VLOOKUP('Données projet'!$B$9,Paramètres!$A$1:$I$89,3,0)*VLOOKUP('Données projet'!$B$9,Paramètres!$A$1:$I$89,5,0)</f>
        <v>-5.1431925385259092E-13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153.45079678708987</v>
      </c>
      <c r="T196" s="59">
        <f t="shared" si="142"/>
        <v>115.4217868409637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0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2.7000623958883807E-13</v>
      </c>
      <c r="AJ196" s="13">
        <f>AI196*VLOOKUP('Données projet'!$B$10,Paramètres!$A$1:$I$89,3,0)*VLOOKUP('Données projet'!$B$10,Paramètres!$A$1:$I$89,5,0)</f>
        <v>2.4430164557998066E-13</v>
      </c>
      <c r="AK196" s="13">
        <f t="shared" si="164"/>
        <v>3.3076825730591037E-12</v>
      </c>
      <c r="AL196" s="20">
        <f t="shared" si="165"/>
        <v>6.1863725141297383E-12</v>
      </c>
      <c r="AM196" s="59">
        <f t="shared" ref="AM196:AM203" si="193">AL196+(AD196+AE196)*44/12</f>
        <v>293.33333333333951</v>
      </c>
      <c r="AN196" s="59">
        <f ca="1">AVERAGE(OFFSET($AM$3,0,0,'Données projet'!$E$10+1,1))-AVERAGE(OFFSET($H$3,0,0,'Données projet'!$E$10+1,1))</f>
        <v>123.92486590666675</v>
      </c>
      <c r="AO196" s="59">
        <f t="shared" si="144"/>
        <v>54.404493017418986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0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1.1368683772161603E-13</v>
      </c>
      <c r="BE196" s="13">
        <f>BD196*VLOOKUP('Données projet'!$B$11,Paramètres!$A$1:$I$89,3,0)*VLOOKUP('Données projet'!$B$11,Paramètres!$A$1:$I$89,5,0)</f>
        <v>6.3550942286383367E-14</v>
      </c>
      <c r="BF196" s="13">
        <f t="shared" si="167"/>
        <v>1.0064464192543978E-12</v>
      </c>
      <c r="BG196" s="20">
        <f t="shared" si="168"/>
        <v>1.8635787380168604E-12</v>
      </c>
      <c r="BH196" s="59">
        <f t="shared" ref="BH196:BH203" si="194">BG196+(AY196+AZ196)*44/12</f>
        <v>293.33333333333519</v>
      </c>
      <c r="BI196" s="59">
        <f ca="1">AVERAGE(OFFSET($BH$3,0,0,'Données projet'!$E$11+1,1))-AVERAGE(OFFSET($H$3,0,0,'Données projet'!$E$11+1,1))</f>
        <v>224.7049802939942</v>
      </c>
      <c r="BJ196" s="59">
        <f t="shared" si="146"/>
        <v>203.48513862195352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8.8428268389383891E-2</v>
      </c>
      <c r="BQ196" s="21">
        <f>EXP(-LN(2)/25)*BQ195+(1-EXP(-LN(2)/25))/(LN(2)/25)*Calculateur!BL196*Calculateur!BN196*VLOOKUP('Données projet'!$B$11,Paramètres!$A$1:$I$89,3,0)*0.475*44/12</f>
        <v>0.21274774313407815</v>
      </c>
      <c r="BR196" s="21">
        <f>EXP(-LN(2)/2)*BR195+(1-EXP(-LN(2)/2))/(LN(2)/2)*BL196*BO196*VLOOKUP('Données projet'!$B$11,Paramètres!$A$1:$I$89,3,0)*0.475*44/12</f>
        <v>2.6205536452036644E-24</v>
      </c>
      <c r="BS196" s="22">
        <f t="shared" si="169"/>
        <v>0.30117601152346207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6.2527760746888816E-13</v>
      </c>
      <c r="BZ196" s="13">
        <f>BY196*VLOOKUP('Données projet'!$B$12,Paramètres!$A$1:$I$89,3,0)*VLOOKUP('Données projet'!$B$12,Paramètres!$A$1:$I$89,5,0)</f>
        <v>3.4953018257510848E-13</v>
      </c>
      <c r="CA196" s="13">
        <f t="shared" si="170"/>
        <v>4.5391562386470354E-12</v>
      </c>
      <c r="CB196" s="20">
        <f t="shared" si="171"/>
        <v>8.5144621836285662E-12</v>
      </c>
      <c r="CC196" s="59">
        <f t="shared" ref="CC196:CC203" si="195">CB196+(BT196+BU196)*44/12</f>
        <v>293.33333333334184</v>
      </c>
      <c r="CD196" s="59">
        <f ca="1">AVERAGE(OFFSET($CC$3,0,0,'Données projet'!$E$12+1,1))-AVERAGE(OFFSET($H$3,0,0,'Données projet'!$E$12+1,1))</f>
        <v>190.08613104982993</v>
      </c>
      <c r="CE196" s="59">
        <f t="shared" si="148"/>
        <v>180.55054525447781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0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497</v>
      </c>
      <c r="CU196" s="17">
        <f>CT196*VLOOKUP('Données projet'!$B$13,Paramètres!$A$1:$I$89,3,0)*VLOOKUP('Données projet'!$B$13,Paramètres!$A$1:$I$89,5,0)</f>
        <v>297.20600000000002</v>
      </c>
      <c r="CV196" s="13">
        <f t="shared" si="173"/>
        <v>70.590415164571112</v>
      </c>
      <c r="CW196" s="20">
        <f t="shared" si="174"/>
        <v>640.57875641162809</v>
      </c>
      <c r="CX196" s="59">
        <f t="shared" ref="CX196:CX203" si="196">CW196+(CO196+CP196)*44/12</f>
        <v>933.91208974496135</v>
      </c>
      <c r="CY196" s="59">
        <f ca="1">AVERAGE(OFFSET($CX$3,0,0,'Données projet'!$E$13+1,1))-AVERAGE(OFFSET($H$3,0,0,'Données projet'!$E$13+1,1))</f>
        <v>270.30888762640245</v>
      </c>
      <c r="CZ196" s="59">
        <f t="shared" si="150"/>
        <v>202.23783851977691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8.4889428636132469E-2</v>
      </c>
      <c r="DG196" s="21">
        <f>EXP(-LN(2)/25)*DG195+(1-EXP(-LN(2)/25))/(LN(2)/25)*Calculateur!DB196*Calculateur!DD196*VLOOKUP('Données projet'!$B$13,Paramètres!$A$1:$I$89,3,0)*0.475*44/12</f>
        <v>0.13397393534916038</v>
      </c>
      <c r="DH196" s="21">
        <f>EXP(-LN(2)/2)*DH195+(1-EXP(-LN(2)/2))/(LN(2)/2)*DB196*DE196*VLOOKUP('Données projet'!$B$13,Paramètres!$A$1:$I$89,3,0)*0.475*44/12</f>
        <v>5.4082098012782128E-24</v>
      </c>
      <c r="DI196" s="22">
        <f t="shared" si="175"/>
        <v>0.21886336398529285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433.00000000000011</v>
      </c>
      <c r="DP196" s="17">
        <f>DO196*VLOOKUP('Données projet'!$B$14,Paramètres!$A$1:$I$89,3,0)*VLOOKUP('Données projet'!$B$14,Paramètres!$A$1:$I$89,5,0)</f>
        <v>258.93400000000008</v>
      </c>
      <c r="DQ196" s="13">
        <f t="shared" si="176"/>
        <v>62.495095530116075</v>
      </c>
      <c r="DR196" s="20">
        <f t="shared" si="177"/>
        <v>559.82234138161891</v>
      </c>
      <c r="DS196" s="59">
        <f t="shared" ref="DS196:DS203" si="197">DR196+(DJ196+DK196)*44/12</f>
        <v>853.15567471495228</v>
      </c>
      <c r="DT196" s="59">
        <f ca="1">AVERAGE(OFFSET($DS$3,0,0,'Données projet'!$E$14+1,1))-AVERAGE(OFFSET($H$3,0,0,'Données projet'!$E$14+1,1))</f>
        <v>221.14988592347311</v>
      </c>
      <c r="DU196" s="59">
        <f t="shared" si="152"/>
        <v>179.09262081171607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9.0548723878541348E-2</v>
      </c>
      <c r="EB196" s="21">
        <f>EXP(-LN(2)/25)*EB195+(1-EXP(-LN(2)/25))/(LN(2)/25)*Calculateur!DW196*Calculateur!DY196*VLOOKUP('Données projet'!$B$14,Paramètres!$A$1:$I$89,3,0)*0.475*44/12</f>
        <v>0.11158494715473137</v>
      </c>
      <c r="EC196" s="21">
        <f>EXP(-LN(2)/2)*EC195+(1-EXP(-LN(2)/2))/(LN(2)/2)*DW196*DZ196*VLOOKUP('Données projet'!$B$14,Paramètres!$A$1:$I$89,3,0)*0.475*44/12</f>
        <v>5.7027530353066375E-24</v>
      </c>
      <c r="ED196" s="22">
        <f t="shared" si="178"/>
        <v>0.20213367103327273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2.2737367544323206E-13</v>
      </c>
      <c r="EK196" s="17">
        <f>EJ196*VLOOKUP('Données projet'!$B$15,Paramètres!$A$1:$I$89,3,0)*VLOOKUP('Données projet'!$B$15,Paramètres!$A$1:$I$89,5,0)</f>
        <v>1.2414602679200471E-13</v>
      </c>
      <c r="EL196" s="13">
        <f t="shared" si="179"/>
        <v>1.8186582995804361E-12</v>
      </c>
      <c r="EM196" s="20">
        <f t="shared" si="180"/>
        <v>3.3837175350986671E-12</v>
      </c>
      <c r="EN196" s="59">
        <f t="shared" ref="EN196:EN203" si="198">EM196+(EE196+EF196)*44/12</f>
        <v>293.33333333333672</v>
      </c>
      <c r="EO196" s="59">
        <f ca="1">AVERAGE(OFFSET($EN$3,0,0,'Données projet'!$E$15+1,1))-AVERAGE(OFFSET($H$3,0,0,'Données projet'!$E$15+1,1))</f>
        <v>168.72306536277267</v>
      </c>
      <c r="EP196" s="59">
        <f t="shared" si="154"/>
        <v>203.35476578922339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0.12056759429479677</v>
      </c>
      <c r="EW196" s="21">
        <f>EXP(-LN(2)/25)*EW195+(1-EXP(-LN(2)/25))/(LN(2)/25)*Calculateur!ER196*Calculateur!ET196*VLOOKUP('Données projet'!$B$15,Paramètres!$A$1:$I$89,3,0)*0.475*44/12</f>
        <v>0.25045479080275229</v>
      </c>
      <c r="EX196" s="21">
        <f>EXP(-LN(2)/2)*EX195+(1-EXP(-LN(2)/2))/(LN(2)/2)*ER196*EU196*VLOOKUP('Données projet'!$B$15,Paramètres!$A$1:$I$89,3,0)*0.475*44/12</f>
        <v>5.8560242085127049E-24</v>
      </c>
      <c r="EY196" s="22">
        <f t="shared" si="181"/>
        <v>0.37102238509754903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3.4106051316484809E-13</v>
      </c>
      <c r="FF196" s="17">
        <f>FE196*VLOOKUP('Données projet'!$B$16,Paramètres!$A$1:$I$89,3,0)*VLOOKUP('Données projet'!$B$16,Paramètres!$A$1:$I$89,5,0)</f>
        <v>1.8621904018800707E-13</v>
      </c>
      <c r="FG196" s="13">
        <f t="shared" si="182"/>
        <v>2.6022279988572714E-12</v>
      </c>
      <c r="FH196" s="20">
        <f t="shared" si="183"/>
        <v>4.8565452596705266E-12</v>
      </c>
      <c r="FI196" s="59">
        <f t="shared" ref="FI196:FI203" si="199">FH196+(EZ196+FA196)*44/12</f>
        <v>293.33333333333815</v>
      </c>
      <c r="FJ196" s="59">
        <f ca="1">AVERAGE(OFFSET($FI$3,0,0,'Données projet'!$E$16+1,1))-AVERAGE(OFFSET($H$3,0,0,'Données projet'!$E$16+1,1))</f>
        <v>127.76128532861486</v>
      </c>
      <c r="FK196" s="59">
        <f t="shared" si="156"/>
        <v>157.52303491639736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>
        <f>EXP(-LN(2)/35)*FQ195+(1-EXP(-LN(2)/35))/(LN(2)/35)*FM196*FN196*VLOOKUP('Données projet'!$B$16,Paramètres!$A$1:$I$89,3,0)*0.475*44/12</f>
        <v>9.6454075435837436E-2</v>
      </c>
      <c r="FR196" s="21">
        <f>EXP(-LN(2)/25)*FR195+(1-EXP(-LN(2)/25))/(LN(2)/25)*Calculateur!FM196*Calculateur!FO196*VLOOKUP('Données projet'!$B$16,Paramètres!$A$1:$I$89,3,0)*0.475*44/12</f>
        <v>0.17784365194707943</v>
      </c>
      <c r="FS196" s="21">
        <f>EXP(-LN(2)/2)*FS195+(1-EXP(-LN(2)/2))/(LN(2)/2)*FM196*FP196*VLOOKUP('Données projet'!$B$16,Paramètres!$A$1:$I$89,3,0)*0.475*44/12</f>
        <v>4.6492255872505147E-24</v>
      </c>
      <c r="FT196" s="22">
        <f t="shared" si="184"/>
        <v>0.27429772738291686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-5.6843418860808015E-13</v>
      </c>
      <c r="O197" s="13">
        <f>N197*VLOOKUP('Données projet'!$B$9,Paramètres!$A$1:$I$89,3,0)*VLOOKUP('Données projet'!$B$9,Paramètres!$A$1:$I$89,5,0)</f>
        <v>-5.1431925385259092E-13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153.45079678708987</v>
      </c>
      <c r="T197" s="59">
        <f t="shared" ref="T197:T203" si="204">$T$3</f>
        <v>115.4217868409637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0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2.7000623958883807E-13</v>
      </c>
      <c r="AJ197" s="13">
        <f>AI197*VLOOKUP('Données projet'!$B$10,Paramètres!$A$1:$I$89,3,0)*VLOOKUP('Données projet'!$B$10,Paramètres!$A$1:$I$89,5,0)</f>
        <v>2.4430164557998066E-13</v>
      </c>
      <c r="AK197" s="13">
        <f t="shared" si="164"/>
        <v>3.3076825730591037E-12</v>
      </c>
      <c r="AL197" s="20">
        <f t="shared" si="165"/>
        <v>6.1863725141297383E-12</v>
      </c>
      <c r="AM197" s="59">
        <f t="shared" si="193"/>
        <v>293.33333333333951</v>
      </c>
      <c r="AN197" s="59">
        <f ca="1">AVERAGE(OFFSET($AM$3,0,0,'Données projet'!$E$10+1,1))-AVERAGE(OFFSET($H$3,0,0,'Données projet'!$E$10+1,1))</f>
        <v>123.92486590666675</v>
      </c>
      <c r="AO197" s="59">
        <f t="shared" ref="AO197:AO203" si="205">$AO$3</f>
        <v>54.404493017418986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0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1.1368683772161603E-13</v>
      </c>
      <c r="BE197" s="13">
        <f>BD197*VLOOKUP('Données projet'!$B$11,Paramètres!$A$1:$I$89,3,0)*VLOOKUP('Données projet'!$B$11,Paramètres!$A$1:$I$89,5,0)</f>
        <v>6.3550942286383367E-14</v>
      </c>
      <c r="BF197" s="13">
        <f t="shared" si="167"/>
        <v>1.0064464192543978E-12</v>
      </c>
      <c r="BG197" s="20">
        <f t="shared" si="168"/>
        <v>1.8635787380168604E-12</v>
      </c>
      <c r="BH197" s="59">
        <f t="shared" si="194"/>
        <v>293.33333333333519</v>
      </c>
      <c r="BI197" s="59">
        <f ca="1">AVERAGE(OFFSET($BH$3,0,0,'Données projet'!$E$11+1,1))-AVERAGE(OFFSET($H$3,0,0,'Données projet'!$E$11+1,1))</f>
        <v>224.7049802939942</v>
      </c>
      <c r="BJ197" s="59">
        <f t="shared" ref="BJ197:BJ203" si="206">$BJ$3</f>
        <v>203.48513862195352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8.6694243982186059E-2</v>
      </c>
      <c r="BQ197" s="21">
        <f>EXP(-LN(2)/25)*BQ196+(1-EXP(-LN(2)/25))/(LN(2)/25)*Calculateur!BL197*Calculateur!BN197*VLOOKUP('Données projet'!$B$11,Paramètres!$A$1:$I$89,3,0)*0.475*44/12</f>
        <v>0.20693014491015921</v>
      </c>
      <c r="BR197" s="21">
        <f>EXP(-LN(2)/2)*BR196+(1-EXP(-LN(2)/2))/(LN(2)/2)*BL197*BO197*VLOOKUP('Données projet'!$B$11,Paramètres!$A$1:$I$89,3,0)*0.475*44/12</f>
        <v>1.853011252986637E-24</v>
      </c>
      <c r="BS197" s="22">
        <f t="shared" si="169"/>
        <v>0.29362438889234527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6.2527760746888816E-13</v>
      </c>
      <c r="BZ197" s="13">
        <f>BY197*VLOOKUP('Données projet'!$B$12,Paramètres!$A$1:$I$89,3,0)*VLOOKUP('Données projet'!$B$12,Paramètres!$A$1:$I$89,5,0)</f>
        <v>3.4953018257510848E-13</v>
      </c>
      <c r="CA197" s="13">
        <f t="shared" si="170"/>
        <v>4.5391562386470354E-12</v>
      </c>
      <c r="CB197" s="20">
        <f t="shared" si="171"/>
        <v>8.5144621836285662E-12</v>
      </c>
      <c r="CC197" s="59">
        <f t="shared" si="195"/>
        <v>293.33333333334184</v>
      </c>
      <c r="CD197" s="59">
        <f ca="1">AVERAGE(OFFSET($CC$3,0,0,'Données projet'!$E$12+1,1))-AVERAGE(OFFSET($H$3,0,0,'Données projet'!$E$12+1,1))</f>
        <v>190.08613104982993</v>
      </c>
      <c r="CE197" s="59">
        <f t="shared" ref="CE197:CE203" si="207">$CE$3</f>
        <v>180.55054525447781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0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497</v>
      </c>
      <c r="CU197" s="17">
        <f>CT197*VLOOKUP('Données projet'!$B$13,Paramètres!$A$1:$I$89,3,0)*VLOOKUP('Données projet'!$B$13,Paramètres!$A$1:$I$89,5,0)</f>
        <v>297.20600000000002</v>
      </c>
      <c r="CV197" s="13">
        <f t="shared" si="173"/>
        <v>70.590415164571112</v>
      </c>
      <c r="CW197" s="20">
        <f t="shared" si="174"/>
        <v>640.57875641162809</v>
      </c>
      <c r="CX197" s="59">
        <f t="shared" si="196"/>
        <v>933.91208974496135</v>
      </c>
      <c r="CY197" s="59">
        <f ca="1">AVERAGE(OFFSET($CX$3,0,0,'Données projet'!$E$13+1,1))-AVERAGE(OFFSET($H$3,0,0,'Données projet'!$E$13+1,1))</f>
        <v>270.30888762640245</v>
      </c>
      <c r="CZ197" s="59">
        <f t="shared" ref="CZ197:CZ203" si="208">$CZ$3</f>
        <v>202.23783851977691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8.3224798718016788E-2</v>
      </c>
      <c r="DG197" s="21">
        <f>EXP(-LN(2)/25)*DG196+(1-EXP(-LN(2)/25))/(LN(2)/25)*Calculateur!DB197*Calculateur!DD197*VLOOKUP('Données projet'!$B$13,Paramètres!$A$1:$I$89,3,0)*0.475*44/12</f>
        <v>0.13031041104165453</v>
      </c>
      <c r="DH197" s="21">
        <f>EXP(-LN(2)/2)*DH196+(1-EXP(-LN(2)/2))/(LN(2)/2)*DB197*DE197*VLOOKUP('Données projet'!$B$13,Paramètres!$A$1:$I$89,3,0)*0.475*44/12</f>
        <v>3.8241818245633749E-24</v>
      </c>
      <c r="DI197" s="22">
        <f t="shared" si="175"/>
        <v>0.21353520975967133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433.00000000000011</v>
      </c>
      <c r="DP197" s="17">
        <f>DO197*VLOOKUP('Données projet'!$B$14,Paramètres!$A$1:$I$89,3,0)*VLOOKUP('Données projet'!$B$14,Paramètres!$A$1:$I$89,5,0)</f>
        <v>258.93400000000008</v>
      </c>
      <c r="DQ197" s="13">
        <f t="shared" si="176"/>
        <v>62.495095530116075</v>
      </c>
      <c r="DR197" s="20">
        <f t="shared" si="177"/>
        <v>559.82234138161891</v>
      </c>
      <c r="DS197" s="59">
        <f t="shared" si="197"/>
        <v>853.15567471495228</v>
      </c>
      <c r="DT197" s="59">
        <f ca="1">AVERAGE(OFFSET($DS$3,0,0,'Données projet'!$E$14+1,1))-AVERAGE(OFFSET($H$3,0,0,'Données projet'!$E$14+1,1))</f>
        <v>221.14988592347311</v>
      </c>
      <c r="DU197" s="59">
        <f t="shared" ref="DU197:DU203" si="209">$DU$3</f>
        <v>179.09262081171607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8.8773118632551287E-2</v>
      </c>
      <c r="EB197" s="21">
        <f>EXP(-LN(2)/25)*EB196+(1-EXP(-LN(2)/25))/(LN(2)/25)*Calculateur!DW197*Calculateur!DY197*VLOOKUP('Données projet'!$B$14,Paramètres!$A$1:$I$89,3,0)*0.475*44/12</f>
        <v>0.1085336509067879</v>
      </c>
      <c r="EC197" s="21">
        <f>EXP(-LN(2)/2)*EC196+(1-EXP(-LN(2)/2))/(LN(2)/2)*DW197*DZ197*VLOOKUP('Données projet'!$B$14,Paramètres!$A$1:$I$89,3,0)*0.475*44/12</f>
        <v>4.0324553426974902E-24</v>
      </c>
      <c r="ED197" s="22">
        <f t="shared" si="178"/>
        <v>0.19730676953933918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2.2737367544323206E-13</v>
      </c>
      <c r="EK197" s="17">
        <f>EJ197*VLOOKUP('Données projet'!$B$15,Paramètres!$A$1:$I$89,3,0)*VLOOKUP('Données projet'!$B$15,Paramètres!$A$1:$I$89,5,0)</f>
        <v>1.2414602679200471E-13</v>
      </c>
      <c r="EL197" s="13">
        <f t="shared" si="179"/>
        <v>1.8186582995804361E-12</v>
      </c>
      <c r="EM197" s="20">
        <f t="shared" si="180"/>
        <v>3.3837175350986671E-12</v>
      </c>
      <c r="EN197" s="59">
        <f t="shared" si="198"/>
        <v>293.33333333333672</v>
      </c>
      <c r="EO197" s="59">
        <f ca="1">AVERAGE(OFFSET($EN$3,0,0,'Données projet'!$E$15+1,1))-AVERAGE(OFFSET($H$3,0,0,'Données projet'!$E$15+1,1))</f>
        <v>168.72306536277267</v>
      </c>
      <c r="EP197" s="59">
        <f t="shared" ref="EP197:EP203" si="210">$EP$3</f>
        <v>203.35476578922339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0.11820333730964695</v>
      </c>
      <c r="EW197" s="21">
        <f>EXP(-LN(2)/25)*EW196+(1-EXP(-LN(2)/25))/(LN(2)/25)*Calculateur!ER197*Calculateur!ET197*VLOOKUP('Données projet'!$B$15,Paramètres!$A$1:$I$89,3,0)*0.475*44/12</f>
        <v>0.24360609137740599</v>
      </c>
      <c r="EX197" s="21">
        <f>EXP(-LN(2)/2)*EX196+(1-EXP(-LN(2)/2))/(LN(2)/2)*ER197*EU197*VLOOKUP('Données projet'!$B$15,Paramètres!$A$1:$I$89,3,0)*0.475*44/12</f>
        <v>4.1408344286319183E-24</v>
      </c>
      <c r="EY197" s="22">
        <f t="shared" si="181"/>
        <v>0.36180942868705296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3.4106051316484809E-13</v>
      </c>
      <c r="FF197" s="17">
        <f>FE197*VLOOKUP('Données projet'!$B$16,Paramètres!$A$1:$I$89,3,0)*VLOOKUP('Données projet'!$B$16,Paramètres!$A$1:$I$89,5,0)</f>
        <v>1.8621904018800707E-13</v>
      </c>
      <c r="FG197" s="13">
        <f t="shared" si="182"/>
        <v>2.6022279988572714E-12</v>
      </c>
      <c r="FH197" s="20">
        <f t="shared" si="183"/>
        <v>4.8565452596705266E-12</v>
      </c>
      <c r="FI197" s="59">
        <f t="shared" si="199"/>
        <v>293.33333333333815</v>
      </c>
      <c r="FJ197" s="59">
        <f ca="1">AVERAGE(OFFSET($FI$3,0,0,'Données projet'!$E$16+1,1))-AVERAGE(OFFSET($H$3,0,0,'Données projet'!$E$16+1,1))</f>
        <v>127.76128532861486</v>
      </c>
      <c r="FK197" s="59">
        <f t="shared" ref="FK197:FK203" si="211">$FK$3</f>
        <v>157.52303491639736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>
        <f>EXP(-LN(2)/35)*FQ196+(1-EXP(-LN(2)/35))/(LN(2)/35)*FM197*FN197*VLOOKUP('Données projet'!$B$16,Paramètres!$A$1:$I$89,3,0)*0.475*44/12</f>
        <v>9.4562669847717579E-2</v>
      </c>
      <c r="FR197" s="21">
        <f>EXP(-LN(2)/25)*FR196+(1-EXP(-LN(2)/25))/(LN(2)/25)*Calculateur!FM197*Calculateur!FO197*VLOOKUP('Données projet'!$B$16,Paramètres!$A$1:$I$89,3,0)*0.475*44/12</f>
        <v>0.17298050793219535</v>
      </c>
      <c r="FS197" s="21">
        <f>EXP(-LN(2)/2)*FS196+(1-EXP(-LN(2)/2))/(LN(2)/2)*FM197*FP197*VLOOKUP('Données projet'!$B$16,Paramètres!$A$1:$I$89,3,0)*0.475*44/12</f>
        <v>3.2874989400108479E-24</v>
      </c>
      <c r="FT197" s="22">
        <f t="shared" si="184"/>
        <v>0.26754317777991293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-5.6843418860808015E-13</v>
      </c>
      <c r="O198" s="13">
        <f>N198*VLOOKUP('Données projet'!$B$9,Paramètres!$A$1:$I$89,3,0)*VLOOKUP('Données projet'!$B$9,Paramètres!$A$1:$I$89,5,0)</f>
        <v>-5.1431925385259092E-13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153.45079678708987</v>
      </c>
      <c r="T198" s="59">
        <f t="shared" si="204"/>
        <v>115.4217868409637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0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2.7000623958883807E-13</v>
      </c>
      <c r="AJ198" s="13">
        <f>AI198*VLOOKUP('Données projet'!$B$10,Paramètres!$A$1:$I$89,3,0)*VLOOKUP('Données projet'!$B$10,Paramètres!$A$1:$I$89,5,0)</f>
        <v>2.4430164557998066E-13</v>
      </c>
      <c r="AK198" s="13">
        <f t="shared" si="164"/>
        <v>3.3076825730591037E-12</v>
      </c>
      <c r="AL198" s="20">
        <f t="shared" si="165"/>
        <v>6.1863725141297383E-12</v>
      </c>
      <c r="AM198" s="59">
        <f t="shared" si="193"/>
        <v>293.33333333333951</v>
      </c>
      <c r="AN198" s="59">
        <f ca="1">AVERAGE(OFFSET($AM$3,0,0,'Données projet'!$E$10+1,1))-AVERAGE(OFFSET($H$3,0,0,'Données projet'!$E$10+1,1))</f>
        <v>123.92486590666675</v>
      </c>
      <c r="AO198" s="59">
        <f t="shared" si="205"/>
        <v>54.404493017418986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0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1.1368683772161603E-13</v>
      </c>
      <c r="BE198" s="13">
        <f>BD198*VLOOKUP('Données projet'!$B$11,Paramètres!$A$1:$I$89,3,0)*VLOOKUP('Données projet'!$B$11,Paramètres!$A$1:$I$89,5,0)</f>
        <v>6.3550942286383367E-14</v>
      </c>
      <c r="BF198" s="13">
        <f t="shared" si="167"/>
        <v>1.0064464192543978E-12</v>
      </c>
      <c r="BG198" s="20">
        <f t="shared" si="168"/>
        <v>1.8635787380168604E-12</v>
      </c>
      <c r="BH198" s="59">
        <f t="shared" si="194"/>
        <v>293.33333333333519</v>
      </c>
      <c r="BI198" s="59">
        <f ca="1">AVERAGE(OFFSET($BH$3,0,0,'Données projet'!$E$11+1,1))-AVERAGE(OFFSET($H$3,0,0,'Données projet'!$E$11+1,1))</f>
        <v>224.7049802939942</v>
      </c>
      <c r="BJ198" s="59">
        <f t="shared" si="206"/>
        <v>203.48513862195352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8.4994222735962924E-2</v>
      </c>
      <c r="BQ198" s="21">
        <f>EXP(-LN(2)/25)*BQ197+(1-EXP(-LN(2)/25))/(LN(2)/25)*Calculateur!BL198*Calculateur!BN198*VLOOKUP('Données projet'!$B$11,Paramètres!$A$1:$I$89,3,0)*0.475*44/12</f>
        <v>0.20127162921560754</v>
      </c>
      <c r="BR198" s="21">
        <f>EXP(-LN(2)/2)*BR197+(1-EXP(-LN(2)/2))/(LN(2)/2)*BL198*BO198*VLOOKUP('Données projet'!$B$11,Paramètres!$A$1:$I$89,3,0)*0.475*44/12</f>
        <v>1.3102768226018322E-24</v>
      </c>
      <c r="BS198" s="22">
        <f t="shared" si="169"/>
        <v>0.28626585195157045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6.2527760746888816E-13</v>
      </c>
      <c r="BZ198" s="13">
        <f>BY198*VLOOKUP('Données projet'!$B$12,Paramètres!$A$1:$I$89,3,0)*VLOOKUP('Données projet'!$B$12,Paramètres!$A$1:$I$89,5,0)</f>
        <v>3.4953018257510848E-13</v>
      </c>
      <c r="CA198" s="13">
        <f t="shared" si="170"/>
        <v>4.5391562386470354E-12</v>
      </c>
      <c r="CB198" s="20">
        <f t="shared" si="171"/>
        <v>8.5144621836285662E-12</v>
      </c>
      <c r="CC198" s="59">
        <f t="shared" si="195"/>
        <v>293.33333333334184</v>
      </c>
      <c r="CD198" s="59">
        <f ca="1">AVERAGE(OFFSET($CC$3,0,0,'Données projet'!$E$12+1,1))-AVERAGE(OFFSET($H$3,0,0,'Données projet'!$E$12+1,1))</f>
        <v>190.08613104982993</v>
      </c>
      <c r="CE198" s="59">
        <f t="shared" si="207"/>
        <v>180.55054525447781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0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497</v>
      </c>
      <c r="CU198" s="17">
        <f>CT198*VLOOKUP('Données projet'!$B$13,Paramètres!$A$1:$I$89,3,0)*VLOOKUP('Données projet'!$B$13,Paramètres!$A$1:$I$89,5,0)</f>
        <v>297.20600000000002</v>
      </c>
      <c r="CV198" s="13">
        <f t="shared" si="173"/>
        <v>70.590415164571112</v>
      </c>
      <c r="CW198" s="20">
        <f t="shared" si="174"/>
        <v>640.57875641162809</v>
      </c>
      <c r="CX198" s="59">
        <f t="shared" si="196"/>
        <v>933.91208974496135</v>
      </c>
      <c r="CY198" s="59">
        <f ca="1">AVERAGE(OFFSET($CX$3,0,0,'Données projet'!$E$13+1,1))-AVERAGE(OFFSET($H$3,0,0,'Données projet'!$E$13+1,1))</f>
        <v>270.30888762640245</v>
      </c>
      <c r="CZ198" s="59">
        <f t="shared" si="208"/>
        <v>202.23783851977691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8.1592811177271352E-2</v>
      </c>
      <c r="DG198" s="21">
        <f>EXP(-LN(2)/25)*DG197+(1-EXP(-LN(2)/25))/(LN(2)/25)*Calculateur!DB198*Calculateur!DD198*VLOOKUP('Données projet'!$B$13,Paramètres!$A$1:$I$89,3,0)*0.475*44/12</f>
        <v>0.1267470659989938</v>
      </c>
      <c r="DH198" s="21">
        <f>EXP(-LN(2)/2)*DH197+(1-EXP(-LN(2)/2))/(LN(2)/2)*DB198*DE198*VLOOKUP('Données projet'!$B$13,Paramètres!$A$1:$I$89,3,0)*0.475*44/12</f>
        <v>2.7041049006391064E-24</v>
      </c>
      <c r="DI198" s="22">
        <f t="shared" si="175"/>
        <v>0.20833987717626515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433.00000000000011</v>
      </c>
      <c r="DP198" s="17">
        <f>DO198*VLOOKUP('Données projet'!$B$14,Paramètres!$A$1:$I$89,3,0)*VLOOKUP('Données projet'!$B$14,Paramètres!$A$1:$I$89,5,0)</f>
        <v>258.93400000000008</v>
      </c>
      <c r="DQ198" s="13">
        <f t="shared" si="176"/>
        <v>62.495095530116075</v>
      </c>
      <c r="DR198" s="20">
        <f t="shared" si="177"/>
        <v>559.82234138161891</v>
      </c>
      <c r="DS198" s="59">
        <f t="shared" si="197"/>
        <v>853.15567471495228</v>
      </c>
      <c r="DT198" s="59">
        <f ca="1">AVERAGE(OFFSET($DS$3,0,0,'Données projet'!$E$14+1,1))-AVERAGE(OFFSET($H$3,0,0,'Données projet'!$E$14+1,1))</f>
        <v>221.14988592347311</v>
      </c>
      <c r="DU198" s="59">
        <f t="shared" si="209"/>
        <v>179.09262081171607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8.7032331922422823E-2</v>
      </c>
      <c r="EB198" s="21">
        <f>EXP(-LN(2)/25)*EB197+(1-EXP(-LN(2)/25))/(LN(2)/25)*Calculateur!DW198*Calculateur!DY198*VLOOKUP('Données projet'!$B$14,Paramètres!$A$1:$I$89,3,0)*0.475*44/12</f>
        <v>0.10556579251520515</v>
      </c>
      <c r="EC198" s="21">
        <f>EXP(-LN(2)/2)*EC197+(1-EXP(-LN(2)/2))/(LN(2)/2)*DW198*DZ198*VLOOKUP('Données projet'!$B$14,Paramètres!$A$1:$I$89,3,0)*0.475*44/12</f>
        <v>2.8513765176533187E-24</v>
      </c>
      <c r="ED198" s="22">
        <f t="shared" si="178"/>
        <v>0.19259812443762797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2.2737367544323206E-13</v>
      </c>
      <c r="EK198" s="17">
        <f>EJ198*VLOOKUP('Données projet'!$B$15,Paramètres!$A$1:$I$89,3,0)*VLOOKUP('Données projet'!$B$15,Paramètres!$A$1:$I$89,5,0)</f>
        <v>1.2414602679200471E-13</v>
      </c>
      <c r="EL198" s="13">
        <f t="shared" si="179"/>
        <v>1.8186582995804361E-12</v>
      </c>
      <c r="EM198" s="20">
        <f t="shared" si="180"/>
        <v>3.3837175350986671E-12</v>
      </c>
      <c r="EN198" s="59">
        <f t="shared" si="198"/>
        <v>293.33333333333672</v>
      </c>
      <c r="EO198" s="59">
        <f ca="1">AVERAGE(OFFSET($EN$3,0,0,'Données projet'!$E$15+1,1))-AVERAGE(OFFSET($H$3,0,0,'Données projet'!$E$15+1,1))</f>
        <v>168.72306536277267</v>
      </c>
      <c r="EP198" s="59">
        <f t="shared" si="210"/>
        <v>203.35476578922339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0.11588544196192156</v>
      </c>
      <c r="EW198" s="21">
        <f>EXP(-LN(2)/25)*EW197+(1-EXP(-LN(2)/25))/(LN(2)/25)*Calculateur!ER198*Calculateur!ET198*VLOOKUP('Données projet'!$B$15,Paramètres!$A$1:$I$89,3,0)*0.475*44/12</f>
        <v>0.23694466999800326</v>
      </c>
      <c r="EX198" s="21">
        <f>EXP(-LN(2)/2)*EX197+(1-EXP(-LN(2)/2))/(LN(2)/2)*ER198*EU198*VLOOKUP('Données projet'!$B$15,Paramètres!$A$1:$I$89,3,0)*0.475*44/12</f>
        <v>2.9280121042563524E-24</v>
      </c>
      <c r="EY198" s="22">
        <f t="shared" si="181"/>
        <v>0.35283011195992481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3.4106051316484809E-13</v>
      </c>
      <c r="FF198" s="17">
        <f>FE198*VLOOKUP('Données projet'!$B$16,Paramètres!$A$1:$I$89,3,0)*VLOOKUP('Données projet'!$B$16,Paramètres!$A$1:$I$89,5,0)</f>
        <v>1.8621904018800707E-13</v>
      </c>
      <c r="FG198" s="13">
        <f t="shared" si="182"/>
        <v>2.6022279988572714E-12</v>
      </c>
      <c r="FH198" s="20">
        <f t="shared" si="183"/>
        <v>4.8565452596705266E-12</v>
      </c>
      <c r="FI198" s="59">
        <f t="shared" si="199"/>
        <v>293.33333333333815</v>
      </c>
      <c r="FJ198" s="59">
        <f ca="1">AVERAGE(OFFSET($FI$3,0,0,'Données projet'!$E$16+1,1))-AVERAGE(OFFSET($H$3,0,0,'Données projet'!$E$16+1,1))</f>
        <v>127.76128532861486</v>
      </c>
      <c r="FK198" s="59">
        <f t="shared" si="211"/>
        <v>157.52303491639736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>
        <f>EXP(-LN(2)/35)*FQ197+(1-EXP(-LN(2)/35))/(LN(2)/35)*FM198*FN198*VLOOKUP('Données projet'!$B$16,Paramètres!$A$1:$I$89,3,0)*0.475*44/12</f>
        <v>9.2708353569537258E-2</v>
      </c>
      <c r="FR198" s="21">
        <f>EXP(-LN(2)/25)*FR197+(1-EXP(-LN(2)/25))/(LN(2)/25)*Calculateur!FM198*Calculateur!FO198*VLOOKUP('Données projet'!$B$16,Paramètres!$A$1:$I$89,3,0)*0.475*44/12</f>
        <v>0.1682503468461399</v>
      </c>
      <c r="FS198" s="21">
        <f>EXP(-LN(2)/2)*FS197+(1-EXP(-LN(2)/2))/(LN(2)/2)*FM198*FP198*VLOOKUP('Données projet'!$B$16,Paramètres!$A$1:$I$89,3,0)*0.475*44/12</f>
        <v>2.3246127936252577E-24</v>
      </c>
      <c r="FT198" s="22">
        <f t="shared" si="184"/>
        <v>0.26095870041567715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-5.6843418860808015E-13</v>
      </c>
      <c r="O199" s="13">
        <f>N199*VLOOKUP('Données projet'!$B$9,Paramètres!$A$1:$I$89,3,0)*VLOOKUP('Données projet'!$B$9,Paramètres!$A$1:$I$89,5,0)</f>
        <v>-5.1431925385259092E-13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153.45079678708987</v>
      </c>
      <c r="T199" s="59">
        <f t="shared" si="204"/>
        <v>115.4217868409637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0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2.7000623958883807E-13</v>
      </c>
      <c r="AJ199" s="13">
        <f>AI199*VLOOKUP('Données projet'!$B$10,Paramètres!$A$1:$I$89,3,0)*VLOOKUP('Données projet'!$B$10,Paramètres!$A$1:$I$89,5,0)</f>
        <v>2.4430164557998066E-13</v>
      </c>
      <c r="AK199" s="13">
        <f t="shared" si="164"/>
        <v>3.3076825730591037E-12</v>
      </c>
      <c r="AL199" s="20">
        <f t="shared" si="165"/>
        <v>6.1863725141297383E-12</v>
      </c>
      <c r="AM199" s="59">
        <f t="shared" si="193"/>
        <v>293.33333333333951</v>
      </c>
      <c r="AN199" s="59">
        <f ca="1">AVERAGE(OFFSET($AM$3,0,0,'Données projet'!$E$10+1,1))-AVERAGE(OFFSET($H$3,0,0,'Données projet'!$E$10+1,1))</f>
        <v>123.92486590666675</v>
      </c>
      <c r="AO199" s="59">
        <f t="shared" si="205"/>
        <v>54.404493017418986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0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1.1368683772161603E-13</v>
      </c>
      <c r="BE199" s="13">
        <f>BD199*VLOOKUP('Données projet'!$B$11,Paramètres!$A$1:$I$89,3,0)*VLOOKUP('Données projet'!$B$11,Paramètres!$A$1:$I$89,5,0)</f>
        <v>6.3550942286383367E-14</v>
      </c>
      <c r="BF199" s="13">
        <f t="shared" si="167"/>
        <v>1.0064464192543978E-12</v>
      </c>
      <c r="BG199" s="20">
        <f t="shared" si="168"/>
        <v>1.8635787380168604E-12</v>
      </c>
      <c r="BH199" s="59">
        <f t="shared" si="194"/>
        <v>293.33333333333519</v>
      </c>
      <c r="BI199" s="59">
        <f ca="1">AVERAGE(OFFSET($BH$3,0,0,'Données projet'!$E$11+1,1))-AVERAGE(OFFSET($H$3,0,0,'Données projet'!$E$11+1,1))</f>
        <v>224.7049802939942</v>
      </c>
      <c r="BJ199" s="59">
        <f t="shared" si="206"/>
        <v>203.48513862195352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8.3327537869467658E-2</v>
      </c>
      <c r="BQ199" s="21">
        <f>EXP(-LN(2)/25)*BQ198+(1-EXP(-LN(2)/25))/(LN(2)/25)*Calculateur!BL199*Calculateur!BN199*VLOOKUP('Données projet'!$B$11,Paramètres!$A$1:$I$89,3,0)*0.475*44/12</f>
        <v>0.19576784593029178</v>
      </c>
      <c r="BR199" s="21">
        <f>EXP(-LN(2)/2)*BR198+(1-EXP(-LN(2)/2))/(LN(2)/2)*BL199*BO199*VLOOKUP('Données projet'!$B$11,Paramètres!$A$1:$I$89,3,0)*0.475*44/12</f>
        <v>9.2650562649331851E-25</v>
      </c>
      <c r="BS199" s="22">
        <f t="shared" si="169"/>
        <v>0.27909538379975946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6.2527760746888816E-13</v>
      </c>
      <c r="BZ199" s="13">
        <f>BY199*VLOOKUP('Données projet'!$B$12,Paramètres!$A$1:$I$89,3,0)*VLOOKUP('Données projet'!$B$12,Paramètres!$A$1:$I$89,5,0)</f>
        <v>3.4953018257510848E-13</v>
      </c>
      <c r="CA199" s="13">
        <f t="shared" si="170"/>
        <v>4.5391562386470354E-12</v>
      </c>
      <c r="CB199" s="20">
        <f t="shared" si="171"/>
        <v>8.5144621836285662E-12</v>
      </c>
      <c r="CC199" s="59">
        <f t="shared" si="195"/>
        <v>293.33333333334184</v>
      </c>
      <c r="CD199" s="59">
        <f ca="1">AVERAGE(OFFSET($CC$3,0,0,'Données projet'!$E$12+1,1))-AVERAGE(OFFSET($H$3,0,0,'Données projet'!$E$12+1,1))</f>
        <v>190.08613104982993</v>
      </c>
      <c r="CE199" s="59">
        <f t="shared" si="207"/>
        <v>180.55054525447781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0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497</v>
      </c>
      <c r="CU199" s="17">
        <f>CT199*VLOOKUP('Données projet'!$B$13,Paramètres!$A$1:$I$89,3,0)*VLOOKUP('Données projet'!$B$13,Paramètres!$A$1:$I$89,5,0)</f>
        <v>297.20600000000002</v>
      </c>
      <c r="CV199" s="13">
        <f t="shared" si="173"/>
        <v>70.590415164571112</v>
      </c>
      <c r="CW199" s="20">
        <f t="shared" si="174"/>
        <v>640.57875641162809</v>
      </c>
      <c r="CX199" s="59">
        <f t="shared" si="196"/>
        <v>933.91208974496135</v>
      </c>
      <c r="CY199" s="59">
        <f ca="1">AVERAGE(OFFSET($CX$3,0,0,'Données projet'!$E$13+1,1))-AVERAGE(OFFSET($H$3,0,0,'Données projet'!$E$13+1,1))</f>
        <v>270.30888762640245</v>
      </c>
      <c r="CZ199" s="59">
        <f t="shared" si="208"/>
        <v>202.23783851977691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7.9992825916785831E-2</v>
      </c>
      <c r="DG199" s="21">
        <f>EXP(-LN(2)/25)*DG198+(1-EXP(-LN(2)/25))/(LN(2)/25)*Calculateur!DB199*Calculateur!DD199*VLOOKUP('Données projet'!$B$13,Paramètres!$A$1:$I$89,3,0)*0.475*44/12</f>
        <v>0.1232811608139128</v>
      </c>
      <c r="DH199" s="21">
        <f>EXP(-LN(2)/2)*DH198+(1-EXP(-LN(2)/2))/(LN(2)/2)*DB199*DE199*VLOOKUP('Données projet'!$B$13,Paramètres!$A$1:$I$89,3,0)*0.475*44/12</f>
        <v>1.9120909122816874E-24</v>
      </c>
      <c r="DI199" s="22">
        <f t="shared" si="175"/>
        <v>0.20327398673069863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433.00000000000011</v>
      </c>
      <c r="DP199" s="17">
        <f>DO199*VLOOKUP('Données projet'!$B$14,Paramètres!$A$1:$I$89,3,0)*VLOOKUP('Données projet'!$B$14,Paramètres!$A$1:$I$89,5,0)</f>
        <v>258.93400000000008</v>
      </c>
      <c r="DQ199" s="13">
        <f t="shared" si="176"/>
        <v>62.495095530116075</v>
      </c>
      <c r="DR199" s="20">
        <f t="shared" si="177"/>
        <v>559.82234138161891</v>
      </c>
      <c r="DS199" s="59">
        <f t="shared" si="197"/>
        <v>853.15567471495228</v>
      </c>
      <c r="DT199" s="59">
        <f ca="1">AVERAGE(OFFSET($DS$3,0,0,'Données projet'!$E$14+1,1))-AVERAGE(OFFSET($H$3,0,0,'Données projet'!$E$14+1,1))</f>
        <v>221.14988592347311</v>
      </c>
      <c r="DU199" s="59">
        <f t="shared" si="209"/>
        <v>179.09262081171607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8.5325680977904925E-2</v>
      </c>
      <c r="EB199" s="21">
        <f>EXP(-LN(2)/25)*EB198+(1-EXP(-LN(2)/25))/(LN(2)/25)*Calculateur!DW199*Calculateur!DY199*VLOOKUP('Données projet'!$B$14,Paramètres!$A$1:$I$89,3,0)*0.475*44/12</f>
        <v>0.10267909036741311</v>
      </c>
      <c r="EC199" s="21">
        <f>EXP(-LN(2)/2)*EC198+(1-EXP(-LN(2)/2))/(LN(2)/2)*DW199*DZ199*VLOOKUP('Données projet'!$B$14,Paramètres!$A$1:$I$89,3,0)*0.475*44/12</f>
        <v>2.0162276713487451E-24</v>
      </c>
      <c r="ED199" s="22">
        <f t="shared" si="178"/>
        <v>0.18800477134531804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2.2737367544323206E-13</v>
      </c>
      <c r="EK199" s="17">
        <f>EJ199*VLOOKUP('Données projet'!$B$15,Paramètres!$A$1:$I$89,3,0)*VLOOKUP('Données projet'!$B$15,Paramètres!$A$1:$I$89,5,0)</f>
        <v>1.2414602679200471E-13</v>
      </c>
      <c r="EL199" s="13">
        <f t="shared" si="179"/>
        <v>1.8186582995804361E-12</v>
      </c>
      <c r="EM199" s="20">
        <f t="shared" si="180"/>
        <v>3.3837175350986671E-12</v>
      </c>
      <c r="EN199" s="59">
        <f t="shared" si="198"/>
        <v>293.33333333333672</v>
      </c>
      <c r="EO199" s="59">
        <f ca="1">AVERAGE(OFFSET($EN$3,0,0,'Données projet'!$E$15+1,1))-AVERAGE(OFFSET($H$3,0,0,'Données projet'!$E$15+1,1))</f>
        <v>168.72306536277267</v>
      </c>
      <c r="EP199" s="59">
        <f t="shared" si="210"/>
        <v>203.35476578922339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0.11361299912818849</v>
      </c>
      <c r="EW199" s="21">
        <f>EXP(-LN(2)/25)*EW198+(1-EXP(-LN(2)/25))/(LN(2)/25)*Calculateur!ER199*Calculateur!ET199*VLOOKUP('Données projet'!$B$15,Paramètres!$A$1:$I$89,3,0)*0.475*44/12</f>
        <v>0.23046540553652922</v>
      </c>
      <c r="EX199" s="21">
        <f>EXP(-LN(2)/2)*EX198+(1-EXP(-LN(2)/2))/(LN(2)/2)*ER199*EU199*VLOOKUP('Données projet'!$B$15,Paramètres!$A$1:$I$89,3,0)*0.475*44/12</f>
        <v>2.0704172143159592E-24</v>
      </c>
      <c r="EY199" s="22">
        <f t="shared" si="181"/>
        <v>0.34407840466471773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3.4106051316484809E-13</v>
      </c>
      <c r="FF199" s="17">
        <f>FE199*VLOOKUP('Données projet'!$B$16,Paramètres!$A$1:$I$89,3,0)*VLOOKUP('Données projet'!$B$16,Paramètres!$A$1:$I$89,5,0)</f>
        <v>1.8621904018800707E-13</v>
      </c>
      <c r="FG199" s="13">
        <f t="shared" si="182"/>
        <v>2.6022279988572714E-12</v>
      </c>
      <c r="FH199" s="20">
        <f t="shared" si="183"/>
        <v>4.8565452596705266E-12</v>
      </c>
      <c r="FI199" s="59">
        <f t="shared" si="199"/>
        <v>293.33333333333815</v>
      </c>
      <c r="FJ199" s="59">
        <f ca="1">AVERAGE(OFFSET($FI$3,0,0,'Données projet'!$E$16+1,1))-AVERAGE(OFFSET($H$3,0,0,'Données projet'!$E$16+1,1))</f>
        <v>127.76128532861486</v>
      </c>
      <c r="FK199" s="59">
        <f t="shared" si="211"/>
        <v>157.52303491639736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>
        <f>EXP(-LN(2)/35)*FQ198+(1-EXP(-LN(2)/35))/(LN(2)/35)*FM199*FN199*VLOOKUP('Données projet'!$B$16,Paramètres!$A$1:$I$89,3,0)*0.475*44/12</f>
        <v>9.0890399302550801E-2</v>
      </c>
      <c r="FR199" s="21">
        <f>EXP(-LN(2)/25)*FR198+(1-EXP(-LN(2)/25))/(LN(2)/25)*Calculateur!FM199*Calculateur!FO199*VLOOKUP('Données projet'!$B$16,Paramètres!$A$1:$I$89,3,0)*0.475*44/12</f>
        <v>0.163649532263731</v>
      </c>
      <c r="FS199" s="21">
        <f>EXP(-LN(2)/2)*FS198+(1-EXP(-LN(2)/2))/(LN(2)/2)*FM199*FP199*VLOOKUP('Données projet'!$B$16,Paramètres!$A$1:$I$89,3,0)*0.475*44/12</f>
        <v>1.6437494700054242E-24</v>
      </c>
      <c r="FT199" s="22">
        <f t="shared" si="184"/>
        <v>0.2545399315662818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-5.6843418860808015E-13</v>
      </c>
      <c r="O200" s="13">
        <f>N200*VLOOKUP('Données projet'!$B$9,Paramètres!$A$1:$I$89,3,0)*VLOOKUP('Données projet'!$B$9,Paramètres!$A$1:$I$89,5,0)</f>
        <v>-5.1431925385259092E-13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153.45079678708987</v>
      </c>
      <c r="T200" s="59">
        <f t="shared" si="204"/>
        <v>115.4217868409637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0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2.7000623958883807E-13</v>
      </c>
      <c r="AJ200" s="13">
        <f>AI200*VLOOKUP('Données projet'!$B$10,Paramètres!$A$1:$I$89,3,0)*VLOOKUP('Données projet'!$B$10,Paramètres!$A$1:$I$89,5,0)</f>
        <v>2.4430164557998066E-13</v>
      </c>
      <c r="AK200" s="13">
        <f t="shared" si="164"/>
        <v>3.3076825730591037E-12</v>
      </c>
      <c r="AL200" s="20">
        <f t="shared" si="165"/>
        <v>6.1863725141297383E-12</v>
      </c>
      <c r="AM200" s="59">
        <f t="shared" si="193"/>
        <v>293.33333333333951</v>
      </c>
      <c r="AN200" s="59">
        <f ca="1">AVERAGE(OFFSET($AM$3,0,0,'Données projet'!$E$10+1,1))-AVERAGE(OFFSET($H$3,0,0,'Données projet'!$E$10+1,1))</f>
        <v>123.92486590666675</v>
      </c>
      <c r="AO200" s="59">
        <f t="shared" si="205"/>
        <v>54.404493017418986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0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1.1368683772161603E-13</v>
      </c>
      <c r="BE200" s="13">
        <f>BD200*VLOOKUP('Données projet'!$B$11,Paramètres!$A$1:$I$89,3,0)*VLOOKUP('Données projet'!$B$11,Paramètres!$A$1:$I$89,5,0)</f>
        <v>6.3550942286383367E-14</v>
      </c>
      <c r="BF200" s="13">
        <f t="shared" si="167"/>
        <v>1.0064464192543978E-12</v>
      </c>
      <c r="BG200" s="20">
        <f t="shared" si="168"/>
        <v>1.8635787380168604E-12</v>
      </c>
      <c r="BH200" s="59">
        <f t="shared" si="194"/>
        <v>293.33333333333519</v>
      </c>
      <c r="BI200" s="59">
        <f ca="1">AVERAGE(OFFSET($BH$3,0,0,'Données projet'!$E$11+1,1))-AVERAGE(OFFSET($H$3,0,0,'Données projet'!$E$11+1,1))</f>
        <v>224.7049802939942</v>
      </c>
      <c r="BJ200" s="59">
        <f t="shared" si="206"/>
        <v>203.48513862195352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8.169353567662696E-2</v>
      </c>
      <c r="BQ200" s="21">
        <f>EXP(-LN(2)/25)*BQ199+(1-EXP(-LN(2)/25))/(LN(2)/25)*Calculateur!BL200*Calculateur!BN200*VLOOKUP('Données projet'!$B$11,Paramètres!$A$1:$I$89,3,0)*0.475*44/12</f>
        <v>0.19041456388834438</v>
      </c>
      <c r="BR200" s="21">
        <f>EXP(-LN(2)/2)*BR199+(1-EXP(-LN(2)/2))/(LN(2)/2)*BL200*BO200*VLOOKUP('Données projet'!$B$11,Paramètres!$A$1:$I$89,3,0)*0.475*44/12</f>
        <v>6.551384113009161E-25</v>
      </c>
      <c r="BS200" s="22">
        <f t="shared" si="169"/>
        <v>0.27210809956497134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6.2527760746888816E-13</v>
      </c>
      <c r="BZ200" s="13">
        <f>BY200*VLOOKUP('Données projet'!$B$12,Paramètres!$A$1:$I$89,3,0)*VLOOKUP('Données projet'!$B$12,Paramètres!$A$1:$I$89,5,0)</f>
        <v>3.4953018257510848E-13</v>
      </c>
      <c r="CA200" s="13">
        <f t="shared" si="170"/>
        <v>4.5391562386470354E-12</v>
      </c>
      <c r="CB200" s="20">
        <f t="shared" si="171"/>
        <v>8.5144621836285662E-12</v>
      </c>
      <c r="CC200" s="59">
        <f t="shared" si="195"/>
        <v>293.33333333334184</v>
      </c>
      <c r="CD200" s="59">
        <f ca="1">AVERAGE(OFFSET($CC$3,0,0,'Données projet'!$E$12+1,1))-AVERAGE(OFFSET($H$3,0,0,'Données projet'!$E$12+1,1))</f>
        <v>190.08613104982993</v>
      </c>
      <c r="CE200" s="59">
        <f t="shared" si="207"/>
        <v>180.55054525447781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0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497</v>
      </c>
      <c r="CU200" s="17">
        <f>CT200*VLOOKUP('Données projet'!$B$13,Paramètres!$A$1:$I$89,3,0)*VLOOKUP('Données projet'!$B$13,Paramètres!$A$1:$I$89,5,0)</f>
        <v>297.20600000000002</v>
      </c>
      <c r="CV200" s="13">
        <f t="shared" si="173"/>
        <v>70.590415164571112</v>
      </c>
      <c r="CW200" s="20">
        <f t="shared" si="174"/>
        <v>640.57875641162809</v>
      </c>
      <c r="CX200" s="59">
        <f t="shared" si="196"/>
        <v>933.91208974496135</v>
      </c>
      <c r="CY200" s="59">
        <f ca="1">AVERAGE(OFFSET($CX$3,0,0,'Données projet'!$E$13+1,1))-AVERAGE(OFFSET($H$3,0,0,'Données projet'!$E$13+1,1))</f>
        <v>270.30888762640245</v>
      </c>
      <c r="CZ200" s="59">
        <f t="shared" si="208"/>
        <v>202.23783851977691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7.842421539136378E-2</v>
      </c>
      <c r="DG200" s="21">
        <f>EXP(-LN(2)/25)*DG199+(1-EXP(-LN(2)/25))/(LN(2)/25)*Calculateur!DB200*Calculateur!DD200*VLOOKUP('Données projet'!$B$13,Paramètres!$A$1:$I$89,3,0)*0.475*44/12</f>
        <v>0.11991003098838186</v>
      </c>
      <c r="DH200" s="21">
        <f>EXP(-LN(2)/2)*DH199+(1-EXP(-LN(2)/2))/(LN(2)/2)*DB200*DE200*VLOOKUP('Données projet'!$B$13,Paramètres!$A$1:$I$89,3,0)*0.475*44/12</f>
        <v>1.3520524503195532E-24</v>
      </c>
      <c r="DI200" s="22">
        <f t="shared" si="175"/>
        <v>0.19833424637974564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433.00000000000011</v>
      </c>
      <c r="DP200" s="17">
        <f>DO200*VLOOKUP('Données projet'!$B$14,Paramètres!$A$1:$I$89,3,0)*VLOOKUP('Données projet'!$B$14,Paramètres!$A$1:$I$89,5,0)</f>
        <v>258.93400000000008</v>
      </c>
      <c r="DQ200" s="13">
        <f t="shared" si="176"/>
        <v>62.495095530116075</v>
      </c>
      <c r="DR200" s="20">
        <f t="shared" si="177"/>
        <v>559.82234138161891</v>
      </c>
      <c r="DS200" s="59">
        <f t="shared" si="197"/>
        <v>853.15567471495228</v>
      </c>
      <c r="DT200" s="59">
        <f ca="1">AVERAGE(OFFSET($DS$3,0,0,'Données projet'!$E$14+1,1))-AVERAGE(OFFSET($H$3,0,0,'Données projet'!$E$14+1,1))</f>
        <v>221.14988592347311</v>
      </c>
      <c r="DU200" s="59">
        <f t="shared" si="209"/>
        <v>179.09262081171607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8.365249641745473E-2</v>
      </c>
      <c r="EB200" s="21">
        <f>EXP(-LN(2)/25)*EB199+(1-EXP(-LN(2)/25))/(LN(2)/25)*Calculateur!DW200*Calculateur!DY200*VLOOKUP('Données projet'!$B$14,Paramètres!$A$1:$I$89,3,0)*0.475*44/12</f>
        <v>9.987132524165751E-2</v>
      </c>
      <c r="EC200" s="21">
        <f>EXP(-LN(2)/2)*EC199+(1-EXP(-LN(2)/2))/(LN(2)/2)*DW200*DZ200*VLOOKUP('Données projet'!$B$14,Paramètres!$A$1:$I$89,3,0)*0.475*44/12</f>
        <v>1.4256882588266594E-24</v>
      </c>
      <c r="ED200" s="22">
        <f t="shared" si="178"/>
        <v>0.18352382165911224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2.2737367544323206E-13</v>
      </c>
      <c r="EK200" s="17">
        <f>EJ200*VLOOKUP('Données projet'!$B$15,Paramètres!$A$1:$I$89,3,0)*VLOOKUP('Données projet'!$B$15,Paramètres!$A$1:$I$89,5,0)</f>
        <v>1.2414602679200471E-13</v>
      </c>
      <c r="EL200" s="13">
        <f t="shared" si="179"/>
        <v>1.8186582995804361E-12</v>
      </c>
      <c r="EM200" s="20">
        <f t="shared" si="180"/>
        <v>3.3837175350986671E-12</v>
      </c>
      <c r="EN200" s="59">
        <f t="shared" si="198"/>
        <v>293.33333333333672</v>
      </c>
      <c r="EO200" s="59">
        <f ca="1">AVERAGE(OFFSET($EN$3,0,0,'Données projet'!$E$15+1,1))-AVERAGE(OFFSET($H$3,0,0,'Données projet'!$E$15+1,1))</f>
        <v>168.72306536277267</v>
      </c>
      <c r="EP200" s="59">
        <f t="shared" si="210"/>
        <v>203.35476578922339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0.11138511751237166</v>
      </c>
      <c r="EW200" s="21">
        <f>EXP(-LN(2)/25)*EW199+(1-EXP(-LN(2)/25))/(LN(2)/25)*Calculateur!ER200*Calculateur!ET200*VLOOKUP('Données projet'!$B$15,Paramètres!$A$1:$I$89,3,0)*0.475*44/12</f>
        <v>0.22416331690248389</v>
      </c>
      <c r="EX200" s="21">
        <f>EXP(-LN(2)/2)*EX199+(1-EXP(-LN(2)/2))/(LN(2)/2)*ER200*EU200*VLOOKUP('Données projet'!$B$15,Paramètres!$A$1:$I$89,3,0)*0.475*44/12</f>
        <v>1.4640060521281762E-24</v>
      </c>
      <c r="EY200" s="22">
        <f t="shared" si="181"/>
        <v>0.33554843441485555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3.4106051316484809E-13</v>
      </c>
      <c r="FF200" s="17">
        <f>FE200*VLOOKUP('Données projet'!$B$16,Paramètres!$A$1:$I$89,3,0)*VLOOKUP('Données projet'!$B$16,Paramètres!$A$1:$I$89,5,0)</f>
        <v>1.8621904018800707E-13</v>
      </c>
      <c r="FG200" s="13">
        <f t="shared" si="182"/>
        <v>2.6022279988572714E-12</v>
      </c>
      <c r="FH200" s="20">
        <f t="shared" si="183"/>
        <v>4.8565452596705266E-12</v>
      </c>
      <c r="FI200" s="59">
        <f t="shared" si="199"/>
        <v>293.33333333333815</v>
      </c>
      <c r="FJ200" s="59">
        <f ca="1">AVERAGE(OFFSET($FI$3,0,0,'Données projet'!$E$16+1,1))-AVERAGE(OFFSET($H$3,0,0,'Données projet'!$E$16+1,1))</f>
        <v>127.76128532861486</v>
      </c>
      <c r="FK200" s="59">
        <f t="shared" si="211"/>
        <v>157.52303491639736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>
        <f>EXP(-LN(2)/35)*FQ199+(1-EXP(-LN(2)/35))/(LN(2)/35)*FM200*FN200*VLOOKUP('Données projet'!$B$16,Paramètres!$A$1:$I$89,3,0)*0.475*44/12</f>
        <v>8.9108094009897346E-2</v>
      </c>
      <c r="FR200" s="21">
        <f>EXP(-LN(2)/25)*FR199+(1-EXP(-LN(2)/25))/(LN(2)/25)*Calculateur!FM200*Calculateur!FO200*VLOOKUP('Données projet'!$B$16,Paramètres!$A$1:$I$89,3,0)*0.475*44/12</f>
        <v>0.15917452719802438</v>
      </c>
      <c r="FS200" s="21">
        <f>EXP(-LN(2)/2)*FS199+(1-EXP(-LN(2)/2))/(LN(2)/2)*FM200*FP200*VLOOKUP('Données projet'!$B$16,Paramètres!$A$1:$I$89,3,0)*0.475*44/12</f>
        <v>1.162306396812629E-24</v>
      </c>
      <c r="FT200" s="22">
        <f t="shared" si="184"/>
        <v>0.24828262120792172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-5.6843418860808015E-13</v>
      </c>
      <c r="O201" s="13">
        <f>N201*VLOOKUP('Données projet'!$B$9,Paramètres!$A$1:$I$89,3,0)*VLOOKUP('Données projet'!$B$9,Paramètres!$A$1:$I$89,5,0)</f>
        <v>-5.1431925385259092E-13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153.45079678708987</v>
      </c>
      <c r="T201" s="59">
        <f t="shared" si="204"/>
        <v>115.4217868409637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0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2.7000623958883807E-13</v>
      </c>
      <c r="AJ201" s="13">
        <f>AI201*VLOOKUP('Données projet'!$B$10,Paramètres!$A$1:$I$89,3,0)*VLOOKUP('Données projet'!$B$10,Paramètres!$A$1:$I$89,5,0)</f>
        <v>2.4430164557998066E-13</v>
      </c>
      <c r="AK201" s="13">
        <f t="shared" si="164"/>
        <v>3.3076825730591037E-12</v>
      </c>
      <c r="AL201" s="20">
        <f t="shared" si="165"/>
        <v>6.1863725141297383E-12</v>
      </c>
      <c r="AM201" s="59">
        <f t="shared" si="193"/>
        <v>293.33333333333951</v>
      </c>
      <c r="AN201" s="59">
        <f ca="1">AVERAGE(OFFSET($AM$3,0,0,'Données projet'!$E$10+1,1))-AVERAGE(OFFSET($H$3,0,0,'Données projet'!$E$10+1,1))</f>
        <v>123.92486590666675</v>
      </c>
      <c r="AO201" s="59">
        <f t="shared" si="205"/>
        <v>54.404493017418986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0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1.1368683772161603E-13</v>
      </c>
      <c r="BE201" s="13">
        <f>BD201*VLOOKUP('Données projet'!$B$11,Paramètres!$A$1:$I$89,3,0)*VLOOKUP('Données projet'!$B$11,Paramètres!$A$1:$I$89,5,0)</f>
        <v>6.3550942286383367E-14</v>
      </c>
      <c r="BF201" s="13">
        <f t="shared" si="167"/>
        <v>1.0064464192543978E-12</v>
      </c>
      <c r="BG201" s="20">
        <f t="shared" si="168"/>
        <v>1.8635787380168604E-12</v>
      </c>
      <c r="BH201" s="59">
        <f t="shared" si="194"/>
        <v>293.33333333333519</v>
      </c>
      <c r="BI201" s="59">
        <f ca="1">AVERAGE(OFFSET($BH$3,0,0,'Données projet'!$E$11+1,1))-AVERAGE(OFFSET($H$3,0,0,'Données projet'!$E$11+1,1))</f>
        <v>224.7049802939942</v>
      </c>
      <c r="BJ201" s="59">
        <f t="shared" si="206"/>
        <v>203.48513862195352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8.0091575270144946E-2</v>
      </c>
      <c r="BQ201" s="21">
        <f>EXP(-LN(2)/25)*BQ200+(1-EXP(-LN(2)/25))/(LN(2)/25)*Calculateur!BL201*Calculateur!BN201*VLOOKUP('Données projet'!$B$11,Paramètres!$A$1:$I$89,3,0)*0.475*44/12</f>
        <v>0.18520766762535087</v>
      </c>
      <c r="BR201" s="21">
        <f>EXP(-LN(2)/2)*BR200+(1-EXP(-LN(2)/2))/(LN(2)/2)*BL201*BO201*VLOOKUP('Données projet'!$B$11,Paramètres!$A$1:$I$89,3,0)*0.475*44/12</f>
        <v>4.6325281324665926E-25</v>
      </c>
      <c r="BS201" s="22">
        <f t="shared" si="169"/>
        <v>0.26529924289549583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6.2527760746888816E-13</v>
      </c>
      <c r="BZ201" s="13">
        <f>BY201*VLOOKUP('Données projet'!$B$12,Paramètres!$A$1:$I$89,3,0)*VLOOKUP('Données projet'!$B$12,Paramètres!$A$1:$I$89,5,0)</f>
        <v>3.4953018257510848E-13</v>
      </c>
      <c r="CA201" s="13">
        <f t="shared" si="170"/>
        <v>4.5391562386470354E-12</v>
      </c>
      <c r="CB201" s="20">
        <f t="shared" si="171"/>
        <v>8.5144621836285662E-12</v>
      </c>
      <c r="CC201" s="59">
        <f t="shared" si="195"/>
        <v>293.33333333334184</v>
      </c>
      <c r="CD201" s="59">
        <f ca="1">AVERAGE(OFFSET($CC$3,0,0,'Données projet'!$E$12+1,1))-AVERAGE(OFFSET($H$3,0,0,'Données projet'!$E$12+1,1))</f>
        <v>190.08613104982993</v>
      </c>
      <c r="CE201" s="59">
        <f t="shared" si="207"/>
        <v>180.55054525447781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0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497</v>
      </c>
      <c r="CU201" s="17">
        <f>CT201*VLOOKUP('Données projet'!$B$13,Paramètres!$A$1:$I$89,3,0)*VLOOKUP('Données projet'!$B$13,Paramètres!$A$1:$I$89,5,0)</f>
        <v>297.20600000000002</v>
      </c>
      <c r="CV201" s="13">
        <f t="shared" si="173"/>
        <v>70.590415164571112</v>
      </c>
      <c r="CW201" s="20">
        <f t="shared" si="174"/>
        <v>640.57875641162809</v>
      </c>
      <c r="CX201" s="59">
        <f t="shared" si="196"/>
        <v>933.91208974496135</v>
      </c>
      <c r="CY201" s="59">
        <f ca="1">AVERAGE(OFFSET($CX$3,0,0,'Données projet'!$E$13+1,1))-AVERAGE(OFFSET($H$3,0,0,'Données projet'!$E$13+1,1))</f>
        <v>270.30888762640245</v>
      </c>
      <c r="CZ201" s="59">
        <f t="shared" si="208"/>
        <v>202.23783851977691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7.68863643615873E-2</v>
      </c>
      <c r="DG201" s="21">
        <f>EXP(-LN(2)/25)*DG200+(1-EXP(-LN(2)/25))/(LN(2)/25)*Calculateur!DB201*Calculateur!DD201*VLOOKUP('Données projet'!$B$13,Paramètres!$A$1:$I$89,3,0)*0.475*44/12</f>
        <v>0.1166310848852101</v>
      </c>
      <c r="DH201" s="21">
        <f>EXP(-LN(2)/2)*DH200+(1-EXP(-LN(2)/2))/(LN(2)/2)*DB201*DE201*VLOOKUP('Données projet'!$B$13,Paramètres!$A$1:$I$89,3,0)*0.475*44/12</f>
        <v>9.5604545614084372E-25</v>
      </c>
      <c r="DI201" s="22">
        <f t="shared" si="175"/>
        <v>0.1935174492467974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433.00000000000011</v>
      </c>
      <c r="DP201" s="17">
        <f>DO201*VLOOKUP('Données projet'!$B$14,Paramètres!$A$1:$I$89,3,0)*VLOOKUP('Données projet'!$B$14,Paramètres!$A$1:$I$89,5,0)</f>
        <v>258.93400000000008</v>
      </c>
      <c r="DQ201" s="13">
        <f t="shared" si="176"/>
        <v>62.495095530116075</v>
      </c>
      <c r="DR201" s="20">
        <f t="shared" si="177"/>
        <v>559.82234138161891</v>
      </c>
      <c r="DS201" s="59">
        <f t="shared" si="197"/>
        <v>853.15567471495228</v>
      </c>
      <c r="DT201" s="59">
        <f ca="1">AVERAGE(OFFSET($DS$3,0,0,'Données projet'!$E$14+1,1))-AVERAGE(OFFSET($H$3,0,0,'Données projet'!$E$14+1,1))</f>
        <v>221.14988592347311</v>
      </c>
      <c r="DU201" s="59">
        <f t="shared" si="209"/>
        <v>179.09262081171607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8.2012121985693159E-2</v>
      </c>
      <c r="EB201" s="21">
        <f>EXP(-LN(2)/25)*EB200+(1-EXP(-LN(2)/25))/(LN(2)/25)*Calculateur!DW201*Calculateur!DY201*VLOOKUP('Données projet'!$B$14,Paramètres!$A$1:$I$89,3,0)*0.475*44/12</f>
        <v>9.7140338600919654E-2</v>
      </c>
      <c r="EC201" s="21">
        <f>EXP(-LN(2)/2)*EC200+(1-EXP(-LN(2)/2))/(LN(2)/2)*DW201*DZ201*VLOOKUP('Données projet'!$B$14,Paramètres!$A$1:$I$89,3,0)*0.475*44/12</f>
        <v>1.0081138356743725E-24</v>
      </c>
      <c r="ED201" s="22">
        <f t="shared" si="178"/>
        <v>0.17915246058661283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2.2737367544323206E-13</v>
      </c>
      <c r="EK201" s="17">
        <f>EJ201*VLOOKUP('Données projet'!$B$15,Paramètres!$A$1:$I$89,3,0)*VLOOKUP('Données projet'!$B$15,Paramètres!$A$1:$I$89,5,0)</f>
        <v>1.2414602679200471E-13</v>
      </c>
      <c r="EL201" s="13">
        <f t="shared" si="179"/>
        <v>1.8186582995804361E-12</v>
      </c>
      <c r="EM201" s="20">
        <f t="shared" si="180"/>
        <v>3.3837175350986671E-12</v>
      </c>
      <c r="EN201" s="59">
        <f t="shared" si="198"/>
        <v>293.33333333333672</v>
      </c>
      <c r="EO201" s="59">
        <f ca="1">AVERAGE(OFFSET($EN$3,0,0,'Données projet'!$E$15+1,1))-AVERAGE(OFFSET($H$3,0,0,'Données projet'!$E$15+1,1))</f>
        <v>168.72306536277267</v>
      </c>
      <c r="EP201" s="59">
        <f t="shared" si="210"/>
        <v>203.35476578922339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0.1092009232961674</v>
      </c>
      <c r="EW201" s="21">
        <f>EXP(-LN(2)/25)*EW200+(1-EXP(-LN(2)/25))/(LN(2)/25)*Calculateur!ER201*Calculateur!ET201*VLOOKUP('Données projet'!$B$15,Paramètres!$A$1:$I$89,3,0)*0.475*44/12</f>
        <v>0.21803355921354897</v>
      </c>
      <c r="EX201" s="21">
        <f>EXP(-LN(2)/2)*EX200+(1-EXP(-LN(2)/2))/(LN(2)/2)*ER201*EU201*VLOOKUP('Données projet'!$B$15,Paramètres!$A$1:$I$89,3,0)*0.475*44/12</f>
        <v>1.0352086071579796E-24</v>
      </c>
      <c r="EY201" s="22">
        <f t="shared" si="181"/>
        <v>0.32723448250971637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3.4106051316484809E-13</v>
      </c>
      <c r="FF201" s="17">
        <f>FE201*VLOOKUP('Données projet'!$B$16,Paramètres!$A$1:$I$89,3,0)*VLOOKUP('Données projet'!$B$16,Paramètres!$A$1:$I$89,5,0)</f>
        <v>1.8621904018800707E-13</v>
      </c>
      <c r="FG201" s="13">
        <f t="shared" si="182"/>
        <v>2.6022279988572714E-12</v>
      </c>
      <c r="FH201" s="20">
        <f t="shared" si="183"/>
        <v>4.8565452596705266E-12</v>
      </c>
      <c r="FI201" s="59">
        <f t="shared" si="199"/>
        <v>293.33333333333815</v>
      </c>
      <c r="FJ201" s="59">
        <f ca="1">AVERAGE(OFFSET($FI$3,0,0,'Données projet'!$E$16+1,1))-AVERAGE(OFFSET($H$3,0,0,'Données projet'!$E$16+1,1))</f>
        <v>127.76128532861486</v>
      </c>
      <c r="FK201" s="59">
        <f t="shared" si="211"/>
        <v>157.52303491639736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>
        <f>EXP(-LN(2)/35)*FQ200+(1-EXP(-LN(2)/35))/(LN(2)/35)*FM201*FN201*VLOOKUP('Données projet'!$B$16,Paramètres!$A$1:$I$89,3,0)*0.475*44/12</f>
        <v>8.7360738636933929E-2</v>
      </c>
      <c r="FR201" s="21">
        <f>EXP(-LN(2)/25)*FR200+(1-EXP(-LN(2)/25))/(LN(2)/25)*Calculateur!FM201*Calculateur!FO201*VLOOKUP('Données projet'!$B$16,Paramètres!$A$1:$I$89,3,0)*0.475*44/12</f>
        <v>0.15482189138116981</v>
      </c>
      <c r="FS201" s="21">
        <f>EXP(-LN(2)/2)*FS200+(1-EXP(-LN(2)/2))/(LN(2)/2)*FM201*FP201*VLOOKUP('Données projet'!$B$16,Paramètres!$A$1:$I$89,3,0)*0.475*44/12</f>
        <v>8.2187473500271226E-25</v>
      </c>
      <c r="FT201" s="22">
        <f t="shared" si="184"/>
        <v>0.24218263001810375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-5.6843418860808015E-13</v>
      </c>
      <c r="O202" s="13">
        <f>N202*VLOOKUP('Données projet'!$B$9,Paramètres!$A$1:$I$89,3,0)*VLOOKUP('Données projet'!$B$9,Paramètres!$A$1:$I$89,5,0)</f>
        <v>-5.1431925385259092E-13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153.45079678708987</v>
      </c>
      <c r="T202" s="59">
        <f t="shared" si="204"/>
        <v>115.4217868409637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0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2.7000623958883807E-13</v>
      </c>
      <c r="AJ202" s="13">
        <f>AI202*VLOOKUP('Données projet'!$B$10,Paramètres!$A$1:$I$89,3,0)*VLOOKUP('Données projet'!$B$10,Paramètres!$A$1:$I$89,5,0)</f>
        <v>2.4430164557998066E-13</v>
      </c>
      <c r="AK202" s="13">
        <f t="shared" si="164"/>
        <v>3.3076825730591037E-12</v>
      </c>
      <c r="AL202" s="20">
        <f t="shared" si="165"/>
        <v>6.1863725141297383E-12</v>
      </c>
      <c r="AM202" s="59">
        <f t="shared" si="193"/>
        <v>293.33333333333951</v>
      </c>
      <c r="AN202" s="59">
        <f ca="1">AVERAGE(OFFSET($AM$3,0,0,'Données projet'!$E$10+1,1))-AVERAGE(OFFSET($H$3,0,0,'Données projet'!$E$10+1,1))</f>
        <v>123.92486590666675</v>
      </c>
      <c r="AO202" s="59">
        <f t="shared" si="205"/>
        <v>54.404493017418986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0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1.1368683772161603E-13</v>
      </c>
      <c r="BE202" s="13">
        <f>BD202*VLOOKUP('Données projet'!$B$11,Paramètres!$A$1:$I$89,3,0)*VLOOKUP('Données projet'!$B$11,Paramètres!$A$1:$I$89,5,0)</f>
        <v>6.3550942286383367E-14</v>
      </c>
      <c r="BF202" s="13">
        <f t="shared" si="167"/>
        <v>1.0064464192543978E-12</v>
      </c>
      <c r="BG202" s="20">
        <f t="shared" si="168"/>
        <v>1.8635787380168604E-12</v>
      </c>
      <c r="BH202" s="59">
        <f t="shared" si="194"/>
        <v>293.33333333333519</v>
      </c>
      <c r="BI202" s="59">
        <f ca="1">AVERAGE(OFFSET($BH$3,0,0,'Données projet'!$E$11+1,1))-AVERAGE(OFFSET($H$3,0,0,'Données projet'!$E$11+1,1))</f>
        <v>224.7049802939942</v>
      </c>
      <c r="BJ202" s="59">
        <f t="shared" si="206"/>
        <v>203.48513862195352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7.8521028330134676E-2</v>
      </c>
      <c r="BQ202" s="21">
        <f>EXP(-LN(2)/25)*BQ201+(1-EXP(-LN(2)/25))/(LN(2)/25)*Calculateur!BL202*Calculateur!BN202*VLOOKUP('Données projet'!$B$11,Paramètres!$A$1:$I$89,3,0)*0.475*44/12</f>
        <v>0.18014315421448771</v>
      </c>
      <c r="BR202" s="21">
        <f>EXP(-LN(2)/2)*BR201+(1-EXP(-LN(2)/2))/(LN(2)/2)*BL202*BO202*VLOOKUP('Données projet'!$B$11,Paramètres!$A$1:$I$89,3,0)*0.475*44/12</f>
        <v>3.2756920565045805E-25</v>
      </c>
      <c r="BS202" s="22">
        <f t="shared" si="169"/>
        <v>0.25866418254462237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6.2527760746888816E-13</v>
      </c>
      <c r="BZ202" s="13">
        <f>BY202*VLOOKUP('Données projet'!$B$12,Paramètres!$A$1:$I$89,3,0)*VLOOKUP('Données projet'!$B$12,Paramètres!$A$1:$I$89,5,0)</f>
        <v>3.4953018257510848E-13</v>
      </c>
      <c r="CA202" s="13">
        <f t="shared" si="170"/>
        <v>4.5391562386470354E-12</v>
      </c>
      <c r="CB202" s="20">
        <f t="shared" si="171"/>
        <v>8.5144621836285662E-12</v>
      </c>
      <c r="CC202" s="59">
        <f t="shared" si="195"/>
        <v>293.33333333334184</v>
      </c>
      <c r="CD202" s="59">
        <f ca="1">AVERAGE(OFFSET($CC$3,0,0,'Données projet'!$E$12+1,1))-AVERAGE(OFFSET($H$3,0,0,'Données projet'!$E$12+1,1))</f>
        <v>190.08613104982993</v>
      </c>
      <c r="CE202" s="59">
        <f t="shared" si="207"/>
        <v>180.55054525447781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0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497</v>
      </c>
      <c r="CU202" s="17">
        <f>CT202*VLOOKUP('Données projet'!$B$13,Paramètres!$A$1:$I$89,3,0)*VLOOKUP('Données projet'!$B$13,Paramètres!$A$1:$I$89,5,0)</f>
        <v>297.20600000000002</v>
      </c>
      <c r="CV202" s="13">
        <f t="shared" si="173"/>
        <v>70.590415164571112</v>
      </c>
      <c r="CW202" s="20">
        <f t="shared" si="174"/>
        <v>640.57875641162809</v>
      </c>
      <c r="CX202" s="59">
        <f t="shared" si="196"/>
        <v>933.91208974496135</v>
      </c>
      <c r="CY202" s="59">
        <f ca="1">AVERAGE(OFFSET($CX$3,0,0,'Données projet'!$E$13+1,1))-AVERAGE(OFFSET($H$3,0,0,'Données projet'!$E$13+1,1))</f>
        <v>270.30888762640245</v>
      </c>
      <c r="CZ202" s="59">
        <f t="shared" si="208"/>
        <v>202.23783851977691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7.5378669652508237E-2</v>
      </c>
      <c r="DG202" s="21">
        <f>EXP(-LN(2)/25)*DG201+(1-EXP(-LN(2)/25))/(LN(2)/25)*Calculateur!DB202*Calculateur!DD202*VLOOKUP('Données projet'!$B$13,Paramètres!$A$1:$I$89,3,0)*0.475*44/12</f>
        <v>0.11344180173566183</v>
      </c>
      <c r="DH202" s="21">
        <f>EXP(-LN(2)/2)*DH201+(1-EXP(-LN(2)/2))/(LN(2)/2)*DB202*DE202*VLOOKUP('Données projet'!$B$13,Paramètres!$A$1:$I$89,3,0)*0.475*44/12</f>
        <v>6.760262251597766E-25</v>
      </c>
      <c r="DI202" s="22">
        <f t="shared" si="175"/>
        <v>0.18882047138817007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433.00000000000011</v>
      </c>
      <c r="DP202" s="17">
        <f>DO202*VLOOKUP('Données projet'!$B$14,Paramètres!$A$1:$I$89,3,0)*VLOOKUP('Données projet'!$B$14,Paramètres!$A$1:$I$89,5,0)</f>
        <v>258.93400000000008</v>
      </c>
      <c r="DQ202" s="13">
        <f t="shared" si="176"/>
        <v>62.495095530116075</v>
      </c>
      <c r="DR202" s="20">
        <f t="shared" si="177"/>
        <v>559.82234138161891</v>
      </c>
      <c r="DS202" s="59">
        <f t="shared" si="197"/>
        <v>853.15567471495228</v>
      </c>
      <c r="DT202" s="59">
        <f ca="1">AVERAGE(OFFSET($DS$3,0,0,'Données projet'!$E$14+1,1))-AVERAGE(OFFSET($H$3,0,0,'Données projet'!$E$14+1,1))</f>
        <v>221.14988592347311</v>
      </c>
      <c r="DU202" s="59">
        <f t="shared" si="209"/>
        <v>179.09262081171607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8.0403914296008822E-2</v>
      </c>
      <c r="EB202" s="21">
        <f>EXP(-LN(2)/25)*EB201+(1-EXP(-LN(2)/25))/(LN(2)/25)*Calculateur!DW202*Calculateur!DY202*VLOOKUP('Données projet'!$B$14,Paramètres!$A$1:$I$89,3,0)*0.475*44/12</f>
        <v>9.4484030933489116E-2</v>
      </c>
      <c r="EC202" s="21">
        <f>EXP(-LN(2)/2)*EC201+(1-EXP(-LN(2)/2))/(LN(2)/2)*DW202*DZ202*VLOOKUP('Données projet'!$B$14,Paramètres!$A$1:$I$89,3,0)*0.475*44/12</f>
        <v>7.1284412941332968E-25</v>
      </c>
      <c r="ED202" s="22">
        <f t="shared" si="178"/>
        <v>0.17488794522949794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2.2737367544323206E-13</v>
      </c>
      <c r="EK202" s="17">
        <f>EJ202*VLOOKUP('Données projet'!$B$15,Paramètres!$A$1:$I$89,3,0)*VLOOKUP('Données projet'!$B$15,Paramètres!$A$1:$I$89,5,0)</f>
        <v>1.2414602679200471E-13</v>
      </c>
      <c r="EL202" s="13">
        <f t="shared" si="179"/>
        <v>1.8186582995804361E-12</v>
      </c>
      <c r="EM202" s="20">
        <f t="shared" si="180"/>
        <v>3.3837175350986671E-12</v>
      </c>
      <c r="EN202" s="59">
        <f t="shared" si="198"/>
        <v>293.33333333333672</v>
      </c>
      <c r="EO202" s="59">
        <f ca="1">AVERAGE(OFFSET($EN$3,0,0,'Données projet'!$E$15+1,1))-AVERAGE(OFFSET($H$3,0,0,'Données projet'!$E$15+1,1))</f>
        <v>168.72306536277267</v>
      </c>
      <c r="EP202" s="59">
        <f t="shared" si="210"/>
        <v>203.35476578922339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0.10705955979631597</v>
      </c>
      <c r="EW202" s="21">
        <f>EXP(-LN(2)/25)*EW201+(1-EXP(-LN(2)/25))/(LN(2)/25)*Calculateur!ER202*Calculateur!ET202*VLOOKUP('Données projet'!$B$15,Paramètres!$A$1:$I$89,3,0)*0.475*44/12</f>
        <v>0.21207142007096791</v>
      </c>
      <c r="EX202" s="21">
        <f>EXP(-LN(2)/2)*EX201+(1-EXP(-LN(2)/2))/(LN(2)/2)*ER202*EU202*VLOOKUP('Données projet'!$B$15,Paramètres!$A$1:$I$89,3,0)*0.475*44/12</f>
        <v>7.3200302606408811E-25</v>
      </c>
      <c r="EY202" s="22">
        <f t="shared" si="181"/>
        <v>0.31913097986728389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3.4106051316484809E-13</v>
      </c>
      <c r="FF202" s="17">
        <f>FE202*VLOOKUP('Données projet'!$B$16,Paramètres!$A$1:$I$89,3,0)*VLOOKUP('Données projet'!$B$16,Paramètres!$A$1:$I$89,5,0)</f>
        <v>1.8621904018800707E-13</v>
      </c>
      <c r="FG202" s="13">
        <f t="shared" si="182"/>
        <v>2.6022279988572714E-12</v>
      </c>
      <c r="FH202" s="20">
        <f t="shared" si="183"/>
        <v>4.8565452596705266E-12</v>
      </c>
      <c r="FI202" s="59">
        <f t="shared" si="199"/>
        <v>293.33333333333815</v>
      </c>
      <c r="FJ202" s="59">
        <f ca="1">AVERAGE(OFFSET($FI$3,0,0,'Données projet'!$E$16+1,1))-AVERAGE(OFFSET($H$3,0,0,'Données projet'!$E$16+1,1))</f>
        <v>127.76128532861486</v>
      </c>
      <c r="FK202" s="59">
        <f t="shared" si="211"/>
        <v>157.52303491639736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>
        <f>EXP(-LN(2)/35)*FQ201+(1-EXP(-LN(2)/35))/(LN(2)/35)*FM202*FN202*VLOOKUP('Données projet'!$B$16,Paramètres!$A$1:$I$89,3,0)*0.475*44/12</f>
        <v>8.5647647837052782E-2</v>
      </c>
      <c r="FR202" s="21">
        <f>EXP(-LN(2)/25)*FR201+(1-EXP(-LN(2)/25))/(LN(2)/25)*Calculateur!FM202*Calculateur!FO202*VLOOKUP('Données projet'!$B$16,Paramètres!$A$1:$I$89,3,0)*0.475*44/12</f>
        <v>0.15058827861962229</v>
      </c>
      <c r="FS202" s="21">
        <f>EXP(-LN(2)/2)*FS201+(1-EXP(-LN(2)/2))/(LN(2)/2)*FM202*FP202*VLOOKUP('Données projet'!$B$16,Paramètres!$A$1:$I$89,3,0)*0.475*44/12</f>
        <v>5.8115319840631461E-25</v>
      </c>
      <c r="FT202" s="22">
        <f t="shared" si="184"/>
        <v>0.23623592645667507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-5.6843418860808015E-13</v>
      </c>
      <c r="O203" s="13">
        <f>N203*VLOOKUP('Données projet'!$B$9,Paramètres!$A$1:$I$89,3,0)*VLOOKUP('Données projet'!$B$9,Paramètres!$A$1:$I$89,5,0)</f>
        <v>-5.1431925385259092E-13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153.45079678708987</v>
      </c>
      <c r="T203" s="59">
        <f t="shared" si="204"/>
        <v>115.4217868409637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0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2.7000623958883807E-13</v>
      </c>
      <c r="AJ203" s="13">
        <f>AI203*VLOOKUP('Données projet'!$B$10,Paramètres!$A$1:$I$89,3,0)*VLOOKUP('Données projet'!$B$10,Paramètres!$A$1:$I$89,5,0)</f>
        <v>2.4430164557998066E-13</v>
      </c>
      <c r="AK203" s="13">
        <f t="shared" si="164"/>
        <v>3.3076825730591037E-12</v>
      </c>
      <c r="AL203" s="20">
        <f t="shared" si="165"/>
        <v>6.1863725141297383E-12</v>
      </c>
      <c r="AM203" s="59">
        <f t="shared" si="193"/>
        <v>293.33333333333951</v>
      </c>
      <c r="AN203" s="59">
        <f ca="1">AVERAGE(OFFSET($AM$3,0,0,'Données projet'!$E$10+1,1))-AVERAGE(OFFSET($H$3,0,0,'Données projet'!$E$10+1,1))</f>
        <v>123.92486590666675</v>
      </c>
      <c r="AO203" s="59">
        <f t="shared" si="205"/>
        <v>54.404493017418986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0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1.1368683772161603E-13</v>
      </c>
      <c r="BE203" s="13">
        <f>BD203*VLOOKUP('Données projet'!$B$11,Paramètres!$A$1:$I$89,3,0)*VLOOKUP('Données projet'!$B$11,Paramètres!$A$1:$I$89,5,0)</f>
        <v>6.3550942286383367E-14</v>
      </c>
      <c r="BF203" s="13">
        <f t="shared" si="167"/>
        <v>1.0064464192543978E-12</v>
      </c>
      <c r="BG203" s="20">
        <f t="shared" si="168"/>
        <v>1.8635787380168604E-12</v>
      </c>
      <c r="BH203" s="59">
        <f t="shared" si="194"/>
        <v>293.33333333333519</v>
      </c>
      <c r="BI203" s="59">
        <f ca="1">AVERAGE(OFFSET($BH$3,0,0,'Données projet'!$E$11+1,1))-AVERAGE(OFFSET($H$3,0,0,'Données projet'!$E$11+1,1))</f>
        <v>224.7049802939942</v>
      </c>
      <c r="BJ203" s="59">
        <f t="shared" si="206"/>
        <v>203.48513862195352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7.698127885767897E-2</v>
      </c>
      <c r="BQ203" s="21">
        <f>EXP(-LN(2)/25)*BQ202+(1-EXP(-LN(2)/25))/(LN(2)/25)*Calculateur!BL203*Calculateur!BN203*VLOOKUP('Données projet'!$B$11,Paramètres!$A$1:$I$89,3,0)*0.475*44/12</f>
        <v>0.17521713018917578</v>
      </c>
      <c r="BR203" s="21">
        <f>EXP(-LN(2)/2)*BR202+(1-EXP(-LN(2)/2))/(LN(2)/2)*BL203*BO203*VLOOKUP('Données projet'!$B$11,Paramètres!$A$1:$I$89,3,0)*0.475*44/12</f>
        <v>2.3162640662332963E-25</v>
      </c>
      <c r="BS203" s="22">
        <f t="shared" si="169"/>
        <v>0.25219840904685475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6.2527760746888816E-13</v>
      </c>
      <c r="BZ203" s="13">
        <f>BY203*VLOOKUP('Données projet'!$B$12,Paramètres!$A$1:$I$89,3,0)*VLOOKUP('Données projet'!$B$12,Paramètres!$A$1:$I$89,5,0)</f>
        <v>3.4953018257510848E-13</v>
      </c>
      <c r="CA203" s="13">
        <f t="shared" si="170"/>
        <v>4.5391562386470354E-12</v>
      </c>
      <c r="CB203" s="20">
        <f t="shared" si="171"/>
        <v>8.5144621836285662E-12</v>
      </c>
      <c r="CC203" s="59">
        <f t="shared" si="195"/>
        <v>293.33333333334184</v>
      </c>
      <c r="CD203" s="59">
        <f ca="1">AVERAGE(OFFSET($CC$3,0,0,'Données projet'!$E$12+1,1))-AVERAGE(OFFSET($H$3,0,0,'Données projet'!$E$12+1,1))</f>
        <v>190.08613104982993</v>
      </c>
      <c r="CE203" s="59">
        <f t="shared" si="207"/>
        <v>180.55054525447781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0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497</v>
      </c>
      <c r="CU203" s="17">
        <f>CT203*VLOOKUP('Données projet'!$B$13,Paramètres!$A$1:$I$89,3,0)*VLOOKUP('Données projet'!$B$13,Paramètres!$A$1:$I$89,5,0)</f>
        <v>297.20600000000002</v>
      </c>
      <c r="CV203" s="13">
        <f t="shared" si="173"/>
        <v>70.590415164571112</v>
      </c>
      <c r="CW203" s="20">
        <f t="shared" si="174"/>
        <v>640.57875641162809</v>
      </c>
      <c r="CX203" s="59">
        <f t="shared" si="196"/>
        <v>933.91208974496135</v>
      </c>
      <c r="CY203" s="59">
        <f ca="1">AVERAGE(OFFSET($CX$3,0,0,'Données projet'!$E$13+1,1))-AVERAGE(OFFSET($H$3,0,0,'Données projet'!$E$13+1,1))</f>
        <v>270.30888762640245</v>
      </c>
      <c r="CZ203" s="59">
        <f t="shared" si="208"/>
        <v>202.23783851977691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7.390053991707124E-2</v>
      </c>
      <c r="DG203" s="21">
        <f>EXP(-LN(2)/25)*DG202+(1-EXP(-LN(2)/25))/(LN(2)/25)*Calculateur!DB203*Calculateur!DD203*VLOOKUP('Données projet'!$B$13,Paramètres!$A$1:$I$89,3,0)*0.475*44/12</f>
        <v>0.11033972970155508</v>
      </c>
      <c r="DH203" s="21">
        <f>EXP(-LN(2)/2)*DH202+(1-EXP(-LN(2)/2))/(LN(2)/2)*DB203*DE203*VLOOKUP('Données projet'!$B$13,Paramètres!$A$1:$I$89,3,0)*0.475*44/12</f>
        <v>4.7802272807042186E-25</v>
      </c>
      <c r="DI203" s="22">
        <f t="shared" si="175"/>
        <v>0.18424026961862633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433.00000000000011</v>
      </c>
      <c r="DP203" s="17">
        <f>DO203*VLOOKUP('Données projet'!$B$14,Paramètres!$A$1:$I$89,3,0)*VLOOKUP('Données projet'!$B$14,Paramètres!$A$1:$I$89,5,0)</f>
        <v>258.93400000000008</v>
      </c>
      <c r="DQ203" s="13">
        <f t="shared" si="176"/>
        <v>62.495095530116075</v>
      </c>
      <c r="DR203" s="20">
        <f t="shared" si="177"/>
        <v>559.82234138161891</v>
      </c>
      <c r="DS203" s="59">
        <f t="shared" si="197"/>
        <v>853.15567471495228</v>
      </c>
      <c r="DT203" s="59">
        <f ca="1">AVERAGE(OFFSET($DS$3,0,0,'Données projet'!$E$14+1,1))-AVERAGE(OFFSET($H$3,0,0,'Données projet'!$E$14+1,1))</f>
        <v>221.14988592347311</v>
      </c>
      <c r="DU203" s="59">
        <f t="shared" si="209"/>
        <v>179.09262081171607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7.8827242578209361E-2</v>
      </c>
      <c r="EB203" s="21">
        <f>EXP(-LN(2)/25)*EB202+(1-EXP(-LN(2)/25))/(LN(2)/25)*Calculateur!DW203*Calculateur!DY203*VLOOKUP('Données projet'!$B$14,Paramètres!$A$1:$I$89,3,0)*0.475*44/12</f>
        <v>9.1900360138913617E-2</v>
      </c>
      <c r="EC203" s="21">
        <f>EXP(-LN(2)/2)*EC202+(1-EXP(-LN(2)/2))/(LN(2)/2)*DW203*DZ203*VLOOKUP('Données projet'!$B$14,Paramètres!$A$1:$I$89,3,0)*0.475*44/12</f>
        <v>5.0405691783718627E-25</v>
      </c>
      <c r="ED203" s="22">
        <f t="shared" si="178"/>
        <v>0.17072760271712298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2.2737367544323206E-13</v>
      </c>
      <c r="EK203" s="17">
        <f>EJ203*VLOOKUP('Données projet'!$B$15,Paramètres!$A$1:$I$89,3,0)*VLOOKUP('Données projet'!$B$15,Paramètres!$A$1:$I$89,5,0)</f>
        <v>1.2414602679200471E-13</v>
      </c>
      <c r="EL203" s="13">
        <f t="shared" si="179"/>
        <v>1.8186582995804361E-12</v>
      </c>
      <c r="EM203" s="20">
        <f t="shared" si="180"/>
        <v>3.3837175350986671E-12</v>
      </c>
      <c r="EN203" s="59">
        <f t="shared" si="198"/>
        <v>293.33333333333672</v>
      </c>
      <c r="EO203" s="59">
        <f ca="1">AVERAGE(OFFSET($EN$3,0,0,'Données projet'!$E$15+1,1))-AVERAGE(OFFSET($H$3,0,0,'Données projet'!$E$15+1,1))</f>
        <v>168.72306536277267</v>
      </c>
      <c r="EP203" s="59">
        <f t="shared" si="210"/>
        <v>203.35476578922339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0.10496018712859387</v>
      </c>
      <c r="EW203" s="21">
        <f>EXP(-LN(2)/25)*EW202+(1-EXP(-LN(2)/25))/(LN(2)/25)*Calculateur!ER203*Calculateur!ET203*VLOOKUP('Données projet'!$B$15,Paramètres!$A$1:$I$89,3,0)*0.475*44/12</f>
        <v>0.206272315936776</v>
      </c>
      <c r="EX203" s="21">
        <f>EXP(-LN(2)/2)*EX202+(1-EXP(-LN(2)/2))/(LN(2)/2)*ER203*EU203*VLOOKUP('Données projet'!$B$15,Paramètres!$A$1:$I$89,3,0)*0.475*44/12</f>
        <v>5.1760430357898979E-25</v>
      </c>
      <c r="EY203" s="22">
        <f t="shared" si="181"/>
        <v>0.31123250306536987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3.4106051316484809E-13</v>
      </c>
      <c r="FF203" s="17">
        <f>FE203*VLOOKUP('Données projet'!$B$16,Paramètres!$A$1:$I$89,3,0)*VLOOKUP('Données projet'!$B$16,Paramètres!$A$1:$I$89,5,0)</f>
        <v>1.8621904018800707E-13</v>
      </c>
      <c r="FG203" s="13">
        <f t="shared" si="182"/>
        <v>2.6022279988572714E-12</v>
      </c>
      <c r="FH203" s="20">
        <f t="shared" si="183"/>
        <v>4.8565452596705266E-12</v>
      </c>
      <c r="FI203" s="59">
        <f t="shared" si="199"/>
        <v>293.33333333333815</v>
      </c>
      <c r="FJ203" s="59">
        <f ca="1">AVERAGE(OFFSET($FI$3,0,0,'Données projet'!$E$16+1,1))-AVERAGE(OFFSET($H$3,0,0,'Données projet'!$E$16+1,1))</f>
        <v>127.76128532861486</v>
      </c>
      <c r="FK203" s="59">
        <f t="shared" si="211"/>
        <v>157.52303491639736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>
        <f>EXP(-LN(2)/35)*FQ202+(1-EXP(-LN(2)/35))/(LN(2)/35)*FM203*FN203*VLOOKUP('Données projet'!$B$16,Paramètres!$A$1:$I$89,3,0)*0.475*44/12</f>
        <v>8.3968149702875097E-2</v>
      </c>
      <c r="FR203" s="21">
        <f>EXP(-LN(2)/25)*FR202+(1-EXP(-LN(2)/25))/(LN(2)/25)*Calculateur!FM203*Calculateur!FO203*VLOOKUP('Données projet'!$B$16,Paramètres!$A$1:$I$89,3,0)*0.475*44/12</f>
        <v>0.14647043422167533</v>
      </c>
      <c r="FS203" s="21">
        <f>EXP(-LN(2)/2)*FS202+(1-EXP(-LN(2)/2))/(LN(2)/2)*FM203*FP203*VLOOKUP('Données projet'!$B$16,Paramètres!$A$1:$I$89,3,0)*0.475*44/12</f>
        <v>4.1093736750135618E-25</v>
      </c>
      <c r="FT203" s="22">
        <f t="shared" si="184"/>
        <v>0.23043858392455041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1.1608269964373037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1.1440997575339091</v>
      </c>
      <c r="BA205" s="82">
        <f>EXP(LN('Données projet'!B88)/'Données projet'!A88)</f>
        <v>1.3009230512021859</v>
      </c>
      <c r="BV205" s="82">
        <f>EXP(LN('Données projet'!B114)/'Données projet'!A114)</f>
        <v>1.2184369837847564</v>
      </c>
      <c r="CQ205" s="82">
        <f>EXP(LN('Données projet'!B140)/'Données projet'!A140)</f>
        <v>1.2501898326862695</v>
      </c>
      <c r="DL205" s="82">
        <f>EXP(LN('Données projet'!B166)/'Données projet'!A166)</f>
        <v>1.2357836771486921</v>
      </c>
      <c r="EG205" s="82">
        <f>EXP(LN('Données projet'!B192)/'Données projet'!A192)</f>
        <v>1.3682730833261529</v>
      </c>
      <c r="FB205" s="82">
        <f>EXP(LN('Données projet'!B218)/'Données projet'!A218)</f>
        <v>1.2820888539868154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5"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Chêne sessile</v>
      </c>
      <c r="B6" s="146">
        <f>'Données projet'!D9</f>
        <v>1.7076</v>
      </c>
      <c r="C6" s="147">
        <f ca="1">IF(OR('Données projet'!B9="",'Données projet'!C9="",'Données projet'!C9=0%),0,Calculateur!S3)</f>
        <v>153.45079678708987</v>
      </c>
      <c r="D6" s="147">
        <f>IF(OR('Données projet'!B9="",'Données projet'!C9="",'Données projet'!C9=0%),0,Calculateur!T3)</f>
        <v>115.4217868409637</v>
      </c>
      <c r="E6" s="147">
        <f ca="1">MIN(C6,D6)</f>
        <v>115.4217868409637</v>
      </c>
      <c r="F6" s="147">
        <f ca="1">E6*B6</f>
        <v>197.09424320962961</v>
      </c>
      <c r="G6" s="147">
        <f ca="1">F6*(100%-'Données projet'!$C$24)*(100%-'Données projet'!$C$25)*(100%-'Données projet'!$C$26)*(100%-'Données projet'!$C$27)</f>
        <v>177.38481888866664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0</v>
      </c>
      <c r="K6" s="151">
        <f>J6*(100%-'Données projet'!$C$24)*(100%-'Données projet'!$C$25)*(100%-'Données projet'!$C$26)*(100%-'Données projet'!$C$27)</f>
        <v>0</v>
      </c>
      <c r="L6" s="152">
        <f ca="1">G6+I6+K6</f>
        <v>177.38481888866664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Chêne sessile</v>
      </c>
      <c r="B7" s="154">
        <f>'Données projet'!D10</f>
        <v>0.71150000000000002</v>
      </c>
      <c r="C7" s="147">
        <f ca="1">IF(OR('Données projet'!B10="",'Données projet'!C10="",'Données projet'!C10=0%),0,Calculateur!AN3)</f>
        <v>123.92486590666675</v>
      </c>
      <c r="D7" s="147">
        <f>IF(OR('Données projet'!B10="",'Données projet'!C10="",'Données projet'!C10=0%),0,Calculateur!AO3)</f>
        <v>54.404493017418986</v>
      </c>
      <c r="E7" s="147">
        <f t="shared" ref="E7:E15" ca="1" si="0">MIN(C7,D7)</f>
        <v>54.404493017418986</v>
      </c>
      <c r="F7" s="147">
        <f t="shared" ref="F7:F15" ca="1" si="1">E7*B7</f>
        <v>38.708796781893611</v>
      </c>
      <c r="G7" s="147">
        <f ca="1">F7*(100%-'Données projet'!$C$24)*(100%-'Données projet'!$C$25)*(100%-'Données projet'!$C$26)*(100%-'Données projet'!$C$27)</f>
        <v>34.83791710370425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ca="1" si="2">G7+I7+K7</f>
        <v>34.83791710370425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Douglas</v>
      </c>
      <c r="B8" s="154">
        <f>'Données projet'!D11</f>
        <v>3.9844000000000004</v>
      </c>
      <c r="C8" s="147">
        <f ca="1">IF(OR('Données projet'!B11="",'Données projet'!C11="",'Données projet'!C11=0%),0,Calculateur!BI3)</f>
        <v>224.7049802939942</v>
      </c>
      <c r="D8" s="147">
        <f>IF(OR('Données projet'!B11="",'Données projet'!C11="",'Données projet'!C11=0%),0,Calculateur!BJ3)</f>
        <v>203.48513862195352</v>
      </c>
      <c r="E8" s="147">
        <f t="shared" ca="1" si="0"/>
        <v>203.48513862195352</v>
      </c>
      <c r="F8" s="147">
        <f t="shared" ca="1" si="1"/>
        <v>810.76618632531165</v>
      </c>
      <c r="G8" s="147">
        <f ca="1">F8*(100%-'Données projet'!$C$24)*(100%-'Données projet'!$C$25)*(100%-'Données projet'!$C$26)*(100%-'Données projet'!$C$27)</f>
        <v>729.68956769278054</v>
      </c>
      <c r="H8" s="155">
        <f>IF(OR('Données projet'!B11="",'Données projet'!C11="",'Données projet'!C11=0%),0,AVERAGE(Calculateur!$BS$3:$BS$33)*B8)</f>
        <v>31.749615745089088</v>
      </c>
      <c r="I8" s="149">
        <f>H8*(100%-'Données projet'!$C$24)*(100%-'Données projet'!$C$25)*(100%-'Données projet'!$C$26)*(100%-'Données projet'!$C$27)</f>
        <v>28.574654170580178</v>
      </c>
      <c r="J8" s="150">
        <f>IF(OR('Données projet'!B11="",'Données projet'!C11="",'Données projet'!C11=0%),0,SUM(Calculateur!$BL$3:$BL$33)*VLOOKUP('Données projet'!$B$11,Paramètres!$A$1:$I$89,9,0)*B8)</f>
        <v>202.31342686153846</v>
      </c>
      <c r="K8" s="151">
        <f>J8*(100%-'Données projet'!$C$24)*(100%-'Données projet'!$C$25)*(100%-'Données projet'!$C$26)*(100%-'Données projet'!$C$27)</f>
        <v>182.08208417538461</v>
      </c>
      <c r="L8" s="152">
        <f t="shared" ca="1" si="2"/>
        <v>940.3463060387453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Douglas</v>
      </c>
      <c r="B9" s="154">
        <f>'Données projet'!D12</f>
        <v>2.8460000000000001</v>
      </c>
      <c r="C9" s="147">
        <f ca="1">IF(OR('Données projet'!B12="",'Données projet'!C12="",'Données projet'!C12=0%),0,Calculateur!CD3)</f>
        <v>190.08613104982993</v>
      </c>
      <c r="D9" s="147">
        <f>IF(OR('Données projet'!B12="",'Données projet'!C12="",'Données projet'!C12=0%),0,Calculateur!CE3)</f>
        <v>180.55054525447781</v>
      </c>
      <c r="E9" s="147">
        <f t="shared" ca="1" si="0"/>
        <v>180.55054525447781</v>
      </c>
      <c r="F9" s="147">
        <f t="shared" ca="1" si="1"/>
        <v>513.84685179424389</v>
      </c>
      <c r="G9" s="147">
        <f ca="1">F9*(100%-'Données projet'!$C$24)*(100%-'Données projet'!$C$25)*(100%-'Données projet'!$C$26)*(100%-'Données projet'!$C$27)</f>
        <v>462.46216661481952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462.46216661481952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Pin laricio</v>
      </c>
      <c r="B10" s="154">
        <f>'Données projet'!D13</f>
        <v>0.9961000000000001</v>
      </c>
      <c r="C10" s="147">
        <f ca="1">IF(OR('Données projet'!B13="",'Données projet'!C13="",'Données projet'!C13=0%),0,Calculateur!CY3)</f>
        <v>270.30888762640245</v>
      </c>
      <c r="D10" s="147">
        <f>IF(OR('Données projet'!B13="",'Données projet'!C13="",'Données projet'!C13=0%),0,Calculateur!CZ3)</f>
        <v>202.23783851977691</v>
      </c>
      <c r="E10" s="147">
        <f t="shared" ca="1" si="0"/>
        <v>202.23783851977691</v>
      </c>
      <c r="F10" s="147">
        <f t="shared" ca="1" si="1"/>
        <v>201.44911094954981</v>
      </c>
      <c r="G10" s="147">
        <f ca="1">F10*(100%-'Données projet'!$C$24)*(100%-'Données projet'!$C$25)*(100%-'Données projet'!$C$26)*(100%-'Données projet'!$C$27)</f>
        <v>181.30419985459483</v>
      </c>
      <c r="H10" s="155">
        <f>IF(OR('Données projet'!B13="",'Données projet'!C13="",'Données projet'!C13=0%),0,AVERAGE(Calculateur!$DI$3:$DI$33)*B10)</f>
        <v>2.7894084261175376</v>
      </c>
      <c r="I10" s="149">
        <f>H10*(100%-'Données projet'!$C$24)*(100%-'Données projet'!$C$25)*(100%-'Données projet'!$C$26)*(100%-'Données projet'!$C$27)</f>
        <v>2.5104675835057839</v>
      </c>
      <c r="J10" s="150">
        <f>IF(OR('Données projet'!B13="",'Données projet'!C13="",'Données projet'!C13=0%),0,SUM(Calculateur!$DB$3:$DB$33)*VLOOKUP('Données projet'!$B$13,Paramètres!$A$1:$I$89,9,0)*B10)</f>
        <v>34.265840000000004</v>
      </c>
      <c r="K10" s="151">
        <f>J10*(100%-'Données projet'!$C$24)*(100%-'Données projet'!$C$25)*(100%-'Données projet'!$C$26)*(100%-'Données projet'!$C$27)</f>
        <v>30.839256000000006</v>
      </c>
      <c r="L10" s="152">
        <f t="shared" ca="1" si="2"/>
        <v>214.65392343810061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>Pin laricio</v>
      </c>
      <c r="B11" s="154">
        <f>'Données projet'!D14</f>
        <v>1.8499000000000001</v>
      </c>
      <c r="C11" s="147">
        <f ca="1">IF(OR('Données projet'!B14="",'Données projet'!C14="",'Données projet'!C14=0%),0,Calculateur!DT3)</f>
        <v>221.14988592347311</v>
      </c>
      <c r="D11" s="147">
        <f>IF(OR('Données projet'!B14="",'Données projet'!C14="",'Données projet'!C14=0%),0,Calculateur!DU3)</f>
        <v>179.09262081171607</v>
      </c>
      <c r="E11" s="147">
        <f t="shared" ca="1" si="0"/>
        <v>179.09262081171607</v>
      </c>
      <c r="F11" s="147">
        <f t="shared" ca="1" si="1"/>
        <v>331.30343923959356</v>
      </c>
      <c r="G11" s="147">
        <f ca="1">F11*(100%-'Données projet'!$C$24)*(100%-'Données projet'!$C$25)*(100%-'Données projet'!$C$26)*(100%-'Données projet'!$C$27)</f>
        <v>298.17309531563421</v>
      </c>
      <c r="H11" s="155">
        <f>IF(OR('Données projet'!B14="",'Données projet'!C14="",'Données projet'!C14=0%),0,AVERAGE(Calculateur!$ED$3:$ED$33)*B11)</f>
        <v>1.9110612986357811</v>
      </c>
      <c r="I11" s="149">
        <f>H11*(100%-'Données projet'!$C$24)*(100%-'Données projet'!$C$25)*(100%-'Données projet'!$C$26)*(100%-'Données projet'!$C$27)</f>
        <v>1.719955168772203</v>
      </c>
      <c r="J11" s="150">
        <f>IF(OR('Données projet'!B14="",'Données projet'!C14="",'Données projet'!C14=0%),0,SUM(Calculateur!$DW$3:$DW$33)*VLOOKUP('Données projet'!$B$14,Paramètres!$A$1:$I$89,9,0)*B11)</f>
        <v>50.909248000000005</v>
      </c>
      <c r="K11" s="151">
        <f>J11*(100%-'Données projet'!$C$24)*(100%-'Données projet'!$C$25)*(100%-'Données projet'!$C$26)*(100%-'Données projet'!$C$27)</f>
        <v>45.818323200000009</v>
      </c>
      <c r="L11" s="152">
        <f t="shared" ca="1" si="2"/>
        <v>345.71137368440645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>Mélèze hybride</v>
      </c>
      <c r="B12" s="154">
        <f>'Données projet'!D15</f>
        <v>1.7076</v>
      </c>
      <c r="C12" s="147">
        <f ca="1">IF(OR('Données projet'!B15="",'Données projet'!C15="",'Données projet'!C15=0%),0,Calculateur!EO3)</f>
        <v>168.72306536277267</v>
      </c>
      <c r="D12" s="147">
        <f>IF(OR('Données projet'!B15="",'Données projet'!C15="",'Données projet'!C15=0%),0,Calculateur!EP3)</f>
        <v>203.35476578922339</v>
      </c>
      <c r="E12" s="147">
        <f t="shared" ca="1" si="0"/>
        <v>168.72306536277267</v>
      </c>
      <c r="F12" s="147">
        <f t="shared" ca="1" si="1"/>
        <v>288.11150641347064</v>
      </c>
      <c r="G12" s="147">
        <f ca="1">F12*(100%-'Données projet'!$C$24)*(100%-'Données projet'!$C$25)*(100%-'Données projet'!$C$26)*(100%-'Données projet'!$C$27)</f>
        <v>259.30035577212357</v>
      </c>
      <c r="H12" s="155">
        <f>IF(OR('Données projet'!B15="",'Données projet'!C15="",'Données projet'!C15=0%),0,AVERAGE(Calculateur!$EY$3:$EY$33)*B12)</f>
        <v>11.764167367163695</v>
      </c>
      <c r="I12" s="149">
        <f>H12*(100%-'Données projet'!$C$24)*(100%-'Données projet'!$C$25)*(100%-'Données projet'!$C$26)*(100%-'Données projet'!$C$27)</f>
        <v>10.587750630447326</v>
      </c>
      <c r="J12" s="150">
        <f>IF(OR('Données projet'!B15="",'Données projet'!C15="",'Données projet'!C15=0%),0,SUM(Calculateur!$ER$3:$ER$33)*VLOOKUP('Données projet'!$B$15,Paramètres!$A$1:$I$89,9,0)*B12)</f>
        <v>93.252036000000004</v>
      </c>
      <c r="K12" s="151">
        <f>J12*(100%-'Données projet'!$C$24)*(100%-'Données projet'!$C$25)*(100%-'Données projet'!$C$26)*(100%-'Données projet'!$C$27)</f>
        <v>83.926832400000009</v>
      </c>
      <c r="L12" s="152">
        <f t="shared" ca="1" si="2"/>
        <v>353.81493880257091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>Mélèze hybride</v>
      </c>
      <c r="B13" s="154">
        <f>'Données projet'!D16</f>
        <v>0.4269</v>
      </c>
      <c r="C13" s="147">
        <f ca="1">IF(OR('Données projet'!B16="",'Données projet'!C16="",'Données projet'!C16=0%),0,Calculateur!FJ3)</f>
        <v>127.76128532861486</v>
      </c>
      <c r="D13" s="147">
        <f>IF(OR('Données projet'!B16="",'Données projet'!C16="",'Données projet'!C16=0%),0,Calculateur!FK3)</f>
        <v>157.52303491639736</v>
      </c>
      <c r="E13" s="147">
        <f t="shared" ca="1" si="0"/>
        <v>127.76128532861486</v>
      </c>
      <c r="F13" s="147">
        <f t="shared" ca="1" si="1"/>
        <v>54.541292706785683</v>
      </c>
      <c r="G13" s="147">
        <f ca="1">F13*(100%-'Données projet'!$C$24)*(100%-'Données projet'!$C$25)*(100%-'Données projet'!$C$26)*(100%-'Données projet'!$C$27)</f>
        <v>49.087163436107119</v>
      </c>
      <c r="H13" s="155">
        <f>IF(OR('Données projet'!B16="",'Données projet'!C16="",'Données projet'!C16=0%),0,AVERAGE(Calculateur!$FT$3:$FT$33)*B13)</f>
        <v>1.8127553674338182</v>
      </c>
      <c r="I13" s="149">
        <f>H13*(100%-'Données projet'!$C$24)*(100%-'Données projet'!$C$25)*(100%-'Données projet'!$C$26)*(100%-'Données projet'!$C$27)</f>
        <v>1.6314798306904363</v>
      </c>
      <c r="J13" s="150">
        <f>IF(OR('Données projet'!C16="",'Données projet'!C16=0%),0,SUM(Calculateur!$FM$3:$FM$33)*VLOOKUP('Données projet'!$B$16,Paramètres!$A$1:$I$89,9,0)*B13)</f>
        <v>16.337463</v>
      </c>
      <c r="K13" s="151">
        <f>J13*(100%-'Données projet'!$C$24)*(100%-'Données projet'!$C$25)*(100%-'Données projet'!$C$26)*(100%-'Données projet'!$C$27)</f>
        <v>14.703716699999999</v>
      </c>
      <c r="L13" s="152">
        <f t="shared" ca="1" si="2"/>
        <v>65.422359966797558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2435.8214274204779</v>
      </c>
      <c r="G16" s="166">
        <f t="shared" ca="1" si="3"/>
        <v>2192.2392846784305</v>
      </c>
      <c r="H16" s="167">
        <f t="shared" si="3"/>
        <v>50.027008204439916</v>
      </c>
      <c r="I16" s="167">
        <f t="shared" si="3"/>
        <v>45.024307383995925</v>
      </c>
      <c r="J16" s="168">
        <f t="shared" si="3"/>
        <v>397.07801386153852</v>
      </c>
      <c r="K16" s="168">
        <f t="shared" si="3"/>
        <v>357.37021247538462</v>
      </c>
      <c r="L16" s="169">
        <f t="shared" ca="1" si="3"/>
        <v>2594.6338045378111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Chêne sessile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Douglas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Douglas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Pin laricio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>Pin laricio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>Mélèze hybride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>Mélèze hybride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I21" sqref="I2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Chêne sessile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-2076.4220877543453</v>
      </c>
      <c r="U10" s="178">
        <f>'Données projet'!D9</f>
        <v>1.7076</v>
      </c>
      <c r="V10" s="177">
        <f>U10*T10</f>
        <v>-3545.6983570493198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sessile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-2578.9449276500609</v>
      </c>
      <c r="U11" s="178">
        <f>'Données projet'!D10</f>
        <v>0.71150000000000002</v>
      </c>
      <c r="V11" s="177">
        <f t="shared" ref="V11" si="0">U11*T11</f>
        <v>-1834.9193160230184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Douglas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3161.415860673138</v>
      </c>
      <c r="U12" s="178">
        <f>'Données projet'!D11</f>
        <v>3.9844000000000004</v>
      </c>
      <c r="V12" s="177">
        <f t="shared" ref="V12:V19" si="1">U12*T12</f>
        <v>12596.345355266052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Douglas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-688.95957895684501</v>
      </c>
      <c r="U13" s="178">
        <f>'Données projet'!D12</f>
        <v>2.8460000000000001</v>
      </c>
      <c r="V13" s="177">
        <f t="shared" si="1"/>
        <v>-1960.778961711181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Chêne sessile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Pin laricio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-1032.4992101172377</v>
      </c>
      <c r="U14" s="178">
        <f>'Données projet'!D13</f>
        <v>0.9961000000000001</v>
      </c>
      <c r="V14" s="177">
        <f t="shared" si="1"/>
        <v>-1028.4724631977806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Pin laricio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-1193.8672353371387</v>
      </c>
      <c r="U15" s="178">
        <f>'Données projet'!D14</f>
        <v>1.8499000000000001</v>
      </c>
      <c r="V15" s="177">
        <f t="shared" si="1"/>
        <v>-2208.5349986501728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80</v>
      </c>
      <c r="O16" s="23"/>
      <c r="P16" s="23"/>
      <c r="Q16" s="234"/>
      <c r="R16" s="23"/>
      <c r="S16" s="36" t="str">
        <f>B200</f>
        <v>Mélèze hybride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-416.07963232992893</v>
      </c>
      <c r="U16" s="178">
        <f>'Données projet'!D15</f>
        <v>1.7076</v>
      </c>
      <c r="V16" s="177">
        <f t="shared" si="1"/>
        <v>-710.49758016658666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2804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80.000000000000114</v>
      </c>
      <c r="O17" s="23"/>
      <c r="P17" s="23"/>
      <c r="Q17" s="234"/>
      <c r="R17" s="23"/>
      <c r="S17" s="36" t="str">
        <f>B231</f>
        <v>Mélèze hybride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-867.04716233164982</v>
      </c>
      <c r="U17" s="178">
        <f>'Données projet'!D16</f>
        <v>0.4269</v>
      </c>
      <c r="V17" s="177">
        <f t="shared" si="1"/>
        <v>-370.14243359938132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2400.0000000000036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f>869.1+691.01</f>
        <v>1560.1100000000001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470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470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30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3</v>
      </c>
      <c r="I23" s="191">
        <v>470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-39648.412553361661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44</v>
      </c>
      <c r="B24" s="181">
        <f>'Données projet'!D37</f>
        <v>64.416666666666657</v>
      </c>
      <c r="C24" s="193">
        <v>12</v>
      </c>
      <c r="D24" s="182">
        <f t="shared" ref="D24:D42" si="2">B24*C24</f>
        <v>772.99999999999989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1009.5153014536935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51</v>
      </c>
      <c r="B25" s="181">
        <f>'Données projet'!D38</f>
        <v>37.685897435897431</v>
      </c>
      <c r="C25" s="193">
        <v>35</v>
      </c>
      <c r="D25" s="182">
        <f t="shared" si="2"/>
        <v>1319.0064102564102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-40657.927854815352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59</v>
      </c>
      <c r="B26" s="181">
        <f>'Données projet'!D39</f>
        <v>38.942307692307693</v>
      </c>
      <c r="C26" s="193">
        <v>45</v>
      </c>
      <c r="D26" s="182">
        <f t="shared" si="2"/>
        <v>1752.4038461538462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67</v>
      </c>
      <c r="B27" s="181">
        <f>'Données projet'!D40</f>
        <v>31.993589743589741</v>
      </c>
      <c r="C27" s="193">
        <v>50</v>
      </c>
      <c r="D27" s="182">
        <f t="shared" si="2"/>
        <v>1599.6794871794871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75</v>
      </c>
      <c r="B28" s="181">
        <f>'Données projet'!D41</f>
        <v>30.916666666666664</v>
      </c>
      <c r="C28" s="193">
        <v>55</v>
      </c>
      <c r="D28" s="182">
        <f t="shared" si="2"/>
        <v>1700.4166666666665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84</v>
      </c>
      <c r="B29" s="181">
        <f>'Données projet'!D42</f>
        <v>35.083333333333329</v>
      </c>
      <c r="C29" s="193">
        <v>60</v>
      </c>
      <c r="D29" s="182">
        <f t="shared" si="2"/>
        <v>2104.9999999999995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93</v>
      </c>
      <c r="B30" s="181">
        <f>'Données projet'!D43</f>
        <v>30.083333333333332</v>
      </c>
      <c r="C30" s="193">
        <v>80</v>
      </c>
      <c r="D30" s="182">
        <f t="shared" si="2"/>
        <v>2406.6666666666665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103</v>
      </c>
      <c r="B31" s="181">
        <f>'Données projet'!D44</f>
        <v>39.512820512820511</v>
      </c>
      <c r="C31" s="193">
        <v>80</v>
      </c>
      <c r="D31" s="182">
        <f t="shared" si="2"/>
        <v>3161.0256410256407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113</v>
      </c>
      <c r="B32" s="181">
        <f>'Données projet'!D45</f>
        <v>31.602564102564099</v>
      </c>
      <c r="C32" s="193">
        <v>80</v>
      </c>
      <c r="D32" s="182">
        <f t="shared" si="2"/>
        <v>2528.2051282051279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125</v>
      </c>
      <c r="B33" s="181">
        <f>'Données projet'!D46</f>
        <v>48.160256410256409</v>
      </c>
      <c r="C33" s="193">
        <v>80</v>
      </c>
      <c r="D33" s="182">
        <f t="shared" si="2"/>
        <v>3852.8205128205127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137</v>
      </c>
      <c r="B34" s="181">
        <f>'Données projet'!D47</f>
        <v>51.160256410256409</v>
      </c>
      <c r="C34" s="193">
        <v>80</v>
      </c>
      <c r="D34" s="182">
        <f t="shared" si="2"/>
        <v>4092.8205128205127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149</v>
      </c>
      <c r="B35" s="181">
        <f>'Données projet'!D48</f>
        <v>120.50641025641026</v>
      </c>
      <c r="C35" s="193">
        <v>80</v>
      </c>
      <c r="D35" s="182">
        <f t="shared" si="2"/>
        <v>9640.5128205128203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153</v>
      </c>
      <c r="B36" s="181">
        <f>'Données projet'!D49</f>
        <v>70.115384615384613</v>
      </c>
      <c r="C36" s="193">
        <v>80</v>
      </c>
      <c r="D36" s="182">
        <f t="shared" si="2"/>
        <v>5609.2307692307695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157</v>
      </c>
      <c r="B37" s="181">
        <f>'Données projet'!D50</f>
        <v>45.71153846153846</v>
      </c>
      <c r="C37" s="193">
        <v>80</v>
      </c>
      <c r="D37" s="182">
        <f t="shared" si="2"/>
        <v>3656.9230769230767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161</v>
      </c>
      <c r="B38" s="181">
        <f>'Données projet'!D51</f>
        <v>91.365384615384613</v>
      </c>
      <c r="C38" s="193">
        <v>80</v>
      </c>
      <c r="D38" s="182">
        <f t="shared" si="2"/>
        <v>7309.2307692307695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Chêne sessile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2804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30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60</v>
      </c>
      <c r="B55" s="181">
        <f>'Données projet'!D63</f>
        <v>60.096153846153847</v>
      </c>
      <c r="C55" s="191">
        <v>12</v>
      </c>
      <c r="D55" s="179">
        <f t="shared" ref="D55:D73" si="4">B55*C55</f>
        <v>721.15384615384619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69</v>
      </c>
      <c r="B56" s="181">
        <f>'Données projet'!D64</f>
        <v>32.807692307692307</v>
      </c>
      <c r="C56" s="191">
        <v>35</v>
      </c>
      <c r="D56" s="179">
        <f t="shared" si="4"/>
        <v>1148.2692307692307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77</v>
      </c>
      <c r="B57" s="181">
        <f>'Données projet'!D65</f>
        <v>25.53846153846154</v>
      </c>
      <c r="C57" s="191">
        <v>45</v>
      </c>
      <c r="D57" s="179">
        <f t="shared" si="4"/>
        <v>1149.2307692307693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86</v>
      </c>
      <c r="B58" s="181">
        <f>'Données projet'!D66</f>
        <v>27.583333333333332</v>
      </c>
      <c r="C58" s="191">
        <v>50</v>
      </c>
      <c r="D58" s="179">
        <f t="shared" si="4"/>
        <v>1379.1666666666665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95</v>
      </c>
      <c r="B59" s="181">
        <f>'Données projet'!D67</f>
        <v>30.634615384615383</v>
      </c>
      <c r="C59" s="191">
        <v>55</v>
      </c>
      <c r="D59" s="179">
        <f t="shared" si="4"/>
        <v>1684.9038461538462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104</v>
      </c>
      <c r="B60" s="181">
        <f>'Données projet'!D68</f>
        <v>28.275641025641026</v>
      </c>
      <c r="C60" s="191">
        <v>60</v>
      </c>
      <c r="D60" s="179">
        <f t="shared" si="4"/>
        <v>1696.5384615384614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113</v>
      </c>
      <c r="B61" s="181">
        <f>'Données projet'!D69</f>
        <v>29.602564102564102</v>
      </c>
      <c r="C61" s="191">
        <v>80</v>
      </c>
      <c r="D61" s="179">
        <f t="shared" si="4"/>
        <v>2368.2051282051279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122</v>
      </c>
      <c r="B62" s="181">
        <f>'Données projet'!D70</f>
        <v>32.333333333333329</v>
      </c>
      <c r="C62" s="191">
        <v>80</v>
      </c>
      <c r="D62" s="179">
        <f t="shared" si="4"/>
        <v>2586.6666666666661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132</v>
      </c>
      <c r="B63" s="181">
        <f>'Données projet'!D71</f>
        <v>34.128205128205131</v>
      </c>
      <c r="C63" s="191">
        <v>80</v>
      </c>
      <c r="D63" s="179">
        <f t="shared" si="4"/>
        <v>2730.2564102564106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144</v>
      </c>
      <c r="B64" s="181">
        <f>'Données projet'!D72</f>
        <v>42.397435897435898</v>
      </c>
      <c r="C64" s="191">
        <v>80</v>
      </c>
      <c r="D64" s="179">
        <f t="shared" si="4"/>
        <v>3391.7948717948721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156</v>
      </c>
      <c r="B65" s="181">
        <f>'Données projet'!D73</f>
        <v>45.429487179487182</v>
      </c>
      <c r="C65" s="191">
        <v>80</v>
      </c>
      <c r="D65" s="179">
        <f t="shared" si="4"/>
        <v>3634.3589743589746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168</v>
      </c>
      <c r="B66" s="181">
        <f>'Données projet'!D74</f>
        <v>49.102564102564095</v>
      </c>
      <c r="C66" s="191">
        <v>80</v>
      </c>
      <c r="D66" s="179">
        <f t="shared" si="4"/>
        <v>3928.2051282051275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180</v>
      </c>
      <c r="B67" s="181">
        <f>'Données projet'!D75</f>
        <v>120.15384615384615</v>
      </c>
      <c r="C67" s="191">
        <v>80</v>
      </c>
      <c r="D67" s="179">
        <f t="shared" si="4"/>
        <v>9612.3076923076915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184</v>
      </c>
      <c r="B68" s="181">
        <f>'Données projet'!D76</f>
        <v>69.160256410256409</v>
      </c>
      <c r="C68" s="191">
        <v>80</v>
      </c>
      <c r="D68" s="179">
        <f t="shared" si="4"/>
        <v>5532.8205128205127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188</v>
      </c>
      <c r="B69" s="181">
        <f>'Données projet'!D77</f>
        <v>49.307692307692307</v>
      </c>
      <c r="C69" s="191">
        <v>80</v>
      </c>
      <c r="D69" s="179">
        <f t="shared" si="4"/>
        <v>3944.6153846153848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191</v>
      </c>
      <c r="B70" s="181">
        <f>'Données projet'!D78</f>
        <v>98.961538461538453</v>
      </c>
      <c r="C70" s="191">
        <v>80</v>
      </c>
      <c r="D70" s="179">
        <f t="shared" si="4"/>
        <v>7916.9230769230762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Douglas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2109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19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21</v>
      </c>
      <c r="B86" s="181">
        <f>'Données projet'!D89</f>
        <v>61.169230769230765</v>
      </c>
      <c r="C86" s="191">
        <v>12</v>
      </c>
      <c r="D86" s="179">
        <f t="shared" ref="D86:D104" si="6">B86*C86</f>
        <v>734.03076923076924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28</v>
      </c>
      <c r="B87" s="181">
        <f>'Données projet'!D90</f>
        <v>56.91538461538461</v>
      </c>
      <c r="C87" s="191">
        <v>35</v>
      </c>
      <c r="D87" s="179">
        <f t="shared" si="6"/>
        <v>1992.0384615384614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35</v>
      </c>
      <c r="B88" s="181">
        <f>'Données projet'!D91</f>
        <v>70.5</v>
      </c>
      <c r="C88" s="191">
        <v>45</v>
      </c>
      <c r="D88" s="179">
        <f t="shared" si="6"/>
        <v>3172.5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42</v>
      </c>
      <c r="B89" s="181">
        <f>'Données projet'!D92</f>
        <v>80.669230769230765</v>
      </c>
      <c r="C89" s="191">
        <v>50</v>
      </c>
      <c r="D89" s="179">
        <f t="shared" si="6"/>
        <v>4033.4615384615381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49</v>
      </c>
      <c r="B90" s="181">
        <f>'Données projet'!D93</f>
        <v>90.453846153846158</v>
      </c>
      <c r="C90" s="191">
        <v>55</v>
      </c>
      <c r="D90" s="179">
        <f t="shared" si="6"/>
        <v>4974.961538461539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56</v>
      </c>
      <c r="B91" s="181">
        <f>'Données projet'!D94</f>
        <v>75.869230769230768</v>
      </c>
      <c r="C91" s="191">
        <v>60</v>
      </c>
      <c r="D91" s="179">
        <f t="shared" si="6"/>
        <v>4552.1538461538457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63</v>
      </c>
      <c r="B92" s="181">
        <f>'Données projet'!D95</f>
        <v>79.723076923076917</v>
      </c>
      <c r="C92" s="191">
        <v>80</v>
      </c>
      <c r="D92" s="179">
        <f t="shared" si="6"/>
        <v>6377.8461538461534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70</v>
      </c>
      <c r="B93" s="181">
        <f>'Données projet'!D96</f>
        <v>469.06923076923073</v>
      </c>
      <c r="C93" s="191">
        <v>80</v>
      </c>
      <c r="D93" s="179">
        <f t="shared" si="6"/>
        <v>37525.538461538461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str">
        <f>IF(O103+1&lt;=MIN('Données projet'!$E$9:$E$18),O103+1,"STOP")</f>
        <v>STOP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Douglas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30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2109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25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34</v>
      </c>
      <c r="B117" s="181">
        <f>'Données projet'!D115</f>
        <v>83.969230769230762</v>
      </c>
      <c r="C117" s="191">
        <v>12</v>
      </c>
      <c r="D117" s="179">
        <f t="shared" ref="D117:D135" si="8">B117*C117</f>
        <v>1007.6307692307691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43</v>
      </c>
      <c r="B118" s="181">
        <f>'Données projet'!D116</f>
        <v>60.638461538461534</v>
      </c>
      <c r="C118" s="191">
        <v>35</v>
      </c>
      <c r="D118" s="179">
        <f t="shared" si="8"/>
        <v>2122.3461538461538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52</v>
      </c>
      <c r="B119" s="181">
        <f>'Données projet'!D117</f>
        <v>50.353846153846149</v>
      </c>
      <c r="C119" s="191">
        <v>45</v>
      </c>
      <c r="D119" s="179">
        <f t="shared" si="8"/>
        <v>2265.9230769230767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62</v>
      </c>
      <c r="B120" s="181">
        <f>'Données projet'!D118</f>
        <v>53.707692307692298</v>
      </c>
      <c r="C120" s="191">
        <v>50</v>
      </c>
      <c r="D120" s="179">
        <f t="shared" si="8"/>
        <v>2685.3846153846148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72</v>
      </c>
      <c r="B121" s="181">
        <f>'Données projet'!D119</f>
        <v>51.930769230769236</v>
      </c>
      <c r="C121" s="191">
        <v>55</v>
      </c>
      <c r="D121" s="179">
        <f t="shared" si="8"/>
        <v>2856.1923076923081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84</v>
      </c>
      <c r="B122" s="181">
        <f>'Données projet'!D120</f>
        <v>56.592307692307685</v>
      </c>
      <c r="C122" s="191">
        <v>60</v>
      </c>
      <c r="D122" s="179">
        <f t="shared" si="8"/>
        <v>3395.538461538461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96</v>
      </c>
      <c r="B123" s="181">
        <f>'Données projet'!D121</f>
        <v>59.776923076923069</v>
      </c>
      <c r="C123" s="191">
        <v>80</v>
      </c>
      <c r="D123" s="179">
        <f t="shared" si="8"/>
        <v>4782.1538461538457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108</v>
      </c>
      <c r="B124" s="181">
        <f>'Données projet'!D122</f>
        <v>52.361538461538451</v>
      </c>
      <c r="C124" s="191">
        <v>80</v>
      </c>
      <c r="D124" s="179">
        <f t="shared" si="8"/>
        <v>4188.9230769230762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120</v>
      </c>
      <c r="B125" s="181">
        <f>'Données projet'!D123</f>
        <v>392.12307692307689</v>
      </c>
      <c r="C125" s="191">
        <v>80</v>
      </c>
      <c r="D125" s="179">
        <f t="shared" si="8"/>
        <v>31369.846153846152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Pin laricio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30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1842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20</v>
      </c>
      <c r="B147" s="175">
        <f>'Données projet'!D140</f>
        <v>20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30</v>
      </c>
      <c r="B148" s="175">
        <f>'Données projet'!D141</f>
        <v>60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40</v>
      </c>
      <c r="B149" s="175">
        <f>'Données projet'!D142</f>
        <v>79</v>
      </c>
      <c r="C149" s="191">
        <v>10</v>
      </c>
      <c r="D149" s="182">
        <f t="shared" si="10"/>
        <v>790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50</v>
      </c>
      <c r="B150" s="175">
        <f>'Données projet'!D143</f>
        <v>89</v>
      </c>
      <c r="C150" s="191">
        <v>15</v>
      </c>
      <c r="D150" s="182">
        <f t="shared" si="10"/>
        <v>1335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60</v>
      </c>
      <c r="B151" s="175">
        <f>'Données projet'!D144</f>
        <v>90</v>
      </c>
      <c r="C151" s="191">
        <v>30</v>
      </c>
      <c r="D151" s="182">
        <f t="shared" si="10"/>
        <v>2700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70</v>
      </c>
      <c r="B152" s="175">
        <f>'Données projet'!D145</f>
        <v>86</v>
      </c>
      <c r="C152" s="191">
        <v>35</v>
      </c>
      <c r="D152" s="182">
        <f t="shared" si="10"/>
        <v>3010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80</v>
      </c>
      <c r="B153" s="175">
        <f>'Données projet'!D146</f>
        <v>78</v>
      </c>
      <c r="C153" s="191">
        <v>50</v>
      </c>
      <c r="D153" s="182">
        <f t="shared" si="10"/>
        <v>3900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90</v>
      </c>
      <c r="B154" s="175">
        <f>'Données projet'!D147</f>
        <v>70</v>
      </c>
      <c r="C154" s="191">
        <v>60</v>
      </c>
      <c r="D154" s="182">
        <f t="shared" si="10"/>
        <v>4200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>Pin laricio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30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1842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20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30</v>
      </c>
      <c r="B179" s="181">
        <f>'Données projet'!D167</f>
        <v>64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40</v>
      </c>
      <c r="B180" s="181">
        <f>'Données projet'!D168</f>
        <v>63</v>
      </c>
      <c r="C180" s="193">
        <v>10</v>
      </c>
      <c r="D180" s="179">
        <f t="shared" si="11"/>
        <v>630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50</v>
      </c>
      <c r="B181" s="181">
        <f>'Données projet'!D169</f>
        <v>71</v>
      </c>
      <c r="C181" s="193">
        <v>15</v>
      </c>
      <c r="D181" s="179">
        <f t="shared" si="11"/>
        <v>1065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60</v>
      </c>
      <c r="B182" s="181">
        <f>'Données projet'!D170</f>
        <v>72</v>
      </c>
      <c r="C182" s="193">
        <v>30</v>
      </c>
      <c r="D182" s="179">
        <f t="shared" si="11"/>
        <v>2160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70</v>
      </c>
      <c r="B183" s="181">
        <f>'Données projet'!D171</f>
        <v>69</v>
      </c>
      <c r="C183" s="193">
        <v>35</v>
      </c>
      <c r="D183" s="179">
        <f t="shared" si="11"/>
        <v>2415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80</v>
      </c>
      <c r="B184" s="181">
        <f>'Données projet'!D172</f>
        <v>63</v>
      </c>
      <c r="C184" s="193">
        <v>50</v>
      </c>
      <c r="D184" s="179">
        <f t="shared" si="11"/>
        <v>3150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90</v>
      </c>
      <c r="B185" s="181">
        <f>'Données projet'!D173</f>
        <v>56</v>
      </c>
      <c r="C185" s="193">
        <v>60</v>
      </c>
      <c r="D185" s="179">
        <f t="shared" si="11"/>
        <v>3360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>Mélèze hybride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30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2563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10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20</v>
      </c>
      <c r="B210" s="181">
        <f>'Données projet'!D193</f>
        <v>57</v>
      </c>
      <c r="C210" s="193">
        <v>10</v>
      </c>
      <c r="D210" s="179">
        <f t="shared" ref="D210:D228" si="12">B210*C210</f>
        <v>570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30</v>
      </c>
      <c r="B211" s="181">
        <f>'Données projet'!D194</f>
        <v>70</v>
      </c>
      <c r="C211" s="193">
        <v>25</v>
      </c>
      <c r="D211" s="179">
        <f t="shared" si="12"/>
        <v>1750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40</v>
      </c>
      <c r="B212" s="181">
        <f>'Données projet'!D195</f>
        <v>68</v>
      </c>
      <c r="C212" s="193">
        <v>30</v>
      </c>
      <c r="D212" s="179">
        <f t="shared" si="12"/>
        <v>2040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50</v>
      </c>
      <c r="B213" s="181">
        <f>'Données projet'!D196</f>
        <v>55</v>
      </c>
      <c r="C213" s="193">
        <v>35</v>
      </c>
      <c r="D213" s="179">
        <f t="shared" si="12"/>
        <v>1925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60</v>
      </c>
      <c r="B214" s="181">
        <f>'Données projet'!D197</f>
        <v>46</v>
      </c>
      <c r="C214" s="193">
        <v>40</v>
      </c>
      <c r="D214" s="179">
        <f t="shared" si="12"/>
        <v>1840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70</v>
      </c>
      <c r="B215" s="181">
        <f>'Données projet'!D198</f>
        <v>42</v>
      </c>
      <c r="C215" s="193">
        <v>45</v>
      </c>
      <c r="D215" s="179">
        <f t="shared" si="12"/>
        <v>1890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80</v>
      </c>
      <c r="B216" s="181">
        <f>'Données projet'!D199</f>
        <v>373</v>
      </c>
      <c r="C216" s="193">
        <v>60</v>
      </c>
      <c r="D216" s="179">
        <f t="shared" si="12"/>
        <v>22380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>Mélèze hybride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30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>
        <v>2563</v>
      </c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10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20</v>
      </c>
      <c r="B241" s="181">
        <f>'Données projet'!D219</f>
        <v>33</v>
      </c>
      <c r="C241" s="193">
        <v>10</v>
      </c>
      <c r="D241" s="179">
        <f t="shared" ref="D241:D259" si="13">B241*C241</f>
        <v>330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30</v>
      </c>
      <c r="B242" s="181">
        <f>'Données projet'!D220</f>
        <v>56</v>
      </c>
      <c r="C242" s="193">
        <v>25</v>
      </c>
      <c r="D242" s="179">
        <f t="shared" si="13"/>
        <v>1400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40</v>
      </c>
      <c r="B243" s="181">
        <f>'Données projet'!D221</f>
        <v>56</v>
      </c>
      <c r="C243" s="193">
        <v>30</v>
      </c>
      <c r="D243" s="179">
        <f t="shared" si="13"/>
        <v>1680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50</v>
      </c>
      <c r="B244" s="181">
        <f>'Données projet'!D222</f>
        <v>45</v>
      </c>
      <c r="C244" s="193">
        <v>35</v>
      </c>
      <c r="D244" s="179">
        <f t="shared" si="13"/>
        <v>1575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60</v>
      </c>
      <c r="B245" s="181">
        <f>'Données projet'!D223</f>
        <v>36</v>
      </c>
      <c r="C245" s="193">
        <v>40</v>
      </c>
      <c r="D245" s="179">
        <f t="shared" si="13"/>
        <v>1440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70</v>
      </c>
      <c r="B246" s="181">
        <f>'Données projet'!D224</f>
        <v>32</v>
      </c>
      <c r="C246" s="193">
        <v>45</v>
      </c>
      <c r="D246" s="179">
        <f t="shared" si="13"/>
        <v>1440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80</v>
      </c>
      <c r="B247" s="181">
        <f>'Données projet'!D225</f>
        <v>312</v>
      </c>
      <c r="C247" s="193">
        <v>60</v>
      </c>
      <c r="D247" s="179">
        <f t="shared" si="13"/>
        <v>18720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30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30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Constance MORISE</cp:lastModifiedBy>
  <dcterms:created xsi:type="dcterms:W3CDTF">2021-02-01T08:22:39Z</dcterms:created>
  <dcterms:modified xsi:type="dcterms:W3CDTF">2024-12-20T10:31:14Z</dcterms:modified>
</cp:coreProperties>
</file>