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Naudet\Boisement Naudet_Willeman (62)\Dossier d_instruction\"/>
    </mc:Choice>
  </mc:AlternateContent>
  <xr:revisionPtr revIDLastSave="0" documentId="13_ncr:1_{44333A42-11F0-476E-95E4-DDCFE6C00294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HJ154" i="2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EB162" i="2"/>
  <c r="EC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R164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FQ193" i="2"/>
  <c r="HI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ED194" i="2"/>
  <c r="HG195" i="2"/>
  <c r="FQ195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DI200" i="2" s="1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ED200" i="2"/>
  <c r="HG201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ED201" i="2"/>
  <c r="EW202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EY202" i="2" l="1"/>
  <c r="GT181" i="2" a="1"/>
  <c r="GT181" i="2" s="1"/>
  <c r="HH203" i="2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T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GE47" i="2" l="1"/>
  <c r="GE3" i="2"/>
  <c r="C14" i="4" s="1"/>
  <c r="E14" i="4" s="1"/>
  <c r="F14" i="4" s="1"/>
  <c r="G14" i="4" s="1"/>
  <c r="L14" i="4" s="1"/>
  <c r="GE145" i="2"/>
  <c r="GE183" i="2"/>
  <c r="GE167" i="2"/>
  <c r="GE22" i="2"/>
  <c r="GE15" i="2"/>
  <c r="GE126" i="2"/>
  <c r="GE7" i="2"/>
  <c r="GE8" i="2"/>
  <c r="GE23" i="2"/>
  <c r="GE24" i="2"/>
  <c r="GE107" i="2"/>
  <c r="GE137" i="2"/>
  <c r="GE54" i="2"/>
  <c r="GE42" i="2"/>
  <c r="GE128" i="2"/>
  <c r="GE29" i="2"/>
  <c r="GE159" i="2"/>
  <c r="GE150" i="2"/>
  <c r="GE133" i="2"/>
  <c r="GE124" i="2"/>
  <c r="GE125" i="2"/>
  <c r="GE131" i="2"/>
  <c r="GE94" i="2"/>
  <c r="GE153" i="2"/>
  <c r="GE39" i="2"/>
  <c r="GE110" i="2"/>
  <c r="GE194" i="2"/>
  <c r="GE108" i="2"/>
  <c r="GE98" i="2"/>
  <c r="GE148" i="2"/>
  <c r="GE117" i="2"/>
  <c r="GE75" i="2"/>
  <c r="GE130" i="2"/>
  <c r="GE202" i="2"/>
  <c r="GE140" i="2"/>
  <c r="GE4" i="2"/>
  <c r="GE142" i="2"/>
  <c r="GE190" i="2"/>
  <c r="GE33" i="2"/>
  <c r="GE173" i="2"/>
  <c r="GE106" i="2"/>
  <c r="GE12" i="2"/>
  <c r="GE176" i="2"/>
  <c r="GE31" i="2"/>
  <c r="GE34" i="2"/>
  <c r="GE19" i="2"/>
  <c r="GE45" i="2"/>
  <c r="GE55" i="2"/>
  <c r="GE134" i="2"/>
  <c r="GE149" i="2"/>
  <c r="GE30" i="2"/>
  <c r="GE144" i="2"/>
  <c r="GE162" i="2"/>
  <c r="GE58" i="2"/>
  <c r="GE38" i="2"/>
  <c r="GE14" i="2"/>
  <c r="GE139" i="2"/>
  <c r="GE151" i="2"/>
  <c r="GE80" i="2"/>
  <c r="GE156" i="2"/>
  <c r="GE174" i="2"/>
  <c r="GE5" i="2"/>
  <c r="GE175" i="2"/>
  <c r="GE79" i="2"/>
  <c r="GE41" i="2"/>
  <c r="GE73" i="2"/>
  <c r="GE10" i="2"/>
  <c r="GE196" i="2"/>
  <c r="GE88" i="2"/>
  <c r="GE26" i="2"/>
  <c r="GE91" i="2"/>
  <c r="GE95" i="2"/>
  <c r="GE11" i="2"/>
  <c r="GE171" i="2"/>
  <c r="GE9" i="2"/>
  <c r="GE17" i="2"/>
  <c r="GE168" i="2"/>
  <c r="GE120" i="2"/>
  <c r="GE181" i="2"/>
  <c r="GE203" i="2"/>
  <c r="GE56" i="2"/>
  <c r="GE178" i="2"/>
  <c r="GE119" i="2"/>
  <c r="GE48" i="2"/>
  <c r="GE127" i="2"/>
  <c r="GE28" i="2"/>
  <c r="GE138" i="2"/>
  <c r="GE57" i="2"/>
  <c r="GE27" i="2"/>
  <c r="GE69" i="2"/>
  <c r="GE84" i="2"/>
  <c r="GE116" i="2"/>
  <c r="GE97" i="2"/>
  <c r="GE122" i="2"/>
  <c r="GE51" i="2"/>
  <c r="GE71" i="2"/>
  <c r="GE20" i="2"/>
  <c r="GE113" i="2"/>
  <c r="GE40" i="2"/>
  <c r="GE169" i="2"/>
  <c r="GE50" i="2"/>
  <c r="GE114" i="2"/>
  <c r="GE104" i="2"/>
  <c r="GE115" i="2"/>
  <c r="GE195" i="2"/>
  <c r="GE81" i="2"/>
  <c r="GE191" i="2"/>
  <c r="GE172" i="2"/>
  <c r="GE141" i="2"/>
  <c r="GE93" i="2"/>
  <c r="GE154" i="2"/>
  <c r="GE165" i="2"/>
  <c r="GE37" i="2"/>
  <c r="GE68" i="2"/>
  <c r="GE184" i="2"/>
  <c r="GE160" i="2"/>
  <c r="GE198" i="2"/>
  <c r="GE129" i="2"/>
  <c r="GE6" i="2"/>
  <c r="GE70" i="2"/>
  <c r="GE25" i="2"/>
  <c r="GE109" i="2"/>
  <c r="GE77" i="2"/>
  <c r="GE102" i="2"/>
  <c r="GE123" i="2"/>
  <c r="GE67" i="2"/>
  <c r="GE179" i="2"/>
  <c r="GE192" i="2"/>
  <c r="GE136" i="2"/>
  <c r="GE83" i="2"/>
  <c r="GE65" i="2"/>
  <c r="GE143" i="2"/>
  <c r="GE46" i="2"/>
  <c r="GE188" i="2"/>
  <c r="GE61" i="2"/>
  <c r="GE63" i="2"/>
  <c r="GE53" i="2"/>
  <c r="GE185" i="2"/>
  <c r="GE36" i="2"/>
  <c r="GE74" i="2"/>
  <c r="GE99" i="2"/>
  <c r="GE21" i="2"/>
  <c r="GE78" i="2"/>
  <c r="GE158" i="2"/>
  <c r="GE89" i="2"/>
  <c r="GE182" i="2"/>
  <c r="GE60" i="2"/>
  <c r="GE105" i="2"/>
  <c r="GE62" i="2"/>
  <c r="GE186" i="2"/>
  <c r="GE92" i="2"/>
  <c r="GE135" i="2"/>
  <c r="GE161" i="2"/>
  <c r="GE64" i="2"/>
  <c r="GE187" i="2"/>
  <c r="GE121" i="2"/>
  <c r="GE152" i="2"/>
  <c r="GE197" i="2"/>
  <c r="GE82" i="2"/>
  <c r="GE35" i="2"/>
  <c r="GE66" i="2"/>
  <c r="GE177" i="2"/>
  <c r="GE132" i="2"/>
  <c r="GE18" i="2"/>
  <c r="GE52" i="2"/>
  <c r="GE32" i="2"/>
  <c r="GE164" i="2"/>
  <c r="GE16" i="2"/>
  <c r="GE76" i="2"/>
  <c r="GE44" i="2"/>
  <c r="GE100" i="2"/>
  <c r="GE90" i="2"/>
  <c r="GE201" i="2"/>
  <c r="GE49" i="2"/>
  <c r="GE87" i="2"/>
  <c r="GE101" i="2"/>
  <c r="GE96" i="2"/>
  <c r="GE118" i="2"/>
  <c r="GE163" i="2"/>
  <c r="GE43" i="2"/>
  <c r="GE193" i="2"/>
  <c r="GE157" i="2"/>
  <c r="GE146" i="2"/>
  <c r="GE86" i="2"/>
  <c r="GE59" i="2"/>
  <c r="GE85" i="2"/>
  <c r="GE199" i="2"/>
  <c r="GE200" i="2"/>
  <c r="GE112" i="2"/>
  <c r="GE166" i="2"/>
  <c r="GE189" i="2"/>
  <c r="GE103" i="2"/>
  <c r="GE72" i="2"/>
  <c r="GE180" i="2"/>
  <c r="GE13" i="2"/>
  <c r="GE155" i="2"/>
  <c r="GE147" i="2"/>
  <c r="GE170" i="2"/>
  <c r="GE111" i="2"/>
  <c r="GZ176" i="2"/>
  <c r="GZ45" i="2"/>
  <c r="GZ119" i="2"/>
  <c r="GZ200" i="2"/>
  <c r="GZ166" i="2"/>
  <c r="GZ178" i="2"/>
  <c r="GZ9" i="2"/>
  <c r="GZ193" i="2"/>
  <c r="GZ143" i="2"/>
  <c r="GZ26" i="2"/>
  <c r="GZ160" i="2"/>
  <c r="GZ114" i="2"/>
  <c r="GZ25" i="2"/>
  <c r="GZ194" i="2"/>
  <c r="GZ139" i="2"/>
  <c r="GZ120" i="2"/>
  <c r="GZ163" i="2"/>
  <c r="GZ104" i="2"/>
  <c r="GZ13" i="2"/>
  <c r="GZ55" i="2"/>
  <c r="GZ112" i="2"/>
  <c r="GZ68" i="2"/>
  <c r="GZ133" i="2"/>
  <c r="GZ41" i="2"/>
  <c r="GZ148" i="2"/>
  <c r="GZ76" i="2"/>
  <c r="GZ103" i="2"/>
  <c r="GZ142" i="2"/>
  <c r="GZ20" i="2"/>
  <c r="GZ67" i="2"/>
  <c r="GZ102" i="2"/>
  <c r="GZ91" i="2"/>
  <c r="GZ8" i="2"/>
  <c r="GZ66" i="2"/>
  <c r="GZ115" i="2"/>
  <c r="GZ138" i="2"/>
  <c r="GZ174" i="2"/>
  <c r="GZ177" i="2"/>
  <c r="GZ147" i="2"/>
  <c r="GZ161" i="2"/>
  <c r="GZ141" i="2"/>
  <c r="GZ116" i="2"/>
  <c r="GZ69" i="2"/>
  <c r="GZ146" i="2"/>
  <c r="GZ183" i="2"/>
  <c r="GZ78" i="2"/>
  <c r="GZ136" i="2"/>
  <c r="GZ155" i="2"/>
  <c r="GZ113" i="2"/>
  <c r="GZ88" i="2"/>
  <c r="GZ54" i="2"/>
  <c r="GZ107" i="2"/>
  <c r="GZ90" i="2"/>
  <c r="GZ202" i="2"/>
  <c r="GZ180" i="2"/>
  <c r="GZ51" i="2"/>
  <c r="GZ157" i="2"/>
  <c r="GZ159" i="2"/>
  <c r="GZ169" i="2"/>
  <c r="GZ185" i="2"/>
  <c r="GZ175" i="2"/>
  <c r="GZ23" i="2"/>
  <c r="GZ203" i="2"/>
  <c r="GZ106" i="2"/>
  <c r="GZ79" i="2"/>
  <c r="GZ198" i="2"/>
  <c r="GZ184" i="2"/>
  <c r="GZ48" i="2"/>
  <c r="GZ171" i="2"/>
  <c r="GZ85" i="2"/>
  <c r="GZ152" i="2"/>
  <c r="GZ80" i="2"/>
  <c r="GZ137" i="2"/>
  <c r="GZ42" i="2"/>
  <c r="GZ131" i="2"/>
  <c r="GZ199" i="2"/>
  <c r="GZ109" i="2"/>
  <c r="GZ11" i="2"/>
  <c r="GZ117" i="2"/>
  <c r="GZ43" i="2"/>
  <c r="GZ60" i="2"/>
  <c r="GZ16" i="2"/>
  <c r="GZ128" i="2"/>
  <c r="GZ105" i="2"/>
  <c r="GZ53" i="2"/>
  <c r="GZ126" i="2"/>
  <c r="GZ86" i="2"/>
  <c r="GZ77" i="2"/>
  <c r="GZ71" i="2"/>
  <c r="GZ22" i="2"/>
  <c r="GZ140" i="2"/>
  <c r="GZ165" i="2"/>
  <c r="GZ30" i="2"/>
  <c r="GZ46" i="2"/>
  <c r="GZ5" i="2"/>
  <c r="GZ27" i="2"/>
  <c r="GZ58" i="2"/>
  <c r="GZ15" i="2"/>
  <c r="GZ172" i="2"/>
  <c r="GZ61" i="2"/>
  <c r="GZ31" i="2"/>
  <c r="GZ111" i="2"/>
  <c r="GZ34" i="2"/>
  <c r="GZ170" i="2"/>
  <c r="GZ83" i="2"/>
  <c r="GZ56" i="2"/>
  <c r="GZ82" i="2"/>
  <c r="GZ92" i="2"/>
  <c r="GZ49" i="2"/>
  <c r="GZ47" i="2"/>
  <c r="GZ35" i="2"/>
  <c r="GZ145" i="2"/>
  <c r="GZ98" i="2"/>
  <c r="GZ17" i="2"/>
  <c r="GZ28" i="2"/>
  <c r="GZ186" i="2"/>
  <c r="GZ164" i="2"/>
  <c r="GZ39" i="2"/>
  <c r="GZ63" i="2"/>
  <c r="GZ201" i="2"/>
  <c r="GZ7" i="2"/>
  <c r="GZ95" i="2"/>
  <c r="GZ96" i="2"/>
  <c r="GZ167" i="2"/>
  <c r="GZ74" i="2"/>
  <c r="GZ132" i="2"/>
  <c r="GZ158" i="2"/>
  <c r="GZ173" i="2"/>
  <c r="GZ10" i="2"/>
  <c r="GZ151" i="2"/>
  <c r="GZ93" i="2"/>
  <c r="GZ99" i="2"/>
  <c r="GZ197" i="2"/>
  <c r="GZ57" i="2"/>
  <c r="GZ108" i="2"/>
  <c r="GZ191" i="2"/>
  <c r="GZ121" i="2"/>
  <c r="GZ84" i="2"/>
  <c r="GZ125" i="2"/>
  <c r="GZ65" i="2"/>
  <c r="GZ38" i="2"/>
  <c r="GZ188" i="2"/>
  <c r="GZ29" i="2"/>
  <c r="GZ192" i="2"/>
  <c r="GZ19" i="2"/>
  <c r="GZ124" i="2"/>
  <c r="GZ196" i="2"/>
  <c r="GZ144" i="2"/>
  <c r="GZ44" i="2"/>
  <c r="GZ182" i="2"/>
  <c r="GZ73" i="2"/>
  <c r="GZ33" i="2"/>
  <c r="GZ62" i="2"/>
  <c r="GZ110" i="2"/>
  <c r="GZ70" i="2"/>
  <c r="GZ89" i="2"/>
  <c r="GZ40" i="2"/>
  <c r="GZ14" i="2"/>
  <c r="GZ37" i="2"/>
  <c r="GZ12" i="2"/>
  <c r="GZ64" i="2"/>
  <c r="GZ18" i="2"/>
  <c r="GZ168" i="2"/>
  <c r="GZ134" i="2"/>
  <c r="GZ129" i="2"/>
  <c r="GZ21" i="2"/>
  <c r="GZ94" i="2"/>
  <c r="GZ101" i="2"/>
  <c r="GZ97" i="2"/>
  <c r="GZ189" i="2"/>
  <c r="GZ162" i="2"/>
  <c r="GZ150" i="2"/>
  <c r="GZ149" i="2"/>
  <c r="GZ52" i="2"/>
  <c r="GZ6" i="2"/>
  <c r="GZ100" i="2"/>
  <c r="GZ156" i="2"/>
  <c r="GZ75" i="2"/>
  <c r="GZ122" i="2"/>
  <c r="GZ36" i="2"/>
  <c r="GZ59" i="2"/>
  <c r="GZ179" i="2"/>
  <c r="GZ123" i="2"/>
  <c r="GZ50" i="2"/>
  <c r="GZ118" i="2"/>
  <c r="GZ81" i="2"/>
  <c r="GZ24" i="2"/>
  <c r="GZ87" i="2"/>
  <c r="GZ130" i="2"/>
  <c r="GZ187" i="2"/>
  <c r="GZ135" i="2"/>
  <c r="GZ153" i="2"/>
  <c r="GZ127" i="2"/>
  <c r="GZ195" i="2"/>
  <c r="GZ154" i="2"/>
  <c r="GZ4" i="2"/>
  <c r="GZ72" i="2"/>
  <c r="GZ32" i="2"/>
  <c r="GZ190" i="2"/>
  <c r="GZ181" i="2"/>
  <c r="GZ3" i="2"/>
  <c r="C15" i="4" s="1"/>
  <c r="E15" i="4" s="1"/>
  <c r="F15" i="4" s="1"/>
  <c r="G15" i="4" s="1"/>
  <c r="L15" i="4" s="1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J138" i="2" l="1"/>
  <c r="FJ151" i="2"/>
  <c r="FJ156" i="2"/>
  <c r="FJ141" i="2"/>
  <c r="FJ20" i="2"/>
  <c r="FJ85" i="2"/>
  <c r="FJ5" i="2"/>
  <c r="FJ73" i="2"/>
  <c r="FJ127" i="2"/>
  <c r="FJ29" i="2"/>
  <c r="FJ57" i="2"/>
  <c r="FJ168" i="2"/>
  <c r="FJ113" i="2"/>
  <c r="FJ21" i="2"/>
  <c r="FJ35" i="2"/>
  <c r="FJ99" i="2"/>
  <c r="FJ82" i="2"/>
  <c r="FJ65" i="2"/>
  <c r="FJ10" i="2"/>
  <c r="FJ144" i="2"/>
  <c r="FJ67" i="2"/>
  <c r="FJ178" i="2"/>
  <c r="FJ197" i="2"/>
  <c r="FJ107" i="2"/>
  <c r="FJ8" i="2"/>
  <c r="FJ163" i="2"/>
  <c r="FJ118" i="2"/>
  <c r="FJ123" i="2"/>
  <c r="FJ145" i="2"/>
  <c r="FJ191" i="2"/>
  <c r="FJ14" i="2"/>
  <c r="FJ184" i="2"/>
  <c r="FJ167" i="2"/>
  <c r="FJ169" i="2"/>
  <c r="FJ182" i="2"/>
  <c r="FJ66" i="2"/>
  <c r="FJ53" i="2"/>
  <c r="FJ41" i="2"/>
  <c r="FJ19" i="2"/>
  <c r="FJ98" i="2"/>
  <c r="FJ189" i="2"/>
  <c r="FJ161" i="2"/>
  <c r="FJ199" i="2"/>
  <c r="FJ128" i="2"/>
  <c r="FJ171" i="2"/>
  <c r="FJ131" i="2"/>
  <c r="FJ164" i="2"/>
  <c r="FJ194" i="2"/>
  <c r="FJ91" i="2"/>
  <c r="FJ175" i="2"/>
  <c r="FJ11" i="2"/>
  <c r="FJ109" i="2"/>
  <c r="FJ92" i="2"/>
  <c r="FJ75" i="2"/>
  <c r="FJ100" i="2"/>
  <c r="FJ157" i="2"/>
  <c r="FJ126" i="2"/>
  <c r="FJ158" i="2"/>
  <c r="FJ13" i="2"/>
  <c r="FJ121" i="2"/>
  <c r="FJ177" i="2"/>
  <c r="FJ33" i="2"/>
  <c r="FJ42" i="2"/>
  <c r="FJ25" i="2"/>
  <c r="FJ80" i="2"/>
  <c r="FJ201" i="2"/>
  <c r="FJ149" i="2"/>
  <c r="FJ142" i="2"/>
  <c r="FJ133" i="2"/>
  <c r="FJ95" i="2"/>
  <c r="FJ52" i="2"/>
  <c r="FJ186" i="2"/>
  <c r="FJ165" i="2"/>
  <c r="FJ71" i="2"/>
  <c r="FJ200" i="2"/>
  <c r="FJ154" i="2"/>
  <c r="FJ203" i="2"/>
  <c r="FJ39" i="2"/>
  <c r="FJ146" i="2"/>
  <c r="FJ119" i="2"/>
  <c r="FJ88" i="2"/>
  <c r="FJ153" i="2"/>
  <c r="FJ129" i="2"/>
  <c r="FJ44" i="2"/>
  <c r="FJ148" i="2"/>
  <c r="FJ28" i="2"/>
  <c r="FJ152" i="2"/>
  <c r="FJ83" i="2"/>
  <c r="FJ137" i="2"/>
  <c r="FJ74" i="2"/>
  <c r="FJ101" i="2"/>
  <c r="FJ117" i="2"/>
  <c r="FJ122" i="2"/>
  <c r="FJ51" i="2"/>
  <c r="FJ130" i="2"/>
  <c r="FJ60" i="2"/>
  <c r="FJ87" i="2"/>
  <c r="FJ93" i="2"/>
  <c r="FJ110" i="2"/>
  <c r="FJ125" i="2"/>
  <c r="FJ31" i="2"/>
  <c r="FJ124" i="2"/>
  <c r="FJ104" i="2"/>
  <c r="FJ4" i="2"/>
  <c r="FJ55" i="2"/>
  <c r="FJ78" i="2"/>
  <c r="FJ198" i="2"/>
  <c r="FJ46" i="2"/>
  <c r="FJ36" i="2"/>
  <c r="FJ24" i="2"/>
  <c r="FJ174" i="2"/>
  <c r="FJ81" i="2"/>
  <c r="FJ86" i="2"/>
  <c r="FJ155" i="2"/>
  <c r="FJ58" i="2"/>
  <c r="FJ166" i="2"/>
  <c r="FJ96" i="2"/>
  <c r="FJ192" i="2"/>
  <c r="FJ195" i="2"/>
  <c r="FJ61" i="2"/>
  <c r="FJ143" i="2"/>
  <c r="FJ135" i="2"/>
  <c r="FJ15" i="2"/>
  <c r="FJ70" i="2"/>
  <c r="FJ183" i="2"/>
  <c r="FJ97" i="2"/>
  <c r="FJ170" i="2"/>
  <c r="FJ108" i="2"/>
  <c r="FJ68" i="2"/>
  <c r="FJ89" i="2"/>
  <c r="FJ116" i="2"/>
  <c r="FJ188" i="2"/>
  <c r="FJ173" i="2"/>
  <c r="FJ187" i="2"/>
  <c r="FJ136" i="2"/>
  <c r="FJ45" i="2"/>
  <c r="FJ115" i="2"/>
  <c r="FJ160" i="2"/>
  <c r="FJ16" i="2"/>
  <c r="FJ34" i="2"/>
  <c r="FJ181" i="2"/>
  <c r="FJ37" i="2"/>
  <c r="FJ196" i="2"/>
  <c r="FJ38" i="2"/>
  <c r="FJ22" i="2"/>
  <c r="FJ18" i="2"/>
  <c r="FJ77" i="2"/>
  <c r="FJ64" i="2"/>
  <c r="FJ49" i="2"/>
  <c r="FJ190" i="2"/>
  <c r="FJ54" i="2"/>
  <c r="FJ112" i="2"/>
  <c r="FJ185" i="2"/>
  <c r="FJ172" i="2"/>
  <c r="FJ69" i="2"/>
  <c r="FJ23" i="2"/>
  <c r="FJ72" i="2"/>
  <c r="FJ105" i="2"/>
  <c r="FJ6" i="2"/>
  <c r="FJ48" i="2"/>
  <c r="FJ17" i="2"/>
  <c r="FJ9" i="2"/>
  <c r="FJ193" i="2"/>
  <c r="FJ43" i="2"/>
  <c r="FJ134" i="2"/>
  <c r="FJ139" i="2"/>
  <c r="FJ147" i="2"/>
  <c r="FJ32" i="2"/>
  <c r="FJ111" i="2"/>
  <c r="FJ62" i="2"/>
  <c r="FJ90" i="2"/>
  <c r="FJ132" i="2"/>
  <c r="FJ12" i="2"/>
  <c r="FJ50" i="2"/>
  <c r="FJ84" i="2"/>
  <c r="FJ180" i="2"/>
  <c r="FJ30" i="2"/>
  <c r="FJ40" i="2"/>
  <c r="FJ106" i="2"/>
  <c r="FJ63" i="2"/>
  <c r="FJ56" i="2"/>
  <c r="FJ176" i="2"/>
  <c r="FJ120" i="2"/>
  <c r="FJ27" i="2"/>
  <c r="FJ103" i="2"/>
  <c r="FJ150" i="2"/>
  <c r="FJ114" i="2"/>
  <c r="FJ26" i="2"/>
  <c r="FJ94" i="2"/>
  <c r="FJ47" i="2"/>
  <c r="FJ140" i="2"/>
  <c r="FJ7" i="2"/>
  <c r="FJ159" i="2"/>
  <c r="FJ179" i="2"/>
  <c r="FJ59" i="2"/>
  <c r="FJ76" i="2"/>
  <c r="FJ162" i="2"/>
  <c r="FJ3" i="2"/>
  <c r="C13" i="4" s="1"/>
  <c r="E13" i="4" s="1"/>
  <c r="F13" i="4" s="1"/>
  <c r="G13" i="4" s="1"/>
  <c r="L13" i="4" s="1"/>
  <c r="FJ202" i="2"/>
  <c r="FJ102" i="2"/>
  <c r="FJ79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<sst xmlns="http://schemas.openxmlformats.org/spreadsheetml/2006/main" count="1191" uniqueCount="329">
  <si>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</si>
  <si>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</si>
  <si>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</si>
  <si>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</si>
  <si>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</si>
  <si>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</si>
  <si>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</si>
  <si>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</si>
  <si>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</si>
  <si>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</si>
  <si>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</si>
  <si>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</si>
  <si>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</si>
  <si>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</si>
  <si>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</si>
  <si>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</si>
  <si>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</si>
  <si>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</si>
  <si>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</si>
  <si>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</si>
  <si>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</si>
  <si>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</si>
  <si>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</si>
  <si>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</si>
  <si>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</si>
  <si>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</si>
  <si>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</si>
  <si>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</si>
  <si>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</si>
  <si>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</si>
  <si>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</si>
  <si>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</si>
  <si>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</si>
  <si>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</si>
  <si>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</si>
  <si>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</si>
  <si>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</si>
  <si>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</si>
  <si>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</si>
  <si>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</si>
  <si>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</si>
  <si>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</si>
  <si>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</si>
  <si>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</si>
  <si>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</si>
  <si>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</si>
  <si>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</si>
  <si>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</si>
  <si>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</si>
  <si>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</si>
  <si>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</si>
  <si>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</si>
  <si>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</si>
  <si>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</si>
  <si>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</si>
  <si>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</si>
  <si>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</si>
  <si>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</si>
  <si>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</si>
  <si>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</si>
  <si>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</si>
  <si>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</si>
  <si>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</si>
  <si>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</si>
  <si>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</si>
  <si>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</si>
  <si>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</si>
  <si>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</si>
  <si>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</si>
  <si>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</si>
  <si>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</si>
  <si>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</si>
  <si>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</si>
  <si>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</si>
  <si>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</si>
  <si>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</si>
  <si>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</si>
  <si>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</si>
  <si>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</si>
  <si>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</si>
  <si>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</si>
  <si>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</si>
  <si>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</si>
  <si>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</si>
  <si>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</si>
  <si>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</si>
  <si>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</si>
  <si>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</si>
  <si>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</si>
  <si>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</si>
  <si>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</si>
  <si>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</si>
  <si>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</si>
  <si>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</si>
  <si>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</si>
  <si>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</si>
  <si>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</si>
  <si>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</si>
  <si>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</si>
  <si>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</si>
  <si>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</si>
  <si>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</si>
  <si>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</si>
  <si>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</si>
  <si>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</si>
  <si>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</si>
  <si>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</si>
  <si>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</si>
  <si>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</si>
  <si>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</si>
  <si>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</si>
  <si>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</si>
  <si>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</si>
  <si>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</si>
  <si>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</si>
  <si>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</si>
  <si>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</si>
  <si>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</si>
  <si>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</si>
  <si>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</si>
  <si>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</si>
  <si>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</si>
  <si>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</si>
  <si>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</si>
  <si>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</si>
  <si>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</si>
  <si>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</si>
  <si>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</si>
  <si>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</si>
  <si>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</si>
  <si>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</si>
  <si>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</si>
  <si>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</si>
  <si>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</si>
  <si>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</si>
  <si>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</si>
  <si>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</si>
  <si>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</si>
  <si>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</si>
  <si>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</si>
  <si>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</si>
  <si>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</si>
  <si>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</si>
  <si>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</si>
  <si>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</si>
  <si>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</si>
  <si>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</si>
  <si>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</si>
  <si>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</si>
  <si>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</si>
  <si>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</si>
  <si>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</si>
  <si>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</si>
  <si>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</si>
  <si>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</si>
  <si>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</si>
  <si>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</si>
  <si>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</si>
  <si>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</si>
  <si>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</si>
  <si>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</si>
  <si>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</si>
  <si>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</si>
  <si>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</si>
  <si>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</si>
  <si>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</si>
  <si>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</si>
  <si>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</si>
  <si>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</si>
  <si>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</si>
  <si>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</si>
  <si>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</si>
  <si>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</si>
  <si>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</si>
  <si>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</si>
  <si>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</si>
  <si>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</si>
  <si>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</si>
  <si>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</si>
  <si>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</si>
  <si>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</si>
  <si>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</si>
  <si>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</si>
  <si>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</si>
  <si>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</si>
  <si>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</si>
  <si>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</si>
  <si>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</si>
  <si>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</si>
  <si>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</si>
  <si>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</si>
  <si>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</si>
  <si>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</si>
  <si>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</si>
  <si>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</si>
  <si>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</si>
  <si>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</si>
  <si>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</si>
  <si>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</si>
  <si>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</si>
  <si>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</si>
  <si>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</si>
  <si>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</si>
  <si>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</si>
  <si>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</si>
  <si>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</si>
  <si>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</si>
  <si>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</si>
  <si>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</si>
  <si>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</si>
  <si>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</si>
  <si>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</si>
  <si>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</si>
  <si>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</si>
  <si>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</si>
  <si>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</si>
  <si>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</si>
  <si>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</si>
  <si>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</si>
  <si>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</si>
  <si>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</si>
  <si>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</si>
  <si>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</si>
  <si>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</si>
  <si>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</si>
  <si>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</si>
  <si>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</si>
  <si>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</si>
  <si>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</si>
  <si>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</si>
  <si>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</si>
  <si>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</si>
  <si>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</si>
  <si>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</si>
  <si>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</si>
  <si>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</si>
  <si>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</si>
  <si>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</si>
  <si>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</si>
  <si>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</si>
  <si>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</si>
  <si>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</si>
  <si>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</si>
  <si>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</si>
  <si>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</si>
  <si>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</si>
  <si>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</si>
  <si>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</si>
  <si>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</si>
  <si>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</si>
  <si>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</si>
  <si>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</si>
  <si>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</si>
  <si>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</si>
  <si>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</si>
  <si>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</si>
  <si>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</si>
  <si>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</si>
  <si>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</si>
  <si>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</si>
  <si>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</si>
  <si>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</si>
  <si>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</si>
  <si>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</si>
  <si>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</si>
  <si>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</si>
  <si>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</si>
  <si>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</si>
  <si>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</si>
  <si>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</si>
  <si>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</si>
  <si>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</si>
  <si>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</si>
  <si>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</si>
  <si>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</si>
  <si>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</si>
  <si>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</si>
  <si>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</si>
  <si>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</si>
  <si>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</si>
  <si>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</si>
  <si>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</si>
  <si>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</si>
  <si>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</si>
  <si>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</si>
  <si>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</si>
  <si>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</si>
  <si>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</si>
  <si>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</si>
  <si>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</si>
  <si>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</si>
  <si>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</si>
  <si>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</si>
  <si>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</si>
  <si>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</si>
  <si>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</si>
  <si>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</si>
  <si>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</si>
  <si>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</si>
  <si>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</si>
  <si>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</si>
  <si>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</si>
  <si>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</si>
  <si>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</si>
  <si>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</si>
  <si>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</si>
  <si>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</si>
  <si>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</si>
  <si>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</si>
  <si>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</si>
  <si>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</si>
  <si>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</si>
  <si>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</si>
  <si>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</si>
  <si>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</si>
  <si>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</si>
  <si>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</si>
  <si>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</si>
  <si>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</si>
  <si>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</si>
  <si>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</si>
  <si>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</si>
  <si>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</si>
  <si>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</si>
  <si>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</si>
  <si>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2/5</t>
  </si>
  <si>
    <t>Classe 3/5</t>
  </si>
  <si>
    <t>regroupement merisier et noyer</t>
  </si>
  <si>
    <t>regroupement tilleul, alisier et charme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</si>
</sst>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2.6958578672637423</c:v>
                </c:pt>
                <c:pt idx="2">
                  <c:v>3.1456024429549463</c:v>
                </c:pt>
                <c:pt idx="3">
                  <c:v>3.670649654357323</c:v>
                </c:pt>
                <c:pt idx="4">
                  <c:v>4.2836508617976925</c:v>
                </c:pt>
                <c:pt idx="5">
                  <c:v>4.999389736468971</c:v>
                </c:pt>
                <c:pt idx="6">
                  <c:v>5.8351427158403695</c:v>
                </c:pt>
                <c:pt idx="7">
                  <c:v>6.8111005591399456</c:v>
                </c:pt>
                <c:pt idx="8">
                  <c:v>7.9508613859372161</c:v>
                </c:pt>
                <c:pt idx="9">
                  <c:v>9.2820073493501472</c:v>
                </c:pt>
                <c:pt idx="10">
                  <c:v>10.836779165748409</c:v>
                </c:pt>
                <c:pt idx="11">
                  <c:v>12.652865146640936</c:v>
                </c:pt>
                <c:pt idx="12">
                  <c:v>14.774324216181517</c:v>
                </c:pt>
                <c:pt idx="13">
                  <c:v>17.252665720219614</c:v>
                </c:pt>
                <c:pt idx="14">
                  <c:v>20.148112723022138</c:v>
                </c:pt>
                <c:pt idx="15">
                  <c:v>23.531080042869331</c:v>
                </c:pt>
                <c:pt idx="16">
                  <c:v>27.483903611522063</c:v>
                </c:pt>
                <c:pt idx="17">
                  <c:v>32.10286398842473</c:v>
                </c:pt>
                <c:pt idx="18">
                  <c:v>37.500554174678697</c:v>
                </c:pt>
                <c:pt idx="19">
                  <c:v>43.808650437329739</c:v>
                </c:pt>
                <c:pt idx="20">
                  <c:v>51.181154885798492</c:v>
                </c:pt>
                <c:pt idx="21">
                  <c:v>59.79819029058779</c:v>
                </c:pt>
                <c:pt idx="22">
                  <c:v>69.870441394099274</c:v>
                </c:pt>
                <c:pt idx="23">
                  <c:v>81.644353079392104</c:v>
                </c:pt>
                <c:pt idx="24">
                  <c:v>95.408214639163745</c:v>
                </c:pt>
                <c:pt idx="25">
                  <c:v>111.49928149768296</c:v>
                </c:pt>
                <c:pt idx="26">
                  <c:v>130.31211163776413</c:v>
                </c:pt>
                <c:pt idx="27">
                  <c:v>152.30832432339238</c:v>
                </c:pt>
                <c:pt idx="28">
                  <c:v>178.02802424828835</c:v>
                </c:pt>
                <c:pt idx="29">
                  <c:v>208.10317587450882</c:v>
                </c:pt>
                <c:pt idx="30">
                  <c:v>243.27326149959291</c:v>
                </c:pt>
                <c:pt idx="31">
                  <c:v>274.15159616012278</c:v>
                </c:pt>
                <c:pt idx="32">
                  <c:v>304.95175008027468</c:v>
                </c:pt>
                <c:pt idx="33">
                  <c:v>335.68272447411181</c:v>
                </c:pt>
                <c:pt idx="34">
                  <c:v>366.35173715058863</c:v>
                </c:pt>
                <c:pt idx="35">
                  <c:v>396.96469882146312</c:v>
                </c:pt>
                <c:pt idx="36">
                  <c:v>287.3602716796571</c:v>
                </c:pt>
                <c:pt idx="37">
                  <c:v>312.28499675107327</c:v>
                </c:pt>
                <c:pt idx="38">
                  <c:v>337.16559898912192</c:v>
                </c:pt>
                <c:pt idx="39">
                  <c:v>362.00578971990848</c:v>
                </c:pt>
                <c:pt idx="40">
                  <c:v>386.80872951220834</c:v>
                </c:pt>
                <c:pt idx="41">
                  <c:v>411.5771407175705</c:v>
                </c:pt>
                <c:pt idx="42">
                  <c:v>345.34910174995275</c:v>
                </c:pt>
                <c:pt idx="43">
                  <c:v>370.55926373756279</c:v>
                </c:pt>
                <c:pt idx="44">
                  <c:v>395.73202966467733</c:v>
                </c:pt>
                <c:pt idx="45">
                  <c:v>420.87011059114269</c:v>
                </c:pt>
                <c:pt idx="46">
                  <c:v>445.97586750283375</c:v>
                </c:pt>
                <c:pt idx="47">
                  <c:v>471.05137407996989</c:v>
                </c:pt>
                <c:pt idx="48">
                  <c:v>496.09846540196457</c:v>
                </c:pt>
                <c:pt idx="49">
                  <c:v>402.26313463210437</c:v>
                </c:pt>
                <c:pt idx="50">
                  <c:v>425.87619549343549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496.55301706749259</c:v>
                </c:pt>
                <c:pt idx="54">
                  <c:v>520.06287264987634</c:v>
                </c:pt>
                <c:pt idx="55">
                  <c:v>543.55032717690437</c:v>
                </c:pt>
                <c:pt idx="56">
                  <c:v>454.24481650463144</c:v>
                </c:pt>
                <c:pt idx="57">
                  <c:v>476.59634202129263</c:v>
                </c:pt>
                <c:pt idx="58">
                  <c:v>498.9255790926793</c:v>
                </c:pt>
                <c:pt idx="59">
                  <c:v>521.23366465282788</c:v>
                </c:pt>
                <c:pt idx="60">
                  <c:v>543.52163046495309</c:v>
                </c:pt>
                <c:pt idx="61">
                  <c:v>565.79041685083439</c:v>
                </c:pt>
                <c:pt idx="62">
                  <c:v>588.04088414741079</c:v>
                </c:pt>
                <c:pt idx="63">
                  <c:v>610.2738223402506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571.42160804713797</c:v>
                </c:pt>
                <c:pt idx="67">
                  <c:v>592.98726902778117</c:v>
                </c:pt>
                <c:pt idx="68">
                  <c:v>614.53661422900689</c:v>
                </c:pt>
                <c:pt idx="69">
                  <c:v>636.07029571344879</c:v>
                </c:pt>
                <c:pt idx="70">
                  <c:v>657.58891783971956</c:v>
                </c:pt>
                <c:pt idx="71">
                  <c:v>679.09304223054414</c:v>
                </c:pt>
                <c:pt idx="72">
                  <c:v>600.80615581089216</c:v>
                </c:pt>
                <c:pt idx="73">
                  <c:v>621.81796471134874</c:v>
                </c:pt>
                <c:pt idx="74">
                  <c:v>642.81507325128052</c:v>
                </c:pt>
                <c:pt idx="75">
                  <c:v>663.79802870135336</c:v>
                </c:pt>
                <c:pt idx="76">
                  <c:v>684.76734094880146</c:v>
                </c:pt>
                <c:pt idx="77">
                  <c:v>705.72348614062139</c:v>
                </c:pt>
                <c:pt idx="78">
                  <c:v>726.66690987194761</c:v>
                </c:pt>
                <c:pt idx="79">
                  <c:v>747.59802998811335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714.64642051425437</c:v>
                </c:pt>
                <c:pt idx="84">
                  <c:v>734.44382712262211</c:v>
                </c:pt>
                <c:pt idx="85">
                  <c:v>754.23036766119492</c:v>
                </c:pt>
                <c:pt idx="86">
                  <c:v>774.006367012586</c:v>
                </c:pt>
                <c:pt idx="87">
                  <c:v>793.77213212336176</c:v>
                </c:pt>
                <c:pt idx="88">
                  <c:v>813.52795342520028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748.59390688021483</c:v>
                </c:pt>
                <c:pt idx="92">
                  <c:v>767.49340042346296</c:v>
                </c:pt>
                <c:pt idx="93">
                  <c:v>786.38345937215036</c:v>
                </c:pt>
                <c:pt idx="94">
                  <c:v>805.26434202452174</c:v>
                </c:pt>
                <c:pt idx="95">
                  <c:v>824.13629359258357</c:v>
                </c:pt>
                <c:pt idx="96">
                  <c:v>842.99954715561819</c:v>
                </c:pt>
                <c:pt idx="97">
                  <c:v>861.85432452401562</c:v>
                </c:pt>
                <c:pt idx="98">
                  <c:v>880.70083702367663</c:v>
                </c:pt>
                <c:pt idx="99">
                  <c:v>899.53928620986301</c:v>
                </c:pt>
                <c:pt idx="100">
                  <c:v>798.63324124570397</c:v>
                </c:pt>
                <c:pt idx="101">
                  <c:v>817.06058045885231</c:v>
                </c:pt>
                <c:pt idx="102">
                  <c:v>835.47954754465491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890.68827125365715</c:v>
                </c:pt>
                <c:pt idx="106">
                  <c:v>909.07575862089118</c:v>
                </c:pt>
                <c:pt idx="107">
                  <c:v>927.45583393990785</c:v>
                </c:pt>
                <c:pt idx="108">
                  <c:v>945.82866460402113</c:v>
                </c:pt>
                <c:pt idx="109">
                  <c:v>964.19441098156688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87.149505162569383</c:v>
                </c:pt>
                <c:pt idx="17">
                  <c:v>96.797385318575991</c:v>
                </c:pt>
                <c:pt idx="18">
                  <c:v>106.42133409341606</c:v>
                </c:pt>
                <c:pt idx="19">
                  <c:v>116.0238244858856</c:v>
                </c:pt>
                <c:pt idx="20">
                  <c:v>125.60688557852342</c:v>
                </c:pt>
                <c:pt idx="21">
                  <c:v>109.26865471136909</c:v>
                </c:pt>
                <c:pt idx="22">
                  <c:v>119.57527521091727</c:v>
                </c:pt>
                <c:pt idx="23">
                  <c:v>129.860240322946</c:v>
                </c:pt>
                <c:pt idx="24">
                  <c:v>140.12550916282296</c:v>
                </c:pt>
                <c:pt idx="25">
                  <c:v>150.37272976362615</c:v>
                </c:pt>
                <c:pt idx="26">
                  <c:v>143.30754256422117</c:v>
                </c:pt>
                <c:pt idx="27">
                  <c:v>153.90233005028915</c:v>
                </c:pt>
                <c:pt idx="28">
                  <c:v>164.47977321830038</c:v>
                </c:pt>
                <c:pt idx="29">
                  <c:v>175.04114578206176</c:v>
                </c:pt>
                <c:pt idx="30">
                  <c:v>185.58755497750235</c:v>
                </c:pt>
                <c:pt idx="31">
                  <c:v>176.44817575735124</c:v>
                </c:pt>
                <c:pt idx="32">
                  <c:v>186.64141133895666</c:v>
                </c:pt>
                <c:pt idx="33">
                  <c:v>196.82165695831426</c:v>
                </c:pt>
                <c:pt idx="34">
                  <c:v>206.98967982954616</c:v>
                </c:pt>
                <c:pt idx="35">
                  <c:v>217.14616554866117</c:v>
                </c:pt>
                <c:pt idx="36">
                  <c:v>206.63925413557965</c:v>
                </c:pt>
                <c:pt idx="37">
                  <c:v>217.14616554866117</c:v>
                </c:pt>
                <c:pt idx="38">
                  <c:v>227.64138943591354</c:v>
                </c:pt>
                <c:pt idx="39">
                  <c:v>238.12554101232834</c:v>
                </c:pt>
                <c:pt idx="40">
                  <c:v>248.59917684690132</c:v>
                </c:pt>
                <c:pt idx="41">
                  <c:v>236.37892704001885</c:v>
                </c:pt>
                <c:pt idx="42">
                  <c:v>246.85427908940071</c:v>
                </c:pt>
                <c:pt idx="43">
                  <c:v>257.31954013248077</c:v>
                </c:pt>
                <c:pt idx="44">
                  <c:v>267.77517870928619</c:v>
                </c:pt>
                <c:pt idx="45">
                  <c:v>278.22162375497288</c:v>
                </c:pt>
                <c:pt idx="46">
                  <c:v>263.94253392620141</c:v>
                </c:pt>
                <c:pt idx="47">
                  <c:v>274.04412300873832</c:v>
                </c:pt>
                <c:pt idx="48">
                  <c:v>284.13734601040039</c:v>
                </c:pt>
                <c:pt idx="49">
                  <c:v>294.22254221033842</c:v>
                </c:pt>
                <c:pt idx="50">
                  <c:v>304.30002571338792</c:v>
                </c:pt>
                <c:pt idx="51">
                  <c:v>289.35480857103533</c:v>
                </c:pt>
                <c:pt idx="52">
                  <c:v>298.74097068368638</c:v>
                </c:pt>
                <c:pt idx="53">
                  <c:v>308.12056303476032</c:v>
                </c:pt>
                <c:pt idx="54">
                  <c:v>317.493813958099</c:v>
                </c:pt>
                <c:pt idx="55">
                  <c:v>326.86093719547273</c:v>
                </c:pt>
                <c:pt idx="56">
                  <c:v>311.94004796897667</c:v>
                </c:pt>
                <c:pt idx="57">
                  <c:v>321.3107774053031</c:v>
                </c:pt>
                <c:pt idx="58">
                  <c:v>330.67546236446486</c:v>
                </c:pt>
                <c:pt idx="59">
                  <c:v>340.03429827286561</c:v>
                </c:pt>
                <c:pt idx="60">
                  <c:v>349.38746891454963</c:v>
                </c:pt>
                <c:pt idx="61">
                  <c:v>333.79571492319104</c:v>
                </c:pt>
                <c:pt idx="62">
                  <c:v>342.45973119739205</c:v>
                </c:pt>
                <c:pt idx="63">
                  <c:v>351.11892985232788</c:v>
                </c:pt>
                <c:pt idx="64">
                  <c:v>359.77344653568497</c:v>
                </c:pt>
                <c:pt idx="65">
                  <c:v>368.42340983207083</c:v>
                </c:pt>
                <c:pt idx="66">
                  <c:v>352.50396372745308</c:v>
                </c:pt>
                <c:pt idx="67">
                  <c:v>360.81168008565851</c:v>
                </c:pt>
                <c:pt idx="68">
                  <c:v>369.1152138880347</c:v>
                </c:pt>
                <c:pt idx="69">
                  <c:v>377.41467255842127</c:v>
                </c:pt>
                <c:pt idx="70">
                  <c:v>385.71015840744553</c:v>
                </c:pt>
                <c:pt idx="71">
                  <c:v>369.46110530100697</c:v>
                </c:pt>
                <c:pt idx="72">
                  <c:v>377.41467255842127</c:v>
                </c:pt>
                <c:pt idx="73">
                  <c:v>385.36459119538364</c:v>
                </c:pt>
                <c:pt idx="74">
                  <c:v>393.31094714884665</c:v>
                </c:pt>
                <c:pt idx="75">
                  <c:v>401.25382259763973</c:v>
                </c:pt>
                <c:pt idx="76">
                  <c:v>384.32784912657735</c:v>
                </c:pt>
                <c:pt idx="77">
                  <c:v>391.58377731754808</c:v>
                </c:pt>
                <c:pt idx="78">
                  <c:v>398.83678939579448</c:v>
                </c:pt>
                <c:pt idx="79">
                  <c:v>406.08694591135969</c:v>
                </c:pt>
                <c:pt idx="80">
                  <c:v>413.33430507425345</c:v>
                </c:pt>
                <c:pt idx="81">
                  <c:v>397.80082102983084</c:v>
                </c:pt>
                <c:pt idx="82">
                  <c:v>404.7061811363821</c:v>
                </c:pt>
                <c:pt idx="83">
                  <c:v>411.60899407848501</c:v>
                </c:pt>
                <c:pt idx="84">
                  <c:v>418.50930863032568</c:v>
                </c:pt>
                <c:pt idx="85">
                  <c:v>425.40717182534792</c:v>
                </c:pt>
                <c:pt idx="86">
                  <c:v>409.19329619958626</c:v>
                </c:pt>
                <c:pt idx="87">
                  <c:v>415.40447321133956</c:v>
                </c:pt>
                <c:pt idx="88">
                  <c:v>421.61364767176156</c:v>
                </c:pt>
                <c:pt idx="89">
                  <c:v>427.82085325710801</c:v>
                </c:pt>
                <c:pt idx="90">
                  <c:v>434.02612258593189</c:v>
                </c:pt>
                <c:pt idx="91">
                  <c:v>413.33430507425345</c:v>
                </c:pt>
                <c:pt idx="92">
                  <c:v>413.33430507425345</c:v>
                </c:pt>
                <c:pt idx="93">
                  <c:v>413.33430507425345</c:v>
                </c:pt>
                <c:pt idx="94">
                  <c:v>413.33430507425345</c:v>
                </c:pt>
                <c:pt idx="95">
                  <c:v>413.33430507425345</c:v>
                </c:pt>
                <c:pt idx="96">
                  <c:v>413.33430507425345</c:v>
                </c:pt>
                <c:pt idx="97">
                  <c:v>413.33430507425345</c:v>
                </c:pt>
                <c:pt idx="98">
                  <c:v>413.33430507425345</c:v>
                </c:pt>
                <c:pt idx="99">
                  <c:v>413.33430507425345</c:v>
                </c:pt>
                <c:pt idx="100">
                  <c:v>413.33430507425345</c:v>
                </c:pt>
                <c:pt idx="101">
                  <c:v>413.33430507425345</c:v>
                </c:pt>
                <c:pt idx="102">
                  <c:v>413.33430507425345</c:v>
                </c:pt>
                <c:pt idx="103">
                  <c:v>413.33430507425345</c:v>
                </c:pt>
                <c:pt idx="104">
                  <c:v>413.33430507425345</c:v>
                </c:pt>
                <c:pt idx="105">
                  <c:v>413.33430507425345</c:v>
                </c:pt>
                <c:pt idx="106">
                  <c:v>413.33430507425345</c:v>
                </c:pt>
                <c:pt idx="107">
                  <c:v>413.33430507425345</c:v>
                </c:pt>
                <c:pt idx="108">
                  <c:v>413.33430507425345</c:v>
                </c:pt>
                <c:pt idx="109">
                  <c:v>413.33430507425345</c:v>
                </c:pt>
                <c:pt idx="110">
                  <c:v>413.33430507425345</c:v>
                </c:pt>
                <c:pt idx="111">
                  <c:v>413.33430507425345</c:v>
                </c:pt>
                <c:pt idx="112">
                  <c:v>413.33430507425345</c:v>
                </c:pt>
                <c:pt idx="113">
                  <c:v>413.33430507425345</c:v>
                </c:pt>
                <c:pt idx="114">
                  <c:v>413.33430507425345</c:v>
                </c:pt>
                <c:pt idx="115">
                  <c:v>413.33430507425345</c:v>
                </c:pt>
                <c:pt idx="116">
                  <c:v>413.33430507425345</c:v>
                </c:pt>
                <c:pt idx="117">
                  <c:v>413.33430507425345</c:v>
                </c:pt>
                <c:pt idx="118">
                  <c:v>413.33430507425345</c:v>
                </c:pt>
                <c:pt idx="119">
                  <c:v>413.33430507425345</c:v>
                </c:pt>
                <c:pt idx="120">
                  <c:v>413.33430507425345</c:v>
                </c:pt>
                <c:pt idx="121">
                  <c:v>413.33430507425345</c:v>
                </c:pt>
                <c:pt idx="122">
                  <c:v>413.33430507425345</c:v>
                </c:pt>
                <c:pt idx="123">
                  <c:v>413.33430507425345</c:v>
                </c:pt>
                <c:pt idx="124">
                  <c:v>413.33430507425345</c:v>
                </c:pt>
                <c:pt idx="125">
                  <c:v>413.33430507425345</c:v>
                </c:pt>
                <c:pt idx="126">
                  <c:v>413.33430507425345</c:v>
                </c:pt>
                <c:pt idx="127">
                  <c:v>413.33430507425345</c:v>
                </c:pt>
                <c:pt idx="128">
                  <c:v>413.33430507425345</c:v>
                </c:pt>
                <c:pt idx="129">
                  <c:v>413.33430507425345</c:v>
                </c:pt>
                <c:pt idx="130">
                  <c:v>413.33430507425345</c:v>
                </c:pt>
                <c:pt idx="131">
                  <c:v>413.33430507425345</c:v>
                </c:pt>
                <c:pt idx="132">
                  <c:v>413.33430507425345</c:v>
                </c:pt>
                <c:pt idx="133">
                  <c:v>413.33430507425345</c:v>
                </c:pt>
                <c:pt idx="134">
                  <c:v>413.33430507425345</c:v>
                </c:pt>
                <c:pt idx="135">
                  <c:v>413.33430507425345</c:v>
                </c:pt>
                <c:pt idx="136">
                  <c:v>413.33430507425345</c:v>
                </c:pt>
                <c:pt idx="137">
                  <c:v>413.33430507425345</c:v>
                </c:pt>
                <c:pt idx="138">
                  <c:v>413.33430507425345</c:v>
                </c:pt>
                <c:pt idx="139">
                  <c:v>413.33430507425345</c:v>
                </c:pt>
                <c:pt idx="140">
                  <c:v>413.33430507425345</c:v>
                </c:pt>
                <c:pt idx="141">
                  <c:v>413.33430507425345</c:v>
                </c:pt>
                <c:pt idx="142">
                  <c:v>413.33430507425345</c:v>
                </c:pt>
                <c:pt idx="143">
                  <c:v>413.33430507425345</c:v>
                </c:pt>
                <c:pt idx="144">
                  <c:v>413.33430507425345</c:v>
                </c:pt>
                <c:pt idx="145">
                  <c:v>413.33430507425345</c:v>
                </c:pt>
                <c:pt idx="146">
                  <c:v>413.33430507425345</c:v>
                </c:pt>
                <c:pt idx="147">
                  <c:v>413.33430507425345</c:v>
                </c:pt>
                <c:pt idx="148">
                  <c:v>413.33430507425345</c:v>
                </c:pt>
                <c:pt idx="149">
                  <c:v>413.33430507425345</c:v>
                </c:pt>
                <c:pt idx="150">
                  <c:v>413.33430507425345</c:v>
                </c:pt>
                <c:pt idx="151">
                  <c:v>413.33430507425345</c:v>
                </c:pt>
                <c:pt idx="152">
                  <c:v>413.33430507425345</c:v>
                </c:pt>
                <c:pt idx="153">
                  <c:v>413.33430507425345</c:v>
                </c:pt>
                <c:pt idx="154">
                  <c:v>413.33430507425345</c:v>
                </c:pt>
                <c:pt idx="155">
                  <c:v>413.33430507425345</c:v>
                </c:pt>
                <c:pt idx="156">
                  <c:v>413.33430507425345</c:v>
                </c:pt>
                <c:pt idx="157">
                  <c:v>413.33430507425345</c:v>
                </c:pt>
                <c:pt idx="158">
                  <c:v>413.33430507425345</c:v>
                </c:pt>
                <c:pt idx="159">
                  <c:v>413.33430507425345</c:v>
                </c:pt>
                <c:pt idx="160">
                  <c:v>413.33430507425345</c:v>
                </c:pt>
                <c:pt idx="161">
                  <c:v>413.33430507425345</c:v>
                </c:pt>
                <c:pt idx="162">
                  <c:v>413.33430507425345</c:v>
                </c:pt>
                <c:pt idx="163">
                  <c:v>413.33430507425345</c:v>
                </c:pt>
                <c:pt idx="164">
                  <c:v>413.33430507425345</c:v>
                </c:pt>
                <c:pt idx="165">
                  <c:v>413.33430507425345</c:v>
                </c:pt>
                <c:pt idx="166">
                  <c:v>413.33430507425345</c:v>
                </c:pt>
                <c:pt idx="167">
                  <c:v>413.33430507425345</c:v>
                </c:pt>
                <c:pt idx="168">
                  <c:v>413.33430507425345</c:v>
                </c:pt>
                <c:pt idx="169">
                  <c:v>413.33430507425345</c:v>
                </c:pt>
                <c:pt idx="170">
                  <c:v>413.33430507425345</c:v>
                </c:pt>
                <c:pt idx="171">
                  <c:v>413.33430507425345</c:v>
                </c:pt>
                <c:pt idx="172">
                  <c:v>413.33430507425345</c:v>
                </c:pt>
                <c:pt idx="173">
                  <c:v>413.33430507425345</c:v>
                </c:pt>
                <c:pt idx="174">
                  <c:v>413.33430507425345</c:v>
                </c:pt>
                <c:pt idx="175">
                  <c:v>413.33430507425345</c:v>
                </c:pt>
                <c:pt idx="176">
                  <c:v>413.33430507425345</c:v>
                </c:pt>
                <c:pt idx="177">
                  <c:v>413.33430507425345</c:v>
                </c:pt>
                <c:pt idx="178">
                  <c:v>413.33430507425345</c:v>
                </c:pt>
                <c:pt idx="179">
                  <c:v>413.33430507425345</c:v>
                </c:pt>
                <c:pt idx="180">
                  <c:v>413.33430507425345</c:v>
                </c:pt>
                <c:pt idx="181">
                  <c:v>413.33430507425345</c:v>
                </c:pt>
                <c:pt idx="182">
                  <c:v>413.33430507425345</c:v>
                </c:pt>
                <c:pt idx="183">
                  <c:v>413.33430507425345</c:v>
                </c:pt>
                <c:pt idx="184">
                  <c:v>413.33430507425345</c:v>
                </c:pt>
                <c:pt idx="185">
                  <c:v>413.33430507425345</c:v>
                </c:pt>
                <c:pt idx="186">
                  <c:v>413.33430507425345</c:v>
                </c:pt>
                <c:pt idx="187">
                  <c:v>413.33430507425345</c:v>
                </c:pt>
                <c:pt idx="188">
                  <c:v>413.33430507425345</c:v>
                </c:pt>
                <c:pt idx="189">
                  <c:v>413.33430507425345</c:v>
                </c:pt>
                <c:pt idx="190">
                  <c:v>413.33430507425345</c:v>
                </c:pt>
                <c:pt idx="191">
                  <c:v>413.33430507425345</c:v>
                </c:pt>
                <c:pt idx="192">
                  <c:v>413.33430507425345</c:v>
                </c:pt>
                <c:pt idx="193">
                  <c:v>413.33430507425345</c:v>
                </c:pt>
                <c:pt idx="194">
                  <c:v>413.33430507425345</c:v>
                </c:pt>
                <c:pt idx="195">
                  <c:v>413.33430507425345</c:v>
                </c:pt>
                <c:pt idx="196">
                  <c:v>413.33430507425345</c:v>
                </c:pt>
                <c:pt idx="197">
                  <c:v>413.33430507425345</c:v>
                </c:pt>
                <c:pt idx="198">
                  <c:v>413.33430507425345</c:v>
                </c:pt>
                <c:pt idx="199">
                  <c:v>413.33430507425345</c:v>
                </c:pt>
                <c:pt idx="200">
                  <c:v>413.33430507425345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580.86738049325345</c:v>
                </c:pt>
                <c:pt idx="62">
                  <c:v>603.322786102946</c:v>
                </c:pt>
                <c:pt idx="63">
                  <c:v>625.76083514390393</c:v>
                </c:pt>
                <c:pt idx="64">
                  <c:v>648.18223687272553</c:v>
                </c:pt>
                <c:pt idx="65">
                  <c:v>670.5876475316818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670.58764753168191</c:v>
                </c:pt>
                <c:pt idx="72">
                  <c:v>690.45052166725247</c:v>
                </c:pt>
                <c:pt idx="73">
                  <c:v>710.30168839718874</c:v>
                </c:pt>
                <c:pt idx="74">
                  <c:v>730.14152063682013</c:v>
                </c:pt>
                <c:pt idx="75">
                  <c:v>749.97036940508917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736.63215463032964</c:v>
                </c:pt>
                <c:pt idx="82">
                  <c:v>753.93485060091371</c:v>
                </c:pt>
                <c:pt idx="83">
                  <c:v>771.22948202840087</c:v>
                </c:pt>
                <c:pt idx="84">
                  <c:v>788.5162550525506</c:v>
                </c:pt>
                <c:pt idx="85">
                  <c:v>805.79536604695193</c:v>
                </c:pt>
                <c:pt idx="86">
                  <c:v>762.94346417722682</c:v>
                </c:pt>
                <c:pt idx="87">
                  <c:v>779.51369572854594</c:v>
                </c:pt>
                <c:pt idx="88">
                  <c:v>796.07679765726914</c:v>
                </c:pt>
                <c:pt idx="89">
                  <c:v>812.63293905279113</c:v>
                </c:pt>
                <c:pt idx="90">
                  <c:v>829.18228155985787</c:v>
                </c:pt>
                <c:pt idx="91">
                  <c:v>788.87631401648343</c:v>
                </c:pt>
                <c:pt idx="92">
                  <c:v>804.35572815014075</c:v>
                </c:pt>
                <c:pt idx="93">
                  <c:v>819.82913151766786</c:v>
                </c:pt>
                <c:pt idx="94">
                  <c:v>835.29665344180091</c:v>
                </c:pt>
                <c:pt idx="95">
                  <c:v>850.75841807001689</c:v>
                </c:pt>
                <c:pt idx="96">
                  <c:v>811.55339965696703</c:v>
                </c:pt>
                <c:pt idx="97">
                  <c:v>826.30461657658464</c:v>
                </c:pt>
                <c:pt idx="98">
                  <c:v>841.0505342782709</c:v>
                </c:pt>
                <c:pt idx="99">
                  <c:v>855.79125867604671</c:v>
                </c:pt>
                <c:pt idx="100">
                  <c:v>870.52689174128693</c:v>
                </c:pt>
                <c:pt idx="101">
                  <c:v>832.41941451556761</c:v>
                </c:pt>
                <c:pt idx="102">
                  <c:v>846.4440791959322</c:v>
                </c:pt>
                <c:pt idx="103">
                  <c:v>860.46407906531783</c:v>
                </c:pt>
                <c:pt idx="104">
                  <c:v>874.47950077026053</c:v>
                </c:pt>
                <c:pt idx="105">
                  <c:v>888.49042795607431</c:v>
                </c:pt>
                <c:pt idx="106">
                  <c:v>851.47743179391273</c:v>
                </c:pt>
                <c:pt idx="107">
                  <c:v>864.77700018720031</c:v>
                </c:pt>
                <c:pt idx="108">
                  <c:v>878.07247139987146</c:v>
                </c:pt>
                <c:pt idx="109">
                  <c:v>891.36391615659386</c:v>
                </c:pt>
                <c:pt idx="110">
                  <c:v>904.65140290281306</c:v>
                </c:pt>
                <c:pt idx="111">
                  <c:v>868.73013257971536</c:v>
                </c:pt>
                <c:pt idx="112">
                  <c:v>881.30589346877969</c:v>
                </c:pt>
                <c:pt idx="113">
                  <c:v>893.87806652905931</c:v>
                </c:pt>
                <c:pt idx="114">
                  <c:v>906.44670928963967</c:v>
                </c:pt>
                <c:pt idx="115">
                  <c:v>919.01187755558783</c:v>
                </c:pt>
                <c:pt idx="116">
                  <c:v>872.32357664941446</c:v>
                </c:pt>
                <c:pt idx="117">
                  <c:v>872.32357664941446</c:v>
                </c:pt>
                <c:pt idx="118">
                  <c:v>872.32357664941446</c:v>
                </c:pt>
                <c:pt idx="119">
                  <c:v>872.32357664941446</c:v>
                </c:pt>
                <c:pt idx="120">
                  <c:v>872.32357664941446</c:v>
                </c:pt>
                <c:pt idx="121">
                  <c:v>872.32357664941446</c:v>
                </c:pt>
                <c:pt idx="122">
                  <c:v>872.32357664941446</c:v>
                </c:pt>
                <c:pt idx="123">
                  <c:v>872.32357664941446</c:v>
                </c:pt>
                <c:pt idx="124">
                  <c:v>872.32357664941446</c:v>
                </c:pt>
                <c:pt idx="125">
                  <c:v>872.32357664941446</c:v>
                </c:pt>
                <c:pt idx="126">
                  <c:v>872.32357664941446</c:v>
                </c:pt>
                <c:pt idx="127">
                  <c:v>872.32357664941446</c:v>
                </c:pt>
                <c:pt idx="128">
                  <c:v>872.32357664941446</c:v>
                </c:pt>
                <c:pt idx="129">
                  <c:v>872.32357664941446</c:v>
                </c:pt>
                <c:pt idx="130">
                  <c:v>872.32357664941446</c:v>
                </c:pt>
                <c:pt idx="131">
                  <c:v>872.32357664941446</c:v>
                </c:pt>
                <c:pt idx="132">
                  <c:v>872.32357664941446</c:v>
                </c:pt>
                <c:pt idx="133">
                  <c:v>872.32357664941446</c:v>
                </c:pt>
                <c:pt idx="134">
                  <c:v>872.32357664941446</c:v>
                </c:pt>
                <c:pt idx="135">
                  <c:v>872.32357664941446</c:v>
                </c:pt>
                <c:pt idx="136">
                  <c:v>872.32357664941446</c:v>
                </c:pt>
                <c:pt idx="137">
                  <c:v>872.32357664941446</c:v>
                </c:pt>
                <c:pt idx="138">
                  <c:v>872.32357664941446</c:v>
                </c:pt>
                <c:pt idx="139">
                  <c:v>872.32357664941446</c:v>
                </c:pt>
                <c:pt idx="140">
                  <c:v>872.32357664941446</c:v>
                </c:pt>
                <c:pt idx="141">
                  <c:v>872.32357664941446</c:v>
                </c:pt>
                <c:pt idx="142">
                  <c:v>872.32357664941446</c:v>
                </c:pt>
                <c:pt idx="143">
                  <c:v>872.32357664941446</c:v>
                </c:pt>
                <c:pt idx="144">
                  <c:v>872.32357664941446</c:v>
                </c:pt>
                <c:pt idx="145">
                  <c:v>872.32357664941446</c:v>
                </c:pt>
                <c:pt idx="146">
                  <c:v>872.32357664941446</c:v>
                </c:pt>
                <c:pt idx="147">
                  <c:v>872.32357664941446</c:v>
                </c:pt>
                <c:pt idx="148">
                  <c:v>872.32357664941446</c:v>
                </c:pt>
                <c:pt idx="149">
                  <c:v>872.32357664941446</c:v>
                </c:pt>
                <c:pt idx="150">
                  <c:v>872.32357664941446</c:v>
                </c:pt>
                <c:pt idx="151">
                  <c:v>872.32357664941446</c:v>
                </c:pt>
                <c:pt idx="152">
                  <c:v>872.32357664941446</c:v>
                </c:pt>
                <c:pt idx="153">
                  <c:v>872.32357664941446</c:v>
                </c:pt>
                <c:pt idx="154">
                  <c:v>872.32357664941446</c:v>
                </c:pt>
                <c:pt idx="155">
                  <c:v>872.32357664941446</c:v>
                </c:pt>
                <c:pt idx="156">
                  <c:v>872.32357664941446</c:v>
                </c:pt>
                <c:pt idx="157">
                  <c:v>872.32357664941446</c:v>
                </c:pt>
                <c:pt idx="158">
                  <c:v>872.32357664941446</c:v>
                </c:pt>
                <c:pt idx="159">
                  <c:v>872.32357664941446</c:v>
                </c:pt>
                <c:pt idx="160">
                  <c:v>872.32357664941446</c:v>
                </c:pt>
                <c:pt idx="161">
                  <c:v>872.32357664941446</c:v>
                </c:pt>
                <c:pt idx="162">
                  <c:v>872.32357664941446</c:v>
                </c:pt>
                <c:pt idx="163">
                  <c:v>872.32357664941446</c:v>
                </c:pt>
                <c:pt idx="164">
                  <c:v>872.32357664941446</c:v>
                </c:pt>
                <c:pt idx="165">
                  <c:v>872.32357664941446</c:v>
                </c:pt>
                <c:pt idx="166">
                  <c:v>872.32357664941446</c:v>
                </c:pt>
                <c:pt idx="167">
                  <c:v>872.32357664941446</c:v>
                </c:pt>
                <c:pt idx="168">
                  <c:v>872.32357664941446</c:v>
                </c:pt>
                <c:pt idx="169">
                  <c:v>872.32357664941446</c:v>
                </c:pt>
                <c:pt idx="170">
                  <c:v>872.32357664941446</c:v>
                </c:pt>
                <c:pt idx="171">
                  <c:v>872.32357664941446</c:v>
                </c:pt>
                <c:pt idx="172">
                  <c:v>872.32357664941446</c:v>
                </c:pt>
                <c:pt idx="173">
                  <c:v>872.32357664941446</c:v>
                </c:pt>
                <c:pt idx="174">
                  <c:v>872.32357664941446</c:v>
                </c:pt>
                <c:pt idx="175">
                  <c:v>872.32357664941446</c:v>
                </c:pt>
                <c:pt idx="176">
                  <c:v>872.32357664941446</c:v>
                </c:pt>
                <c:pt idx="177">
                  <c:v>872.32357664941446</c:v>
                </c:pt>
                <c:pt idx="178">
                  <c:v>872.32357664941446</c:v>
                </c:pt>
                <c:pt idx="179">
                  <c:v>872.32357664941446</c:v>
                </c:pt>
                <c:pt idx="180">
                  <c:v>872.32357664941446</c:v>
                </c:pt>
                <c:pt idx="181">
                  <c:v>872.32357664941446</c:v>
                </c:pt>
                <c:pt idx="182">
                  <c:v>872.32357664941446</c:v>
                </c:pt>
                <c:pt idx="183">
                  <c:v>872.32357664941446</c:v>
                </c:pt>
                <c:pt idx="184">
                  <c:v>872.32357664941446</c:v>
                </c:pt>
                <c:pt idx="185">
                  <c:v>872.32357664941446</c:v>
                </c:pt>
                <c:pt idx="186">
                  <c:v>872.32357664941446</c:v>
                </c:pt>
                <c:pt idx="187">
                  <c:v>872.32357664941446</c:v>
                </c:pt>
                <c:pt idx="188">
                  <c:v>872.32357664941446</c:v>
                </c:pt>
                <c:pt idx="189">
                  <c:v>872.32357664941446</c:v>
                </c:pt>
                <c:pt idx="190">
                  <c:v>872.32357664941446</c:v>
                </c:pt>
                <c:pt idx="191">
                  <c:v>872.32357664941446</c:v>
                </c:pt>
                <c:pt idx="192">
                  <c:v>872.32357664941446</c:v>
                </c:pt>
                <c:pt idx="193">
                  <c:v>872.32357664941446</c:v>
                </c:pt>
                <c:pt idx="194">
                  <c:v>872.32357664941446</c:v>
                </c:pt>
                <c:pt idx="195">
                  <c:v>872.32357664941446</c:v>
                </c:pt>
                <c:pt idx="196">
                  <c:v>872.32357664941446</c:v>
                </c:pt>
                <c:pt idx="197">
                  <c:v>872.32357664941446</c:v>
                </c:pt>
                <c:pt idx="198">
                  <c:v>872.32357664941446</c:v>
                </c:pt>
                <c:pt idx="199">
                  <c:v>872.32357664941446</c:v>
                </c:pt>
                <c:pt idx="200">
                  <c:v>872.32357664941446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332.26233823070532</c:v>
                </c:pt>
                <c:pt idx="44">
                  <c:v>332.26233823070532</c:v>
                </c:pt>
                <c:pt idx="45">
                  <c:v>332.26233823070532</c:v>
                </c:pt>
                <c:pt idx="46">
                  <c:v>332.26233823070532</c:v>
                </c:pt>
                <c:pt idx="47">
                  <c:v>332.26233823070532</c:v>
                </c:pt>
                <c:pt idx="48">
                  <c:v>332.26233823070532</c:v>
                </c:pt>
                <c:pt idx="49">
                  <c:v>332.26233823070532</c:v>
                </c:pt>
                <c:pt idx="50">
                  <c:v>332.26233823070532</c:v>
                </c:pt>
                <c:pt idx="51">
                  <c:v>332.26233823070532</c:v>
                </c:pt>
                <c:pt idx="52">
                  <c:v>332.26233823070532</c:v>
                </c:pt>
                <c:pt idx="53">
                  <c:v>332.26233823070532</c:v>
                </c:pt>
                <c:pt idx="54">
                  <c:v>332.26233823070532</c:v>
                </c:pt>
                <c:pt idx="55">
                  <c:v>332.26233823070532</c:v>
                </c:pt>
                <c:pt idx="56">
                  <c:v>332.26233823070532</c:v>
                </c:pt>
                <c:pt idx="57">
                  <c:v>332.26233823070532</c:v>
                </c:pt>
                <c:pt idx="58">
                  <c:v>332.26233823070532</c:v>
                </c:pt>
                <c:pt idx="59">
                  <c:v>332.26233823070532</c:v>
                </c:pt>
                <c:pt idx="60">
                  <c:v>332.26233823070532</c:v>
                </c:pt>
                <c:pt idx="61">
                  <c:v>332.26233823070532</c:v>
                </c:pt>
                <c:pt idx="62">
                  <c:v>332.26233823070532</c:v>
                </c:pt>
                <c:pt idx="63">
                  <c:v>332.26233823070532</c:v>
                </c:pt>
                <c:pt idx="64">
                  <c:v>332.26233823070532</c:v>
                </c:pt>
                <c:pt idx="65">
                  <c:v>332.26233823070532</c:v>
                </c:pt>
                <c:pt idx="66">
                  <c:v>332.26233823070532</c:v>
                </c:pt>
                <c:pt idx="67">
                  <c:v>332.26233823070532</c:v>
                </c:pt>
                <c:pt idx="68">
                  <c:v>332.26233823070532</c:v>
                </c:pt>
                <c:pt idx="69">
                  <c:v>332.26233823070532</c:v>
                </c:pt>
                <c:pt idx="70">
                  <c:v>332.26233823070532</c:v>
                </c:pt>
                <c:pt idx="71">
                  <c:v>332.26233823070532</c:v>
                </c:pt>
                <c:pt idx="72">
                  <c:v>332.26233823070532</c:v>
                </c:pt>
                <c:pt idx="73">
                  <c:v>332.26233823070532</c:v>
                </c:pt>
                <c:pt idx="74">
                  <c:v>332.26233823070532</c:v>
                </c:pt>
                <c:pt idx="75">
                  <c:v>332.26233823070532</c:v>
                </c:pt>
                <c:pt idx="76">
                  <c:v>332.26233823070532</c:v>
                </c:pt>
                <c:pt idx="77">
                  <c:v>332.26233823070532</c:v>
                </c:pt>
                <c:pt idx="78">
                  <c:v>332.26233823070532</c:v>
                </c:pt>
                <c:pt idx="79">
                  <c:v>332.26233823070532</c:v>
                </c:pt>
                <c:pt idx="80">
                  <c:v>332.26233823070532</c:v>
                </c:pt>
                <c:pt idx="81">
                  <c:v>332.26233823070532</c:v>
                </c:pt>
                <c:pt idx="82">
                  <c:v>332.26233823070532</c:v>
                </c:pt>
                <c:pt idx="83">
                  <c:v>332.26233823070532</c:v>
                </c:pt>
                <c:pt idx="84">
                  <c:v>332.26233823070532</c:v>
                </c:pt>
                <c:pt idx="85">
                  <c:v>332.26233823070532</c:v>
                </c:pt>
                <c:pt idx="86">
                  <c:v>332.26233823070532</c:v>
                </c:pt>
                <c:pt idx="87">
                  <c:v>332.26233823070532</c:v>
                </c:pt>
                <c:pt idx="88">
                  <c:v>332.26233823070532</c:v>
                </c:pt>
                <c:pt idx="89">
                  <c:v>332.26233823070532</c:v>
                </c:pt>
                <c:pt idx="90">
                  <c:v>332.26233823070532</c:v>
                </c:pt>
                <c:pt idx="91">
                  <c:v>332.26233823070532</c:v>
                </c:pt>
                <c:pt idx="92">
                  <c:v>332.26233823070532</c:v>
                </c:pt>
                <c:pt idx="93">
                  <c:v>332.26233823070532</c:v>
                </c:pt>
                <c:pt idx="94">
                  <c:v>332.26233823070532</c:v>
                </c:pt>
                <c:pt idx="95">
                  <c:v>332.26233823070532</c:v>
                </c:pt>
                <c:pt idx="96">
                  <c:v>332.26233823070532</c:v>
                </c:pt>
                <c:pt idx="97">
                  <c:v>332.26233823070532</c:v>
                </c:pt>
                <c:pt idx="98">
                  <c:v>332.26233823070532</c:v>
                </c:pt>
                <c:pt idx="99">
                  <c:v>332.26233823070532</c:v>
                </c:pt>
                <c:pt idx="100">
                  <c:v>332.26233823070532</c:v>
                </c:pt>
                <c:pt idx="101">
                  <c:v>332.26233823070532</c:v>
                </c:pt>
                <c:pt idx="102">
                  <c:v>332.26233823070532</c:v>
                </c:pt>
                <c:pt idx="103">
                  <c:v>332.26233823070532</c:v>
                </c:pt>
                <c:pt idx="104">
                  <c:v>332.26233823070532</c:v>
                </c:pt>
                <c:pt idx="105">
                  <c:v>332.26233823070532</c:v>
                </c:pt>
                <c:pt idx="106">
                  <c:v>332.26233823070532</c:v>
                </c:pt>
                <c:pt idx="107">
                  <c:v>332.26233823070532</c:v>
                </c:pt>
                <c:pt idx="108">
                  <c:v>332.26233823070532</c:v>
                </c:pt>
                <c:pt idx="109">
                  <c:v>332.26233823070532</c:v>
                </c:pt>
                <c:pt idx="110">
                  <c:v>332.26233823070532</c:v>
                </c:pt>
                <c:pt idx="111">
                  <c:v>332.26233823070532</c:v>
                </c:pt>
                <c:pt idx="112">
                  <c:v>332.26233823070532</c:v>
                </c:pt>
                <c:pt idx="113">
                  <c:v>332.26233823070532</c:v>
                </c:pt>
                <c:pt idx="114">
                  <c:v>332.26233823070532</c:v>
                </c:pt>
                <c:pt idx="115">
                  <c:v>332.26233823070532</c:v>
                </c:pt>
                <c:pt idx="116">
                  <c:v>332.26233823070532</c:v>
                </c:pt>
                <c:pt idx="117">
                  <c:v>332.26233823070532</c:v>
                </c:pt>
                <c:pt idx="118">
                  <c:v>332.26233823070532</c:v>
                </c:pt>
                <c:pt idx="119">
                  <c:v>332.26233823070532</c:v>
                </c:pt>
                <c:pt idx="120">
                  <c:v>332.26233823070532</c:v>
                </c:pt>
                <c:pt idx="121">
                  <c:v>332.26233823070532</c:v>
                </c:pt>
                <c:pt idx="122">
                  <c:v>332.26233823070532</c:v>
                </c:pt>
                <c:pt idx="123">
                  <c:v>332.26233823070532</c:v>
                </c:pt>
                <c:pt idx="124">
                  <c:v>332.26233823070532</c:v>
                </c:pt>
                <c:pt idx="125">
                  <c:v>332.26233823070532</c:v>
                </c:pt>
                <c:pt idx="126">
                  <c:v>332.26233823070532</c:v>
                </c:pt>
                <c:pt idx="127">
                  <c:v>332.26233823070532</c:v>
                </c:pt>
                <c:pt idx="128">
                  <c:v>332.26233823070532</c:v>
                </c:pt>
                <c:pt idx="129">
                  <c:v>332.26233823070532</c:v>
                </c:pt>
                <c:pt idx="130">
                  <c:v>332.26233823070532</c:v>
                </c:pt>
                <c:pt idx="131">
                  <c:v>332.26233823070532</c:v>
                </c:pt>
                <c:pt idx="132">
                  <c:v>332.26233823070532</c:v>
                </c:pt>
                <c:pt idx="133">
                  <c:v>332.26233823070532</c:v>
                </c:pt>
                <c:pt idx="134">
                  <c:v>332.26233823070532</c:v>
                </c:pt>
                <c:pt idx="135">
                  <c:v>332.26233823070532</c:v>
                </c:pt>
                <c:pt idx="136">
                  <c:v>332.26233823070532</c:v>
                </c:pt>
                <c:pt idx="137">
                  <c:v>332.26233823070532</c:v>
                </c:pt>
                <c:pt idx="138">
                  <c:v>332.26233823070532</c:v>
                </c:pt>
                <c:pt idx="139">
                  <c:v>332.26233823070532</c:v>
                </c:pt>
                <c:pt idx="140">
                  <c:v>332.26233823070532</c:v>
                </c:pt>
                <c:pt idx="141">
                  <c:v>332.26233823070532</c:v>
                </c:pt>
                <c:pt idx="142">
                  <c:v>332.26233823070532</c:v>
                </c:pt>
                <c:pt idx="143">
                  <c:v>332.26233823070532</c:v>
                </c:pt>
                <c:pt idx="144">
                  <c:v>332.26233823070532</c:v>
                </c:pt>
                <c:pt idx="145">
                  <c:v>332.26233823070532</c:v>
                </c:pt>
                <c:pt idx="146">
                  <c:v>332.26233823070532</c:v>
                </c:pt>
                <c:pt idx="147">
                  <c:v>332.26233823070532</c:v>
                </c:pt>
                <c:pt idx="148">
                  <c:v>332.26233823070532</c:v>
                </c:pt>
                <c:pt idx="149">
                  <c:v>332.26233823070532</c:v>
                </c:pt>
                <c:pt idx="150">
                  <c:v>332.26233823070532</c:v>
                </c:pt>
                <c:pt idx="151">
                  <c:v>332.26233823070532</c:v>
                </c:pt>
                <c:pt idx="152">
                  <c:v>332.26233823070532</c:v>
                </c:pt>
                <c:pt idx="153">
                  <c:v>332.26233823070532</c:v>
                </c:pt>
                <c:pt idx="154">
                  <c:v>332.26233823070532</c:v>
                </c:pt>
                <c:pt idx="155">
                  <c:v>332.26233823070532</c:v>
                </c:pt>
                <c:pt idx="156">
                  <c:v>332.26233823070532</c:v>
                </c:pt>
                <c:pt idx="157">
                  <c:v>332.26233823070532</c:v>
                </c:pt>
                <c:pt idx="158">
                  <c:v>332.26233823070532</c:v>
                </c:pt>
                <c:pt idx="159">
                  <c:v>332.26233823070532</c:v>
                </c:pt>
                <c:pt idx="160">
                  <c:v>332.26233823070532</c:v>
                </c:pt>
                <c:pt idx="161">
                  <c:v>332.26233823070532</c:v>
                </c:pt>
                <c:pt idx="162">
                  <c:v>332.26233823070532</c:v>
                </c:pt>
                <c:pt idx="163">
                  <c:v>332.26233823070532</c:v>
                </c:pt>
                <c:pt idx="164">
                  <c:v>332.26233823070532</c:v>
                </c:pt>
                <c:pt idx="165">
                  <c:v>332.26233823070532</c:v>
                </c:pt>
                <c:pt idx="166">
                  <c:v>332.26233823070532</c:v>
                </c:pt>
                <c:pt idx="167">
                  <c:v>332.26233823070532</c:v>
                </c:pt>
                <c:pt idx="168">
                  <c:v>332.26233823070532</c:v>
                </c:pt>
                <c:pt idx="169">
                  <c:v>332.26233823070532</c:v>
                </c:pt>
                <c:pt idx="170">
                  <c:v>332.26233823070532</c:v>
                </c:pt>
                <c:pt idx="171">
                  <c:v>332.26233823070532</c:v>
                </c:pt>
                <c:pt idx="172">
                  <c:v>332.26233823070532</c:v>
                </c:pt>
                <c:pt idx="173">
                  <c:v>332.26233823070532</c:v>
                </c:pt>
                <c:pt idx="174">
                  <c:v>332.26233823070532</c:v>
                </c:pt>
                <c:pt idx="175">
                  <c:v>332.26233823070532</c:v>
                </c:pt>
                <c:pt idx="176">
                  <c:v>332.26233823070532</c:v>
                </c:pt>
                <c:pt idx="177">
                  <c:v>332.26233823070532</c:v>
                </c:pt>
                <c:pt idx="178">
                  <c:v>332.26233823070532</c:v>
                </c:pt>
                <c:pt idx="179">
                  <c:v>332.26233823070532</c:v>
                </c:pt>
                <c:pt idx="180">
                  <c:v>332.26233823070532</c:v>
                </c:pt>
                <c:pt idx="181">
                  <c:v>332.26233823070532</c:v>
                </c:pt>
                <c:pt idx="182">
                  <c:v>332.26233823070532</c:v>
                </c:pt>
                <c:pt idx="183">
                  <c:v>332.26233823070532</c:v>
                </c:pt>
                <c:pt idx="184">
                  <c:v>332.26233823070532</c:v>
                </c:pt>
                <c:pt idx="185">
                  <c:v>332.26233823070532</c:v>
                </c:pt>
                <c:pt idx="186">
                  <c:v>332.26233823070532</c:v>
                </c:pt>
                <c:pt idx="187">
                  <c:v>332.26233823070532</c:v>
                </c:pt>
                <c:pt idx="188">
                  <c:v>332.26233823070532</c:v>
                </c:pt>
                <c:pt idx="189">
                  <c:v>332.26233823070532</c:v>
                </c:pt>
                <c:pt idx="190">
                  <c:v>332.26233823070532</c:v>
                </c:pt>
                <c:pt idx="191">
                  <c:v>332.26233823070532</c:v>
                </c:pt>
                <c:pt idx="192">
                  <c:v>332.26233823070532</c:v>
                </c:pt>
                <c:pt idx="193">
                  <c:v>332.26233823070532</c:v>
                </c:pt>
                <c:pt idx="194">
                  <c:v>332.26233823070532</c:v>
                </c:pt>
                <c:pt idx="195">
                  <c:v>332.26233823070532</c:v>
                </c:pt>
                <c:pt idx="196">
                  <c:v>332.26233823070532</c:v>
                </c:pt>
                <c:pt idx="197">
                  <c:v>332.26233823070532</c:v>
                </c:pt>
                <c:pt idx="198">
                  <c:v>332.26233823070532</c:v>
                </c:pt>
                <c:pt idx="199">
                  <c:v>332.26233823070532</c:v>
                </c:pt>
                <c:pt idx="200">
                  <c:v>332.26233823070532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1.9458220534450461</c:v>
                </c:pt>
                <c:pt idx="2">
                  <c:v>2.6052688850930608</c:v>
                </c:pt>
                <c:pt idx="3">
                  <c:v>3.4891415557971848</c:v>
                </c:pt>
                <c:pt idx="4">
                  <c:v>4.6741181602470476</c:v>
                </c:pt>
                <c:pt idx="5">
                  <c:v>6.2631708985707881</c:v>
                </c:pt>
                <c:pt idx="6">
                  <c:v>8.3946132843882353</c:v>
                </c:pt>
                <c:pt idx="7">
                  <c:v>11.254269980071941</c:v>
                </c:pt>
                <c:pt idx="8">
                  <c:v>15.091850089369855</c:v>
                </c:pt>
                <c:pt idx="9">
                  <c:v>20.242979807927657</c:v>
                </c:pt>
                <c:pt idx="10">
                  <c:v>27.158855862714148</c:v>
                </c:pt>
                <c:pt idx="11">
                  <c:v>36.446162634511545</c:v>
                </c:pt>
                <c:pt idx="12">
                  <c:v>48.920814605502024</c:v>
                </c:pt>
                <c:pt idx="13">
                  <c:v>65.680324592462512</c:v>
                </c:pt>
                <c:pt idx="14">
                  <c:v>88.201268835208964</c:v>
                </c:pt>
                <c:pt idx="15">
                  <c:v>118.47057319245452</c:v>
                </c:pt>
                <c:pt idx="16">
                  <c:v>159.16238397770385</c:v>
                </c:pt>
                <c:pt idx="17">
                  <c:v>213.87638708828857</c:v>
                </c:pt>
                <c:pt idx="18">
                  <c:v>249.45083193351374</c:v>
                </c:pt>
                <c:pt idx="19">
                  <c:v>191.70629212824224</c:v>
                </c:pt>
                <c:pt idx="20">
                  <c:v>224.21412124760153</c:v>
                </c:pt>
                <c:pt idx="21">
                  <c:v>256.61377815964903</c:v>
                </c:pt>
                <c:pt idx="22">
                  <c:v>288.92084404193173</c:v>
                </c:pt>
                <c:pt idx="23">
                  <c:v>321.14712390710332</c:v>
                </c:pt>
                <c:pt idx="24">
                  <c:v>353.30185772822512</c:v>
                </c:pt>
                <c:pt idx="25">
                  <c:v>326.3543163378294</c:v>
                </c:pt>
                <c:pt idx="26">
                  <c:v>360.75594324759282</c:v>
                </c:pt>
                <c:pt idx="27">
                  <c:v>395.08583028956542</c:v>
                </c:pt>
                <c:pt idx="28">
                  <c:v>429.35107936368263</c:v>
                </c:pt>
                <c:pt idx="29">
                  <c:v>463.55756684766487</c:v>
                </c:pt>
                <c:pt idx="30">
                  <c:v>497.71023178052701</c:v>
                </c:pt>
                <c:pt idx="31">
                  <c:v>435.68351151059488</c:v>
                </c:pt>
                <c:pt idx="32">
                  <c:v>469.69197316489391</c:v>
                </c:pt>
                <c:pt idx="33">
                  <c:v>503.64799795470162</c:v>
                </c:pt>
                <c:pt idx="34">
                  <c:v>537.55561252775112</c:v>
                </c:pt>
                <c:pt idx="35">
                  <c:v>571.41829472308314</c:v>
                </c:pt>
                <c:pt idx="36">
                  <c:v>605.23907710876153</c:v>
                </c:pt>
                <c:pt idx="37">
                  <c:v>537.00784127826716</c:v>
                </c:pt>
                <c:pt idx="38">
                  <c:v>570.20016327230462</c:v>
                </c:pt>
                <c:pt idx="39">
                  <c:v>603.35213343256157</c:v>
                </c:pt>
                <c:pt idx="40">
                  <c:v>636.46627691773801</c:v>
                </c:pt>
                <c:pt idx="41">
                  <c:v>669.54483509592194</c:v>
                </c:pt>
                <c:pt idx="42">
                  <c:v>702.58981015801282</c:v>
                </c:pt>
                <c:pt idx="43">
                  <c:v>627.08345171628036</c:v>
                </c:pt>
                <c:pt idx="44">
                  <c:v>659.00252576221885</c:v>
                </c:pt>
                <c:pt idx="45">
                  <c:v>690.88977874756938</c:v>
                </c:pt>
                <c:pt idx="46">
                  <c:v>722.74688334869063</c:v>
                </c:pt>
                <c:pt idx="47">
                  <c:v>754.57535300520556</c:v>
                </c:pt>
                <c:pt idx="48">
                  <c:v>786.3765632872063</c:v>
                </c:pt>
                <c:pt idx="49">
                  <c:v>697.55164646215064</c:v>
                </c:pt>
                <c:pt idx="50">
                  <c:v>727.76378638109611</c:v>
                </c:pt>
                <c:pt idx="51">
                  <c:v>757.95036730683603</c:v>
                </c:pt>
                <c:pt idx="52">
                  <c:v>788.11254862353928</c:v>
                </c:pt>
                <c:pt idx="53">
                  <c:v>818.25139388662035</c:v>
                </c:pt>
                <c:pt idx="54">
                  <c:v>848.36788205009941</c:v>
                </c:pt>
                <c:pt idx="55">
                  <c:v>1.2574858937744013</c:v>
                </c:pt>
                <c:pt idx="56">
                  <c:v>1.2574858937744013</c:v>
                </c:pt>
                <c:pt idx="57">
                  <c:v>1.2574858937744013</c:v>
                </c:pt>
                <c:pt idx="58">
                  <c:v>1.2574858937744013</c:v>
                </c:pt>
                <c:pt idx="59">
                  <c:v>1.2574858937744013</c:v>
                </c:pt>
                <c:pt idx="60">
                  <c:v>1.2574858937744013</c:v>
                </c:pt>
                <c:pt idx="61">
                  <c:v>1.2574858937744013</c:v>
                </c:pt>
                <c:pt idx="62">
                  <c:v>1.2574858937744013</c:v>
                </c:pt>
                <c:pt idx="63">
                  <c:v>1.2574858937744013</c:v>
                </c:pt>
                <c:pt idx="64">
                  <c:v>1.2574858937744013</c:v>
                </c:pt>
                <c:pt idx="65">
                  <c:v>1.2574858937744013</c:v>
                </c:pt>
                <c:pt idx="66">
                  <c:v>1.2574858937744013</c:v>
                </c:pt>
                <c:pt idx="67">
                  <c:v>1.2574858937744013</c:v>
                </c:pt>
                <c:pt idx="68">
                  <c:v>1.2574858937744013</c:v>
                </c:pt>
                <c:pt idx="69">
                  <c:v>1.2574858937744013</c:v>
                </c:pt>
                <c:pt idx="70">
                  <c:v>1.2574858937744013</c:v>
                </c:pt>
                <c:pt idx="71">
                  <c:v>1.2574858937744013</c:v>
                </c:pt>
                <c:pt idx="72">
                  <c:v>1.2574858937744013</c:v>
                </c:pt>
                <c:pt idx="73">
                  <c:v>1.2574858937744013</c:v>
                </c:pt>
                <c:pt idx="74">
                  <c:v>1.2574858937744013</c:v>
                </c:pt>
                <c:pt idx="75">
                  <c:v>1.2574858937744013</c:v>
                </c:pt>
                <c:pt idx="76">
                  <c:v>1.2574858937744013</c:v>
                </c:pt>
                <c:pt idx="77">
                  <c:v>1.2574858937744013</c:v>
                </c:pt>
                <c:pt idx="78">
                  <c:v>1.2574858937744013</c:v>
                </c:pt>
                <c:pt idx="79">
                  <c:v>1.2574858937744013</c:v>
                </c:pt>
                <c:pt idx="80">
                  <c:v>1.2574858937744013</c:v>
                </c:pt>
                <c:pt idx="81">
                  <c:v>1.2574858937744013</c:v>
                </c:pt>
                <c:pt idx="82">
                  <c:v>1.2574858937744013</c:v>
                </c:pt>
                <c:pt idx="83">
                  <c:v>1.2574858937744013</c:v>
                </c:pt>
                <c:pt idx="84">
                  <c:v>1.2574858937744013</c:v>
                </c:pt>
                <c:pt idx="85">
                  <c:v>1.2574858937744013</c:v>
                </c:pt>
                <c:pt idx="86">
                  <c:v>1.2574858937744013</c:v>
                </c:pt>
                <c:pt idx="87">
                  <c:v>1.2574858937744013</c:v>
                </c:pt>
                <c:pt idx="88">
                  <c:v>1.2574858937744013</c:v>
                </c:pt>
                <c:pt idx="89">
                  <c:v>1.2574858937744013</c:v>
                </c:pt>
                <c:pt idx="90">
                  <c:v>1.2574858937744013</c:v>
                </c:pt>
                <c:pt idx="91">
                  <c:v>1.2574858937744013</c:v>
                </c:pt>
                <c:pt idx="92">
                  <c:v>1.2574858937744013</c:v>
                </c:pt>
                <c:pt idx="93">
                  <c:v>1.2574858937744013</c:v>
                </c:pt>
                <c:pt idx="94">
                  <c:v>1.2574858937744013</c:v>
                </c:pt>
                <c:pt idx="95">
                  <c:v>1.2574858937744013</c:v>
                </c:pt>
                <c:pt idx="96">
                  <c:v>1.2574858937744013</c:v>
                </c:pt>
                <c:pt idx="97">
                  <c:v>1.2574858937744013</c:v>
                </c:pt>
                <c:pt idx="98">
                  <c:v>1.2574858937744013</c:v>
                </c:pt>
                <c:pt idx="99">
                  <c:v>1.2574858937744013</c:v>
                </c:pt>
                <c:pt idx="100">
                  <c:v>1.2574858937744013</c:v>
                </c:pt>
                <c:pt idx="101">
                  <c:v>1.2574858937744013</c:v>
                </c:pt>
                <c:pt idx="102">
                  <c:v>1.2574858937744013</c:v>
                </c:pt>
                <c:pt idx="103">
                  <c:v>1.2574858937744013</c:v>
                </c:pt>
                <c:pt idx="104">
                  <c:v>1.2574858937744013</c:v>
                </c:pt>
                <c:pt idx="105">
                  <c:v>1.2574858937744013</c:v>
                </c:pt>
                <c:pt idx="106">
                  <c:v>1.2574858937744013</c:v>
                </c:pt>
                <c:pt idx="107">
                  <c:v>1.2574858937744013</c:v>
                </c:pt>
                <c:pt idx="108">
                  <c:v>1.2574858937744013</c:v>
                </c:pt>
                <c:pt idx="109">
                  <c:v>1.2574858937744013</c:v>
                </c:pt>
                <c:pt idx="110">
                  <c:v>1.2574858937744013</c:v>
                </c:pt>
                <c:pt idx="111">
                  <c:v>1.2574858937744013</c:v>
                </c:pt>
                <c:pt idx="112">
                  <c:v>1.2574858937744013</c:v>
                </c:pt>
                <c:pt idx="113">
                  <c:v>1.2574858937744013</c:v>
                </c:pt>
                <c:pt idx="114">
                  <c:v>1.2574858937744013</c:v>
                </c:pt>
                <c:pt idx="115">
                  <c:v>1.2574858937744013</c:v>
                </c:pt>
                <c:pt idx="116">
                  <c:v>1.2574858937744013</c:v>
                </c:pt>
                <c:pt idx="117">
                  <c:v>1.2574858937744013</c:v>
                </c:pt>
                <c:pt idx="118">
                  <c:v>1.2574858937744013</c:v>
                </c:pt>
                <c:pt idx="119">
                  <c:v>1.2574858937744013</c:v>
                </c:pt>
                <c:pt idx="120">
                  <c:v>1.2574858937744013</c:v>
                </c:pt>
                <c:pt idx="121">
                  <c:v>1.2574858937744013</c:v>
                </c:pt>
                <c:pt idx="122">
                  <c:v>1.2574858937744013</c:v>
                </c:pt>
                <c:pt idx="123">
                  <c:v>1.2574858937744013</c:v>
                </c:pt>
                <c:pt idx="124">
                  <c:v>1.2574858937744013</c:v>
                </c:pt>
                <c:pt idx="125">
                  <c:v>1.2574858937744013</c:v>
                </c:pt>
                <c:pt idx="126">
                  <c:v>1.2574858937744013</c:v>
                </c:pt>
                <c:pt idx="127">
                  <c:v>1.2574858937744013</c:v>
                </c:pt>
                <c:pt idx="128">
                  <c:v>1.2574858937744013</c:v>
                </c:pt>
                <c:pt idx="129">
                  <c:v>1.2574858937744013</c:v>
                </c:pt>
                <c:pt idx="130">
                  <c:v>1.2574858937744013</c:v>
                </c:pt>
                <c:pt idx="131">
                  <c:v>1.2574858937744013</c:v>
                </c:pt>
                <c:pt idx="132">
                  <c:v>1.2574858937744013</c:v>
                </c:pt>
                <c:pt idx="133">
                  <c:v>1.2574858937744013</c:v>
                </c:pt>
                <c:pt idx="134">
                  <c:v>1.2574858937744013</c:v>
                </c:pt>
                <c:pt idx="135">
                  <c:v>1.2574858937744013</c:v>
                </c:pt>
                <c:pt idx="136">
                  <c:v>1.2574858937744013</c:v>
                </c:pt>
                <c:pt idx="137">
                  <c:v>1.2574858937744013</c:v>
                </c:pt>
                <c:pt idx="138">
                  <c:v>1.2574858937744013</c:v>
                </c:pt>
                <c:pt idx="139">
                  <c:v>1.2574858937744013</c:v>
                </c:pt>
                <c:pt idx="140">
                  <c:v>1.2574858937744013</c:v>
                </c:pt>
                <c:pt idx="141">
                  <c:v>1.2574858937744013</c:v>
                </c:pt>
                <c:pt idx="142">
                  <c:v>1.2574858937744013</c:v>
                </c:pt>
                <c:pt idx="143">
                  <c:v>1.2574858937744013</c:v>
                </c:pt>
                <c:pt idx="144">
                  <c:v>1.2574858937744013</c:v>
                </c:pt>
                <c:pt idx="145">
                  <c:v>1.2574858937744013</c:v>
                </c:pt>
                <c:pt idx="146">
                  <c:v>1.2574858937744013</c:v>
                </c:pt>
                <c:pt idx="147">
                  <c:v>1.2574858937744013</c:v>
                </c:pt>
                <c:pt idx="148">
                  <c:v>1.2574858937744013</c:v>
                </c:pt>
                <c:pt idx="149">
                  <c:v>1.2574858937744013</c:v>
                </c:pt>
                <c:pt idx="150">
                  <c:v>1.2574858937744013</c:v>
                </c:pt>
                <c:pt idx="151">
                  <c:v>1.2574858937744013</c:v>
                </c:pt>
                <c:pt idx="152">
                  <c:v>1.2574858937744013</c:v>
                </c:pt>
                <c:pt idx="153">
                  <c:v>1.2574858937744013</c:v>
                </c:pt>
                <c:pt idx="154">
                  <c:v>1.2574858937744013</c:v>
                </c:pt>
                <c:pt idx="155">
                  <c:v>1.2574858937744013</c:v>
                </c:pt>
                <c:pt idx="156">
                  <c:v>1.2574858937744013</c:v>
                </c:pt>
                <c:pt idx="157">
                  <c:v>1.2574858937744013</c:v>
                </c:pt>
                <c:pt idx="158">
                  <c:v>1.2574858937744013</c:v>
                </c:pt>
                <c:pt idx="159">
                  <c:v>1.2574858937744013</c:v>
                </c:pt>
                <c:pt idx="160">
                  <c:v>1.2574858937744013</c:v>
                </c:pt>
                <c:pt idx="161">
                  <c:v>1.2574858937744013</c:v>
                </c:pt>
                <c:pt idx="162">
                  <c:v>1.2574858937744013</c:v>
                </c:pt>
                <c:pt idx="163">
                  <c:v>1.2574858937744013</c:v>
                </c:pt>
                <c:pt idx="164">
                  <c:v>1.2574858937744013</c:v>
                </c:pt>
                <c:pt idx="165">
                  <c:v>1.2574858937744013</c:v>
                </c:pt>
                <c:pt idx="166">
                  <c:v>1.2574858937744013</c:v>
                </c:pt>
                <c:pt idx="167">
                  <c:v>1.2574858937744013</c:v>
                </c:pt>
                <c:pt idx="168">
                  <c:v>1.2574858937744013</c:v>
                </c:pt>
                <c:pt idx="169">
                  <c:v>1.2574858937744013</c:v>
                </c:pt>
                <c:pt idx="170">
                  <c:v>1.2574858937744013</c:v>
                </c:pt>
                <c:pt idx="171">
                  <c:v>1.2574858937744013</c:v>
                </c:pt>
                <c:pt idx="172">
                  <c:v>1.2574858937744013</c:v>
                </c:pt>
                <c:pt idx="173">
                  <c:v>1.2574858937744013</c:v>
                </c:pt>
                <c:pt idx="174">
                  <c:v>1.2574858937744013</c:v>
                </c:pt>
                <c:pt idx="175">
                  <c:v>1.2574858937744013</c:v>
                </c:pt>
                <c:pt idx="176">
                  <c:v>1.2574858937744013</c:v>
                </c:pt>
                <c:pt idx="177">
                  <c:v>1.2574858937744013</c:v>
                </c:pt>
                <c:pt idx="178">
                  <c:v>1.2574858937744013</c:v>
                </c:pt>
                <c:pt idx="179">
                  <c:v>1.2574858937744013</c:v>
                </c:pt>
                <c:pt idx="180">
                  <c:v>1.2574858937744013</c:v>
                </c:pt>
                <c:pt idx="181">
                  <c:v>1.2574858937744013</c:v>
                </c:pt>
                <c:pt idx="182">
                  <c:v>1.2574858937744013</c:v>
                </c:pt>
                <c:pt idx="183">
                  <c:v>1.2574858937744013</c:v>
                </c:pt>
                <c:pt idx="184">
                  <c:v>1.2574858937744013</c:v>
                </c:pt>
                <c:pt idx="185">
                  <c:v>1.2574858937744013</c:v>
                </c:pt>
                <c:pt idx="186">
                  <c:v>1.2574858937744013</c:v>
                </c:pt>
                <c:pt idx="187">
                  <c:v>1.2574858937744013</c:v>
                </c:pt>
                <c:pt idx="188">
                  <c:v>1.2574858937744013</c:v>
                </c:pt>
                <c:pt idx="189">
                  <c:v>1.2574858937744013</c:v>
                </c:pt>
                <c:pt idx="190">
                  <c:v>1.2574858937744013</c:v>
                </c:pt>
                <c:pt idx="191">
                  <c:v>1.2574858937744013</c:v>
                </c:pt>
                <c:pt idx="192">
                  <c:v>1.2574858937744013</c:v>
                </c:pt>
                <c:pt idx="193">
                  <c:v>1.2574858937744013</c:v>
                </c:pt>
                <c:pt idx="194">
                  <c:v>1.2574858937744013</c:v>
                </c:pt>
                <c:pt idx="195">
                  <c:v>1.2574858937744013</c:v>
                </c:pt>
                <c:pt idx="196">
                  <c:v>1.2574858937744013</c:v>
                </c:pt>
                <c:pt idx="197">
                  <c:v>1.2574858937744013</c:v>
                </c:pt>
                <c:pt idx="198">
                  <c:v>1.2574858937744013</c:v>
                </c:pt>
                <c:pt idx="199">
                  <c:v>1.2574858937744013</c:v>
                </c:pt>
                <c:pt idx="200">
                  <c:v>1.2574858937744013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45.045722811468245</c:v>
                </c:pt>
                <c:pt idx="12">
                  <c:v>68.918116010042766</c:v>
                </c:pt>
                <c:pt idx="13">
                  <c:v>92.57439481805693</c:v>
                </c:pt>
                <c:pt idx="14">
                  <c:v>116.07848211116128</c:v>
                </c:pt>
                <c:pt idx="15">
                  <c:v>139.46576938145776</c:v>
                </c:pt>
                <c:pt idx="16">
                  <c:v>97.737484153486875</c:v>
                </c:pt>
                <c:pt idx="17">
                  <c:v>123.45843862619604</c:v>
                </c:pt>
                <c:pt idx="18">
                  <c:v>149.0486227432686</c:v>
                </c:pt>
                <c:pt idx="19">
                  <c:v>174.53373816678013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578.16625888120927</c:v>
                </c:pt>
                <c:pt idx="77">
                  <c:v>584.35868631619962</c:v>
                </c:pt>
                <c:pt idx="78">
                  <c:v>590.54974621713279</c:v>
                </c:pt>
                <c:pt idx="79">
                  <c:v>596.73945494670363</c:v>
                </c:pt>
                <c:pt idx="80">
                  <c:v>602.92782850038679</c:v>
                </c:pt>
                <c:pt idx="81">
                  <c:v>582.81070831118348</c:v>
                </c:pt>
                <c:pt idx="82">
                  <c:v>582.81070831118348</c:v>
                </c:pt>
                <c:pt idx="83">
                  <c:v>582.81070831118348</c:v>
                </c:pt>
                <c:pt idx="84">
                  <c:v>582.81070831118348</c:v>
                </c:pt>
                <c:pt idx="85">
                  <c:v>582.81070831118348</c:v>
                </c:pt>
                <c:pt idx="86">
                  <c:v>582.81070831118348</c:v>
                </c:pt>
                <c:pt idx="87">
                  <c:v>582.81070831118348</c:v>
                </c:pt>
                <c:pt idx="88">
                  <c:v>582.81070831118348</c:v>
                </c:pt>
                <c:pt idx="89">
                  <c:v>582.81070831118348</c:v>
                </c:pt>
                <c:pt idx="90">
                  <c:v>582.81070831118348</c:v>
                </c:pt>
                <c:pt idx="91">
                  <c:v>582.81070831118348</c:v>
                </c:pt>
                <c:pt idx="92">
                  <c:v>582.81070831118348</c:v>
                </c:pt>
                <c:pt idx="93">
                  <c:v>582.81070831118348</c:v>
                </c:pt>
                <c:pt idx="94">
                  <c:v>582.81070831118348</c:v>
                </c:pt>
                <c:pt idx="95">
                  <c:v>582.81070831118348</c:v>
                </c:pt>
                <c:pt idx="96">
                  <c:v>582.81070831118348</c:v>
                </c:pt>
                <c:pt idx="97">
                  <c:v>582.81070831118348</c:v>
                </c:pt>
                <c:pt idx="98">
                  <c:v>582.81070831118348</c:v>
                </c:pt>
                <c:pt idx="99">
                  <c:v>582.81070831118348</c:v>
                </c:pt>
                <c:pt idx="100">
                  <c:v>582.81070831118348</c:v>
                </c:pt>
                <c:pt idx="101">
                  <c:v>582.81070831118348</c:v>
                </c:pt>
                <c:pt idx="102">
                  <c:v>582.81070831118348</c:v>
                </c:pt>
                <c:pt idx="103">
                  <c:v>582.81070831118348</c:v>
                </c:pt>
                <c:pt idx="104">
                  <c:v>582.81070831118348</c:v>
                </c:pt>
                <c:pt idx="105">
                  <c:v>582.81070831118348</c:v>
                </c:pt>
                <c:pt idx="106">
                  <c:v>582.81070831118348</c:v>
                </c:pt>
                <c:pt idx="107">
                  <c:v>582.81070831118348</c:v>
                </c:pt>
                <c:pt idx="108">
                  <c:v>582.81070831118348</c:v>
                </c:pt>
                <c:pt idx="109">
                  <c:v>582.81070831118348</c:v>
                </c:pt>
                <c:pt idx="110">
                  <c:v>582.81070831118348</c:v>
                </c:pt>
                <c:pt idx="111">
                  <c:v>582.81070831118348</c:v>
                </c:pt>
                <c:pt idx="112">
                  <c:v>582.81070831118348</c:v>
                </c:pt>
                <c:pt idx="113">
                  <c:v>582.81070831118348</c:v>
                </c:pt>
                <c:pt idx="114">
                  <c:v>582.81070831118348</c:v>
                </c:pt>
                <c:pt idx="115">
                  <c:v>582.81070831118348</c:v>
                </c:pt>
                <c:pt idx="116">
                  <c:v>582.81070831118348</c:v>
                </c:pt>
                <c:pt idx="117">
                  <c:v>582.81070831118348</c:v>
                </c:pt>
                <c:pt idx="118">
                  <c:v>582.81070831118348</c:v>
                </c:pt>
                <c:pt idx="119">
                  <c:v>582.81070831118348</c:v>
                </c:pt>
                <c:pt idx="120">
                  <c:v>582.81070831118348</c:v>
                </c:pt>
                <c:pt idx="121">
                  <c:v>582.81070831118348</c:v>
                </c:pt>
                <c:pt idx="122">
                  <c:v>582.81070831118348</c:v>
                </c:pt>
                <c:pt idx="123">
                  <c:v>582.81070831118348</c:v>
                </c:pt>
                <c:pt idx="124">
                  <c:v>582.81070831118348</c:v>
                </c:pt>
                <c:pt idx="125">
                  <c:v>582.81070831118348</c:v>
                </c:pt>
                <c:pt idx="126">
                  <c:v>582.81070831118348</c:v>
                </c:pt>
                <c:pt idx="127">
                  <c:v>582.81070831118348</c:v>
                </c:pt>
                <c:pt idx="128">
                  <c:v>582.81070831118348</c:v>
                </c:pt>
                <c:pt idx="129">
                  <c:v>582.81070831118348</c:v>
                </c:pt>
                <c:pt idx="130">
                  <c:v>582.81070831118348</c:v>
                </c:pt>
                <c:pt idx="131">
                  <c:v>582.81070831118348</c:v>
                </c:pt>
                <c:pt idx="132">
                  <c:v>582.81070831118348</c:v>
                </c:pt>
                <c:pt idx="133">
                  <c:v>582.81070831118348</c:v>
                </c:pt>
                <c:pt idx="134">
                  <c:v>582.81070831118348</c:v>
                </c:pt>
                <c:pt idx="135">
                  <c:v>582.81070831118348</c:v>
                </c:pt>
                <c:pt idx="136">
                  <c:v>582.81070831118348</c:v>
                </c:pt>
                <c:pt idx="137">
                  <c:v>582.81070831118348</c:v>
                </c:pt>
                <c:pt idx="138">
                  <c:v>582.81070831118348</c:v>
                </c:pt>
                <c:pt idx="139">
                  <c:v>582.81070831118348</c:v>
                </c:pt>
                <c:pt idx="140">
                  <c:v>582.81070831118348</c:v>
                </c:pt>
                <c:pt idx="141">
                  <c:v>582.81070831118348</c:v>
                </c:pt>
                <c:pt idx="142">
                  <c:v>582.81070831118348</c:v>
                </c:pt>
                <c:pt idx="143">
                  <c:v>582.81070831118348</c:v>
                </c:pt>
                <c:pt idx="144">
                  <c:v>582.81070831118348</c:v>
                </c:pt>
                <c:pt idx="145">
                  <c:v>582.81070831118348</c:v>
                </c:pt>
                <c:pt idx="146">
                  <c:v>582.81070831118348</c:v>
                </c:pt>
                <c:pt idx="147">
                  <c:v>582.81070831118348</c:v>
                </c:pt>
                <c:pt idx="148">
                  <c:v>582.81070831118348</c:v>
                </c:pt>
                <c:pt idx="149">
                  <c:v>582.81070831118348</c:v>
                </c:pt>
                <c:pt idx="150">
                  <c:v>582.81070831118348</c:v>
                </c:pt>
                <c:pt idx="151">
                  <c:v>582.81070831118348</c:v>
                </c:pt>
                <c:pt idx="152">
                  <c:v>582.81070831118348</c:v>
                </c:pt>
                <c:pt idx="153">
                  <c:v>582.81070831118348</c:v>
                </c:pt>
                <c:pt idx="154">
                  <c:v>582.81070831118348</c:v>
                </c:pt>
                <c:pt idx="155">
                  <c:v>582.81070831118348</c:v>
                </c:pt>
                <c:pt idx="156">
                  <c:v>582.81070831118348</c:v>
                </c:pt>
                <c:pt idx="157">
                  <c:v>582.81070831118348</c:v>
                </c:pt>
                <c:pt idx="158">
                  <c:v>582.81070831118348</c:v>
                </c:pt>
                <c:pt idx="159">
                  <c:v>582.81070831118348</c:v>
                </c:pt>
                <c:pt idx="160">
                  <c:v>582.81070831118348</c:v>
                </c:pt>
                <c:pt idx="161">
                  <c:v>582.81070831118348</c:v>
                </c:pt>
                <c:pt idx="162">
                  <c:v>582.81070831118348</c:v>
                </c:pt>
                <c:pt idx="163">
                  <c:v>582.81070831118348</c:v>
                </c:pt>
                <c:pt idx="164">
                  <c:v>582.81070831118348</c:v>
                </c:pt>
                <c:pt idx="165">
                  <c:v>582.81070831118348</c:v>
                </c:pt>
                <c:pt idx="166">
                  <c:v>582.81070831118348</c:v>
                </c:pt>
                <c:pt idx="167">
                  <c:v>582.81070831118348</c:v>
                </c:pt>
                <c:pt idx="168">
                  <c:v>582.81070831118348</c:v>
                </c:pt>
                <c:pt idx="169">
                  <c:v>582.81070831118348</c:v>
                </c:pt>
                <c:pt idx="170">
                  <c:v>582.81070831118348</c:v>
                </c:pt>
                <c:pt idx="171">
                  <c:v>582.81070831118348</c:v>
                </c:pt>
                <c:pt idx="172">
                  <c:v>582.81070831118348</c:v>
                </c:pt>
                <c:pt idx="173">
                  <c:v>582.81070831118348</c:v>
                </c:pt>
                <c:pt idx="174">
                  <c:v>582.81070831118348</c:v>
                </c:pt>
                <c:pt idx="175">
                  <c:v>582.81070831118348</c:v>
                </c:pt>
                <c:pt idx="176">
                  <c:v>582.81070831118348</c:v>
                </c:pt>
                <c:pt idx="177">
                  <c:v>582.81070831118348</c:v>
                </c:pt>
                <c:pt idx="178">
                  <c:v>582.81070831118348</c:v>
                </c:pt>
                <c:pt idx="179">
                  <c:v>582.81070831118348</c:v>
                </c:pt>
                <c:pt idx="180">
                  <c:v>582.81070831118348</c:v>
                </c:pt>
                <c:pt idx="181">
                  <c:v>582.81070831118348</c:v>
                </c:pt>
                <c:pt idx="182">
                  <c:v>582.81070831118348</c:v>
                </c:pt>
                <c:pt idx="183">
                  <c:v>582.81070831118348</c:v>
                </c:pt>
                <c:pt idx="184">
                  <c:v>582.81070831118348</c:v>
                </c:pt>
                <c:pt idx="185">
                  <c:v>582.81070831118348</c:v>
                </c:pt>
                <c:pt idx="186">
                  <c:v>582.81070831118348</c:v>
                </c:pt>
                <c:pt idx="187">
                  <c:v>582.81070831118348</c:v>
                </c:pt>
                <c:pt idx="188">
                  <c:v>582.81070831118348</c:v>
                </c:pt>
                <c:pt idx="189">
                  <c:v>582.81070831118348</c:v>
                </c:pt>
                <c:pt idx="190">
                  <c:v>582.81070831118348</c:v>
                </c:pt>
                <c:pt idx="191">
                  <c:v>582.81070831118348</c:v>
                </c:pt>
                <c:pt idx="192">
                  <c:v>582.81070831118348</c:v>
                </c:pt>
                <c:pt idx="193">
                  <c:v>582.81070831118348</c:v>
                </c:pt>
                <c:pt idx="194">
                  <c:v>582.81070831118348</c:v>
                </c:pt>
                <c:pt idx="195">
                  <c:v>582.81070831118348</c:v>
                </c:pt>
                <c:pt idx="196">
                  <c:v>582.81070831118348</c:v>
                </c:pt>
                <c:pt idx="197">
                  <c:v>582.81070831118348</c:v>
                </c:pt>
                <c:pt idx="198">
                  <c:v>582.81070831118348</c:v>
                </c:pt>
                <c:pt idx="199">
                  <c:v>582.81070831118348</c:v>
                </c:pt>
                <c:pt idx="200">
                  <c:v>582.81070831118348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2.4666401082077529</c:v>
                </c:pt>
                <c:pt idx="2">
                  <c:v>3.038131488248808</c:v>
                </c:pt>
                <c:pt idx="3">
                  <c:v>3.7425387547668367</c:v>
                </c:pt>
                <c:pt idx="4">
                  <c:v>4.6108866206039663</c:v>
                </c:pt>
                <c:pt idx="5">
                  <c:v>5.6814658439892973</c:v>
                </c:pt>
                <c:pt idx="6">
                  <c:v>7.0015402599437531</c:v>
                </c:pt>
                <c:pt idx="7">
                  <c:v>8.6294560019543258</c:v>
                </c:pt>
                <c:pt idx="8">
                  <c:v>10.637247922670763</c:v>
                </c:pt>
                <c:pt idx="9">
                  <c:v>13.113860719985803</c:v>
                </c:pt>
                <c:pt idx="10">
                  <c:v>16.169130111381239</c:v>
                </c:pt>
                <c:pt idx="11">
                  <c:v>19.938703844324056</c:v>
                </c:pt>
                <c:pt idx="12">
                  <c:v>24.590124955629083</c:v>
                </c:pt>
                <c:pt idx="13">
                  <c:v>30.33035244444093</c:v>
                </c:pt>
                <c:pt idx="14">
                  <c:v>37.415059812099081</c:v>
                </c:pt>
                <c:pt idx="15">
                  <c:v>46.160132732540724</c:v>
                </c:pt>
                <c:pt idx="16">
                  <c:v>53.544050503850364</c:v>
                </c:pt>
                <c:pt idx="17">
                  <c:v>64.237401598357238</c:v>
                </c:pt>
                <c:pt idx="18">
                  <c:v>74.884579280274849</c:v>
                </c:pt>
                <c:pt idx="19">
                  <c:v>85.493098566478125</c:v>
                </c:pt>
                <c:pt idx="20">
                  <c:v>96.068445641261476</c:v>
                </c:pt>
                <c:pt idx="21">
                  <c:v>80.193291162399461</c:v>
                </c:pt>
                <c:pt idx="22">
                  <c:v>91.886046932171325</c:v>
                </c:pt>
                <c:pt idx="23">
                  <c:v>103.54156485887916</c:v>
                </c:pt>
                <c:pt idx="24">
                  <c:v>115.16463575201853</c:v>
                </c:pt>
                <c:pt idx="25">
                  <c:v>126.75900094885519</c:v>
                </c:pt>
                <c:pt idx="26">
                  <c:v>109.79548104191571</c:v>
                </c:pt>
                <c:pt idx="27">
                  <c:v>122.38693696465789</c:v>
                </c:pt>
                <c:pt idx="28">
                  <c:v>134.94687886983328</c:v>
                </c:pt>
                <c:pt idx="29">
                  <c:v>147.47865649814872</c:v>
                </c:pt>
                <c:pt idx="30">
                  <c:v>159.98500254922158</c:v>
                </c:pt>
                <c:pt idx="31">
                  <c:v>172.46818680341792</c:v>
                </c:pt>
                <c:pt idx="32">
                  <c:v>145.84557228360381</c:v>
                </c:pt>
                <c:pt idx="33">
                  <c:v>158.35509811111217</c:v>
                </c:pt>
                <c:pt idx="34">
                  <c:v>170.84118819614926</c:v>
                </c:pt>
                <c:pt idx="35">
                  <c:v>183.30579795772098</c:v>
                </c:pt>
                <c:pt idx="36">
                  <c:v>195.75059480584989</c:v>
                </c:pt>
                <c:pt idx="37">
                  <c:v>208.17701657982505</c:v>
                </c:pt>
                <c:pt idx="38">
                  <c:v>181.29426173871184</c:v>
                </c:pt>
                <c:pt idx="39">
                  <c:v>193.35586169716734</c:v>
                </c:pt>
                <c:pt idx="40">
                  <c:v>205.39996584148545</c:v>
                </c:pt>
                <c:pt idx="41">
                  <c:v>217.42774527281196</c:v>
                </c:pt>
                <c:pt idx="42">
                  <c:v>229.44023082304497</c:v>
                </c:pt>
                <c:pt idx="43">
                  <c:v>241.43833647949381</c:v>
                </c:pt>
                <c:pt idx="44">
                  <c:v>253.42287790323667</c:v>
                </c:pt>
                <c:pt idx="45">
                  <c:v>218.29453042918621</c:v>
                </c:pt>
                <c:pt idx="46">
                  <c:v>229.47870880055882</c:v>
                </c:pt>
                <c:pt idx="47">
                  <c:v>240.6504241738447</c:v>
                </c:pt>
                <c:pt idx="48">
                  <c:v>251.81033702718767</c:v>
                </c:pt>
                <c:pt idx="49">
                  <c:v>262.95904447060485</c:v>
                </c:pt>
                <c:pt idx="50">
                  <c:v>274.09708881265965</c:v>
                </c:pt>
                <c:pt idx="51">
                  <c:v>285.224964660598</c:v>
                </c:pt>
                <c:pt idx="52">
                  <c:v>296.34312485361016</c:v>
                </c:pt>
                <c:pt idx="53">
                  <c:v>254.90083615003348</c:v>
                </c:pt>
                <c:pt idx="54">
                  <c:v>264.97271844500727</c:v>
                </c:pt>
                <c:pt idx="55">
                  <c:v>275.03597041080951</c:v>
                </c:pt>
                <c:pt idx="56">
                  <c:v>285.09095256078473</c:v>
                </c:pt>
                <c:pt idx="57">
                  <c:v>295.13799788320961</c:v>
                </c:pt>
                <c:pt idx="58">
                  <c:v>305.17741482861635</c:v>
                </c:pt>
                <c:pt idx="59">
                  <c:v>315.2094898832018</c:v>
                </c:pt>
                <c:pt idx="60">
                  <c:v>325.23448979729528</c:v>
                </c:pt>
                <c:pt idx="61">
                  <c:v>284.19750247594328</c:v>
                </c:pt>
                <c:pt idx="62">
                  <c:v>293.4863491195228</c:v>
                </c:pt>
                <c:pt idx="63">
                  <c:v>302.76863479871071</c:v>
                </c:pt>
                <c:pt idx="64">
                  <c:v>312.04458917169069</c:v>
                </c:pt>
                <c:pt idx="65">
                  <c:v>321.31442711818204</c:v>
                </c:pt>
                <c:pt idx="66">
                  <c:v>330.57835009864004</c:v>
                </c:pt>
                <c:pt idx="67">
                  <c:v>339.83654735304776</c:v>
                </c:pt>
                <c:pt idx="68">
                  <c:v>349.08919696217669</c:v>
                </c:pt>
                <c:pt idx="69">
                  <c:v>358.33646679039742</c:v>
                </c:pt>
                <c:pt idx="70">
                  <c:v>358.33646679039742</c:v>
                </c:pt>
                <c:pt idx="71">
                  <c:v>358.33646679039742</c:v>
                </c:pt>
                <c:pt idx="72">
                  <c:v>358.33646679039742</c:v>
                </c:pt>
                <c:pt idx="73">
                  <c:v>358.33646679039742</c:v>
                </c:pt>
                <c:pt idx="74">
                  <c:v>358.33646679039742</c:v>
                </c:pt>
                <c:pt idx="75">
                  <c:v>358.33646679039742</c:v>
                </c:pt>
                <c:pt idx="76">
                  <c:v>358.33646679039742</c:v>
                </c:pt>
                <c:pt idx="77">
                  <c:v>358.33646679039742</c:v>
                </c:pt>
                <c:pt idx="78">
                  <c:v>358.33646679039742</c:v>
                </c:pt>
                <c:pt idx="79">
                  <c:v>358.33646679039742</c:v>
                </c:pt>
                <c:pt idx="80">
                  <c:v>358.33646679039742</c:v>
                </c:pt>
                <c:pt idx="81">
                  <c:v>358.33646679039742</c:v>
                </c:pt>
                <c:pt idx="82">
                  <c:v>358.33646679039742</c:v>
                </c:pt>
                <c:pt idx="83">
                  <c:v>358.33646679039742</c:v>
                </c:pt>
                <c:pt idx="84">
                  <c:v>358.33646679039742</c:v>
                </c:pt>
                <c:pt idx="85">
                  <c:v>358.33646679039742</c:v>
                </c:pt>
                <c:pt idx="86">
                  <c:v>358.33646679039742</c:v>
                </c:pt>
                <c:pt idx="87">
                  <c:v>358.33646679039742</c:v>
                </c:pt>
                <c:pt idx="88">
                  <c:v>358.33646679039742</c:v>
                </c:pt>
                <c:pt idx="89">
                  <c:v>358.33646679039742</c:v>
                </c:pt>
                <c:pt idx="90">
                  <c:v>358.33646679039742</c:v>
                </c:pt>
                <c:pt idx="91">
                  <c:v>358.33646679039742</c:v>
                </c:pt>
                <c:pt idx="92">
                  <c:v>358.33646679039742</c:v>
                </c:pt>
                <c:pt idx="93">
                  <c:v>358.33646679039742</c:v>
                </c:pt>
                <c:pt idx="94">
                  <c:v>358.33646679039742</c:v>
                </c:pt>
                <c:pt idx="95">
                  <c:v>358.33646679039742</c:v>
                </c:pt>
                <c:pt idx="96">
                  <c:v>358.33646679039742</c:v>
                </c:pt>
                <c:pt idx="97">
                  <c:v>358.33646679039742</c:v>
                </c:pt>
                <c:pt idx="98">
                  <c:v>358.33646679039742</c:v>
                </c:pt>
                <c:pt idx="99">
                  <c:v>358.33646679039742</c:v>
                </c:pt>
                <c:pt idx="100">
                  <c:v>358.33646679039742</c:v>
                </c:pt>
                <c:pt idx="101">
                  <c:v>358.33646679039742</c:v>
                </c:pt>
                <c:pt idx="102">
                  <c:v>358.33646679039742</c:v>
                </c:pt>
                <c:pt idx="103">
                  <c:v>358.33646679039742</c:v>
                </c:pt>
                <c:pt idx="104">
                  <c:v>358.33646679039742</c:v>
                </c:pt>
                <c:pt idx="105">
                  <c:v>358.33646679039742</c:v>
                </c:pt>
                <c:pt idx="106">
                  <c:v>358.33646679039742</c:v>
                </c:pt>
                <c:pt idx="107">
                  <c:v>358.33646679039742</c:v>
                </c:pt>
                <c:pt idx="108">
                  <c:v>358.33646679039742</c:v>
                </c:pt>
                <c:pt idx="109">
                  <c:v>358.33646679039742</c:v>
                </c:pt>
                <c:pt idx="110">
                  <c:v>358.33646679039742</c:v>
                </c:pt>
                <c:pt idx="111">
                  <c:v>358.33646679039742</c:v>
                </c:pt>
                <c:pt idx="112">
                  <c:v>358.33646679039742</c:v>
                </c:pt>
                <c:pt idx="113">
                  <c:v>358.33646679039742</c:v>
                </c:pt>
                <c:pt idx="114">
                  <c:v>358.33646679039742</c:v>
                </c:pt>
                <c:pt idx="115">
                  <c:v>358.33646679039742</c:v>
                </c:pt>
                <c:pt idx="116">
                  <c:v>358.33646679039742</c:v>
                </c:pt>
                <c:pt idx="117">
                  <c:v>358.33646679039742</c:v>
                </c:pt>
                <c:pt idx="118">
                  <c:v>358.33646679039742</c:v>
                </c:pt>
                <c:pt idx="119">
                  <c:v>358.33646679039742</c:v>
                </c:pt>
                <c:pt idx="120">
                  <c:v>358.33646679039742</c:v>
                </c:pt>
                <c:pt idx="121">
                  <c:v>358.33646679039742</c:v>
                </c:pt>
                <c:pt idx="122">
                  <c:v>358.33646679039742</c:v>
                </c:pt>
                <c:pt idx="123">
                  <c:v>358.33646679039742</c:v>
                </c:pt>
                <c:pt idx="124">
                  <c:v>358.33646679039742</c:v>
                </c:pt>
                <c:pt idx="125">
                  <c:v>358.33646679039742</c:v>
                </c:pt>
                <c:pt idx="126">
                  <c:v>358.33646679039742</c:v>
                </c:pt>
                <c:pt idx="127">
                  <c:v>358.33646679039742</c:v>
                </c:pt>
                <c:pt idx="128">
                  <c:v>358.33646679039742</c:v>
                </c:pt>
                <c:pt idx="129">
                  <c:v>358.33646679039742</c:v>
                </c:pt>
                <c:pt idx="130">
                  <c:v>358.33646679039742</c:v>
                </c:pt>
                <c:pt idx="131">
                  <c:v>358.33646679039742</c:v>
                </c:pt>
                <c:pt idx="132">
                  <c:v>358.33646679039742</c:v>
                </c:pt>
                <c:pt idx="133">
                  <c:v>358.33646679039742</c:v>
                </c:pt>
                <c:pt idx="134">
                  <c:v>358.33646679039742</c:v>
                </c:pt>
                <c:pt idx="135">
                  <c:v>358.33646679039742</c:v>
                </c:pt>
                <c:pt idx="136">
                  <c:v>358.33646679039742</c:v>
                </c:pt>
                <c:pt idx="137">
                  <c:v>358.33646679039742</c:v>
                </c:pt>
                <c:pt idx="138">
                  <c:v>358.33646679039742</c:v>
                </c:pt>
                <c:pt idx="139">
                  <c:v>358.33646679039742</c:v>
                </c:pt>
                <c:pt idx="140">
                  <c:v>358.33646679039742</c:v>
                </c:pt>
                <c:pt idx="141">
                  <c:v>358.33646679039742</c:v>
                </c:pt>
                <c:pt idx="142">
                  <c:v>358.33646679039742</c:v>
                </c:pt>
                <c:pt idx="143">
                  <c:v>358.33646679039742</c:v>
                </c:pt>
                <c:pt idx="144">
                  <c:v>358.33646679039742</c:v>
                </c:pt>
                <c:pt idx="145">
                  <c:v>358.33646679039742</c:v>
                </c:pt>
                <c:pt idx="146">
                  <c:v>358.33646679039742</c:v>
                </c:pt>
                <c:pt idx="147">
                  <c:v>358.33646679039742</c:v>
                </c:pt>
                <c:pt idx="148">
                  <c:v>358.33646679039742</c:v>
                </c:pt>
                <c:pt idx="149">
                  <c:v>358.33646679039742</c:v>
                </c:pt>
                <c:pt idx="150">
                  <c:v>358.33646679039742</c:v>
                </c:pt>
                <c:pt idx="151">
                  <c:v>358.33646679039742</c:v>
                </c:pt>
                <c:pt idx="152">
                  <c:v>358.33646679039742</c:v>
                </c:pt>
                <c:pt idx="153">
                  <c:v>358.33646679039742</c:v>
                </c:pt>
                <c:pt idx="154">
                  <c:v>358.33646679039742</c:v>
                </c:pt>
                <c:pt idx="155">
                  <c:v>358.33646679039742</c:v>
                </c:pt>
                <c:pt idx="156">
                  <c:v>358.33646679039742</c:v>
                </c:pt>
                <c:pt idx="157">
                  <c:v>358.33646679039742</c:v>
                </c:pt>
                <c:pt idx="158">
                  <c:v>358.33646679039742</c:v>
                </c:pt>
                <c:pt idx="159">
                  <c:v>358.33646679039742</c:v>
                </c:pt>
                <c:pt idx="160">
                  <c:v>358.33646679039742</c:v>
                </c:pt>
                <c:pt idx="161">
                  <c:v>358.33646679039742</c:v>
                </c:pt>
                <c:pt idx="162">
                  <c:v>358.33646679039742</c:v>
                </c:pt>
                <c:pt idx="163">
                  <c:v>358.33646679039742</c:v>
                </c:pt>
                <c:pt idx="164">
                  <c:v>358.33646679039742</c:v>
                </c:pt>
                <c:pt idx="165">
                  <c:v>358.33646679039742</c:v>
                </c:pt>
                <c:pt idx="166">
                  <c:v>358.33646679039742</c:v>
                </c:pt>
                <c:pt idx="167">
                  <c:v>358.33646679039742</c:v>
                </c:pt>
                <c:pt idx="168">
                  <c:v>358.33646679039742</c:v>
                </c:pt>
                <c:pt idx="169">
                  <c:v>358.33646679039742</c:v>
                </c:pt>
                <c:pt idx="170">
                  <c:v>358.33646679039742</c:v>
                </c:pt>
                <c:pt idx="171">
                  <c:v>358.33646679039742</c:v>
                </c:pt>
                <c:pt idx="172">
                  <c:v>358.33646679039742</c:v>
                </c:pt>
                <c:pt idx="173">
                  <c:v>358.33646679039742</c:v>
                </c:pt>
                <c:pt idx="174">
                  <c:v>358.33646679039742</c:v>
                </c:pt>
                <c:pt idx="175">
                  <c:v>358.33646679039742</c:v>
                </c:pt>
                <c:pt idx="176">
                  <c:v>358.33646679039742</c:v>
                </c:pt>
                <c:pt idx="177">
                  <c:v>358.33646679039742</c:v>
                </c:pt>
                <c:pt idx="178">
                  <c:v>358.33646679039742</c:v>
                </c:pt>
                <c:pt idx="179">
                  <c:v>358.33646679039742</c:v>
                </c:pt>
                <c:pt idx="180">
                  <c:v>358.33646679039742</c:v>
                </c:pt>
                <c:pt idx="181">
                  <c:v>358.33646679039742</c:v>
                </c:pt>
                <c:pt idx="182">
                  <c:v>358.33646679039742</c:v>
                </c:pt>
                <c:pt idx="183">
                  <c:v>358.33646679039742</c:v>
                </c:pt>
                <c:pt idx="184">
                  <c:v>358.33646679039742</c:v>
                </c:pt>
                <c:pt idx="185">
                  <c:v>358.33646679039742</c:v>
                </c:pt>
                <c:pt idx="186">
                  <c:v>358.33646679039742</c:v>
                </c:pt>
                <c:pt idx="187">
                  <c:v>358.33646679039742</c:v>
                </c:pt>
                <c:pt idx="188">
                  <c:v>358.33646679039742</c:v>
                </c:pt>
                <c:pt idx="189">
                  <c:v>358.33646679039742</c:v>
                </c:pt>
                <c:pt idx="190">
                  <c:v>358.33646679039742</c:v>
                </c:pt>
                <c:pt idx="191">
                  <c:v>358.33646679039742</c:v>
                </c:pt>
                <c:pt idx="192">
                  <c:v>358.33646679039742</c:v>
                </c:pt>
                <c:pt idx="193">
                  <c:v>358.33646679039742</c:v>
                </c:pt>
                <c:pt idx="194">
                  <c:v>358.33646679039742</c:v>
                </c:pt>
                <c:pt idx="195">
                  <c:v>358.33646679039742</c:v>
                </c:pt>
                <c:pt idx="196">
                  <c:v>358.33646679039742</c:v>
                </c:pt>
                <c:pt idx="197">
                  <c:v>358.33646679039742</c:v>
                </c:pt>
                <c:pt idx="198">
                  <c:v>358.33646679039742</c:v>
                </c:pt>
                <c:pt idx="199">
                  <c:v>358.33646679039742</c:v>
                </c:pt>
                <c:pt idx="200">
                  <c:v>358.33646679039742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2.0208949481534222</c:v>
                </c:pt>
                <c:pt idx="2">
                  <c:v>2.3577061646855002</c:v>
                </c:pt>
                <c:pt idx="3">
                  <c:v>2.7508588126286995</c:v>
                </c:pt>
                <c:pt idx="4">
                  <c:v>3.2098103987752662</c:v>
                </c:pt>
                <c:pt idx="5">
                  <c:v>3.7456111417095532</c:v>
                </c:pt>
                <c:pt idx="6">
                  <c:v>4.3711730083567595</c:v>
                </c:pt>
                <c:pt idx="7">
                  <c:v>5.1015843227521911</c:v>
                </c:pt>
                <c:pt idx="8">
                  <c:v>5.9544776864139584</c:v>
                </c:pt>
                <c:pt idx="9">
                  <c:v>6.9504602671537219</c:v>
                </c:pt>
                <c:pt idx="10">
                  <c:v>8.1136170553587554</c:v>
                </c:pt>
                <c:pt idx="11">
                  <c:v>9.4720994921390798</c:v>
                </c:pt>
                <c:pt idx="12">
                  <c:v>11.058813987247619</c:v>
                </c:pt>
                <c:pt idx="13">
                  <c:v>12.912227319047497</c:v>
                </c:pt>
                <c:pt idx="14">
                  <c:v>15.077308805743156</c:v>
                </c:pt>
                <c:pt idx="15">
                  <c:v>17.606632528912666</c:v>
                </c:pt>
                <c:pt idx="16">
                  <c:v>20.561666861769005</c:v>
                </c:pt>
                <c:pt idx="17">
                  <c:v>24.014283204748036</c:v>
                </c:pt>
                <c:pt idx="18">
                  <c:v>28.048521276189771</c:v>
                </c:pt>
                <c:pt idx="19">
                  <c:v>32.762654682197606</c:v>
                </c:pt>
                <c:pt idx="20">
                  <c:v>38.271607956729881</c:v>
                </c:pt>
                <c:pt idx="21">
                  <c:v>44.709785007467708</c:v>
                </c:pt>
                <c:pt idx="22">
                  <c:v>52.23437914394507</c:v>
                </c:pt>
                <c:pt idx="23">
                  <c:v>61.029246858330623</c:v>
                </c:pt>
                <c:pt idx="24">
                  <c:v>71.309441576655999</c:v>
                </c:pt>
                <c:pt idx="25">
                  <c:v>83.32652005133734</c:v>
                </c:pt>
                <c:pt idx="26">
                  <c:v>97.374753337149457</c:v>
                </c:pt>
                <c:pt idx="27">
                  <c:v>113.79839686587609</c:v>
                </c:pt>
                <c:pt idx="28">
                  <c:v>133.00020057621705</c:v>
                </c:pt>
                <c:pt idx="29">
                  <c:v>155.45137102908308</c:v>
                </c:pt>
                <c:pt idx="30">
                  <c:v>181.70323372213082</c:v>
                </c:pt>
                <c:pt idx="31">
                  <c:v>204.74957427507852</c:v>
                </c:pt>
                <c:pt idx="32">
                  <c:v>227.7358987610929</c:v>
                </c:pt>
                <c:pt idx="33">
                  <c:v>250.6691170337142</c:v>
                </c:pt>
                <c:pt idx="34">
                  <c:v>273.55476990137225</c:v>
                </c:pt>
                <c:pt idx="35">
                  <c:v>296.39739476894164</c:v>
                </c:pt>
                <c:pt idx="36">
                  <c:v>214.60747373346979</c:v>
                </c:pt>
                <c:pt idx="37">
                  <c:v>233.2085167315777</c:v>
                </c:pt>
                <c:pt idx="38">
                  <c:v>251.77568848584892</c:v>
                </c:pt>
                <c:pt idx="39">
                  <c:v>270.31183802527539</c:v>
                </c:pt>
                <c:pt idx="40">
                  <c:v>288.81939158560607</c:v>
                </c:pt>
                <c:pt idx="41">
                  <c:v>307.30043900165168</c:v>
                </c:pt>
                <c:pt idx="42">
                  <c:v>257.88244191916129</c:v>
                </c:pt>
                <c:pt idx="43">
                  <c:v>276.69438956287087</c:v>
                </c:pt>
                <c:pt idx="44">
                  <c:v>295.47762982342073</c:v>
                </c:pt>
                <c:pt idx="45">
                  <c:v>314.23424386745631</c:v>
                </c:pt>
                <c:pt idx="46">
                  <c:v>332.96604412455576</c:v>
                </c:pt>
                <c:pt idx="47">
                  <c:v>351.67462247182647</c:v>
                </c:pt>
                <c:pt idx="48">
                  <c:v>370.36138762256996</c:v>
                </c:pt>
                <c:pt idx="49">
                  <c:v>300.35084047589049</c:v>
                </c:pt>
                <c:pt idx="50">
                  <c:v>317.96941663472677</c:v>
                </c:pt>
                <c:pt idx="51">
                  <c:v>335.56638137693409</c:v>
                </c:pt>
                <c:pt idx="52">
                  <c:v>353.14302718269181</c:v>
                </c:pt>
                <c:pt idx="53">
                  <c:v>370.70050739109303</c:v>
                </c:pt>
                <c:pt idx="54">
                  <c:v>388.2398571970034</c:v>
                </c:pt>
                <c:pt idx="55">
                  <c:v>405.76201065466853</c:v>
                </c:pt>
                <c:pt idx="56">
                  <c:v>339.13549224203337</c:v>
                </c:pt>
                <c:pt idx="57">
                  <c:v>355.81158208407197</c:v>
                </c:pt>
                <c:pt idx="58">
                  <c:v>372.4705620238895</c:v>
                </c:pt>
                <c:pt idx="59">
                  <c:v>389.11330483793853</c:v>
                </c:pt>
                <c:pt idx="60">
                  <c:v>405.74060256745344</c:v>
                </c:pt>
                <c:pt idx="61">
                  <c:v>422.35317705792494</c:v>
                </c:pt>
                <c:pt idx="62">
                  <c:v>438.95168875384388</c:v>
                </c:pt>
                <c:pt idx="63">
                  <c:v>455.53674409391289</c:v>
                </c:pt>
                <c:pt idx="64">
                  <c:v>394.3390747859716</c:v>
                </c:pt>
                <c:pt idx="65">
                  <c:v>410.4533631865466</c:v>
                </c:pt>
                <c:pt idx="66">
                  <c:v>426.55399724286889</c:v>
                </c:pt>
                <c:pt idx="67">
                  <c:v>442.64156475766708</c:v>
                </c:pt>
                <c:pt idx="68">
                  <c:v>458.71660733467547</c:v>
                </c:pt>
                <c:pt idx="69">
                  <c:v>474.77962553495922</c:v>
                </c:pt>
                <c:pt idx="70">
                  <c:v>490.8310832992122</c:v>
                </c:pt>
                <c:pt idx="71">
                  <c:v>506.87141176158457</c:v>
                </c:pt>
                <c:pt idx="72">
                  <c:v>448.47421544089434</c:v>
                </c:pt>
                <c:pt idx="73">
                  <c:v>464.14815744680953</c:v>
                </c:pt>
                <c:pt idx="74">
                  <c:v>479.81081460409172</c:v>
                </c:pt>
                <c:pt idx="75">
                  <c:v>495.46260702941845</c:v>
                </c:pt>
                <c:pt idx="76">
                  <c:v>511.1039261417788</c:v>
                </c:pt>
                <c:pt idx="77">
                  <c:v>526.73513745920025</c:v>
                </c:pt>
                <c:pt idx="78">
                  <c:v>542.35658304633102</c:v>
                </c:pt>
                <c:pt idx="79">
                  <c:v>557.96858366546269</c:v>
                </c:pt>
                <c:pt idx="80">
                  <c:v>573.57144067438867</c:v>
                </c:pt>
                <c:pt idx="81">
                  <c:v>503.8314944527105</c:v>
                </c:pt>
                <c:pt idx="82">
                  <c:v>518.61553011876128</c:v>
                </c:pt>
                <c:pt idx="83">
                  <c:v>533.39067923560003</c:v>
                </c:pt>
                <c:pt idx="84">
                  <c:v>548.15722254159107</c:v>
                </c:pt>
                <c:pt idx="85">
                  <c:v>562.91542442271259</c:v>
                </c:pt>
                <c:pt idx="86">
                  <c:v>577.66553427768554</c:v>
                </c:pt>
                <c:pt idx="87">
                  <c:v>592.40778773648196</c:v>
                </c:pt>
                <c:pt idx="88">
                  <c:v>607.14240775128849</c:v>
                </c:pt>
                <c:pt idx="89">
                  <c:v>621.86960557611235</c:v>
                </c:pt>
                <c:pt idx="90">
                  <c:v>544.6074984859016</c:v>
                </c:pt>
                <c:pt idx="91">
                  <c:v>558.71137687549106</c:v>
                </c:pt>
                <c:pt idx="92">
                  <c:v>572.80780358316781</c:v>
                </c:pt>
                <c:pt idx="93">
                  <c:v>586.89698774931946</c:v>
                </c:pt>
                <c:pt idx="94">
                  <c:v>600.97912765864726</c:v>
                </c:pt>
                <c:pt idx="95">
                  <c:v>615.0544115500976</c:v>
                </c:pt>
                <c:pt idx="96">
                  <c:v>629.12301834883453</c:v>
                </c:pt>
                <c:pt idx="97">
                  <c:v>643.18511832936758</c:v>
                </c:pt>
                <c:pt idx="98">
                  <c:v>657.24087371770452</c:v>
                </c:pt>
                <c:pt idx="99">
                  <c:v>671.29043923934501</c:v>
                </c:pt>
                <c:pt idx="100">
                  <c:v>596.03340205894528</c:v>
                </c:pt>
                <c:pt idx="101">
                  <c:v>609.77714884530803</c:v>
                </c:pt>
                <c:pt idx="102">
                  <c:v>623.51446870155098</c:v>
                </c:pt>
                <c:pt idx="103">
                  <c:v>637.24552310889192</c:v>
                </c:pt>
                <c:pt idx="104">
                  <c:v>650.9704660256449</c:v>
                </c:pt>
                <c:pt idx="105">
                  <c:v>664.6894443922065</c:v>
                </c:pt>
                <c:pt idx="106">
                  <c:v>678.40259859220782</c:v>
                </c:pt>
                <c:pt idx="107">
                  <c:v>692.11006287446526</c:v>
                </c:pt>
                <c:pt idx="108">
                  <c:v>705.81196573978684</c:v>
                </c:pt>
                <c:pt idx="109">
                  <c:v>719.5084302962008</c:v>
                </c:pt>
                <c:pt idx="110">
                  <c:v>638.24778602893809</c:v>
                </c:pt>
                <c:pt idx="111">
                  <c:v>651.53708607097724</c:v>
                </c:pt>
                <c:pt idx="112">
                  <c:v>664.82079949919864</c:v>
                </c:pt>
                <c:pt idx="113">
                  <c:v>678.0990536096873</c:v>
                </c:pt>
                <c:pt idx="114">
                  <c:v>691.37197030948164</c:v>
                </c:pt>
                <c:pt idx="115">
                  <c:v>704.63966644594893</c:v>
                </c:pt>
                <c:pt idx="116">
                  <c:v>717.9022541100768</c:v>
                </c:pt>
                <c:pt idx="117">
                  <c:v>731.15984091620464</c:v>
                </c:pt>
                <c:pt idx="118">
                  <c:v>744.41253026042432</c:v>
                </c:pt>
                <c:pt idx="119">
                  <c:v>757.66042155963851</c:v>
                </c:pt>
                <c:pt idx="120">
                  <c:v>479.18153315747281</c:v>
                </c:pt>
                <c:pt idx="121">
                  <c:v>478.65178543699955</c:v>
                </c:pt>
                <c:pt idx="122">
                  <c:v>478.12202524838284</c:v>
                </c:pt>
                <c:pt idx="123">
                  <c:v>477.59225257583557</c:v>
                </c:pt>
                <c:pt idx="124">
                  <c:v>334.2811129207783</c:v>
                </c:pt>
                <c:pt idx="125">
                  <c:v>334.56417819369989</c:v>
                </c:pt>
                <c:pt idx="126">
                  <c:v>334.84723818844589</c:v>
                </c:pt>
                <c:pt idx="127">
                  <c:v>335.1302929101185</c:v>
                </c:pt>
                <c:pt idx="128">
                  <c:v>241.76470011932011</c:v>
                </c:pt>
                <c:pt idx="129">
                  <c:v>241.90545949663775</c:v>
                </c:pt>
                <c:pt idx="130">
                  <c:v>242.0462170098308</c:v>
                </c:pt>
                <c:pt idx="131">
                  <c:v>242.18697266013999</c:v>
                </c:pt>
                <c:pt idx="132">
                  <c:v>31.036853027483627</c:v>
                </c:pt>
                <c:pt idx="133">
                  <c:v>31.036853027483627</c:v>
                </c:pt>
                <c:pt idx="134">
                  <c:v>31.036853027483627</c:v>
                </c:pt>
                <c:pt idx="135">
                  <c:v>31.036853027483627</c:v>
                </c:pt>
                <c:pt idx="136">
                  <c:v>31.036853027483627</c:v>
                </c:pt>
                <c:pt idx="137">
                  <c:v>31.036853027483627</c:v>
                </c:pt>
                <c:pt idx="138">
                  <c:v>31.036853027483627</c:v>
                </c:pt>
                <c:pt idx="139">
                  <c:v>31.036853027483627</c:v>
                </c:pt>
                <c:pt idx="140">
                  <c:v>31.036853027483627</c:v>
                </c:pt>
                <c:pt idx="141">
                  <c:v>31.036853027483627</c:v>
                </c:pt>
                <c:pt idx="142">
                  <c:v>31.036853027483627</c:v>
                </c:pt>
                <c:pt idx="143">
                  <c:v>31.036853027483627</c:v>
                </c:pt>
                <c:pt idx="144">
                  <c:v>31.036853027483627</c:v>
                </c:pt>
                <c:pt idx="145">
                  <c:v>31.036853027483627</c:v>
                </c:pt>
                <c:pt idx="146">
                  <c:v>31.036853027483627</c:v>
                </c:pt>
                <c:pt idx="147">
                  <c:v>31.036853027483627</c:v>
                </c:pt>
                <c:pt idx="148">
                  <c:v>31.036853027483627</c:v>
                </c:pt>
                <c:pt idx="149">
                  <c:v>31.036853027483627</c:v>
                </c:pt>
                <c:pt idx="150">
                  <c:v>31.036853027483627</c:v>
                </c:pt>
                <c:pt idx="151">
                  <c:v>31.036853027483627</c:v>
                </c:pt>
                <c:pt idx="152">
                  <c:v>31.036853027483627</c:v>
                </c:pt>
                <c:pt idx="153">
                  <c:v>31.036853027483627</c:v>
                </c:pt>
                <c:pt idx="154">
                  <c:v>31.036853027483627</c:v>
                </c:pt>
                <c:pt idx="155">
                  <c:v>31.036853027483627</c:v>
                </c:pt>
                <c:pt idx="156">
                  <c:v>31.036853027483627</c:v>
                </c:pt>
                <c:pt idx="157">
                  <c:v>31.036853027483627</c:v>
                </c:pt>
                <c:pt idx="158">
                  <c:v>31.036853027483627</c:v>
                </c:pt>
                <c:pt idx="159">
                  <c:v>31.036853027483627</c:v>
                </c:pt>
                <c:pt idx="160">
                  <c:v>31.036853027483627</c:v>
                </c:pt>
                <c:pt idx="161">
                  <c:v>31.036853027483627</c:v>
                </c:pt>
                <c:pt idx="162">
                  <c:v>31.036853027483627</c:v>
                </c:pt>
                <c:pt idx="163">
                  <c:v>31.036853027483627</c:v>
                </c:pt>
                <c:pt idx="164">
                  <c:v>31.036853027483627</c:v>
                </c:pt>
                <c:pt idx="165">
                  <c:v>31.036853027483627</c:v>
                </c:pt>
                <c:pt idx="166">
                  <c:v>31.036853027483627</c:v>
                </c:pt>
                <c:pt idx="167">
                  <c:v>31.036853027483627</c:v>
                </c:pt>
                <c:pt idx="168">
                  <c:v>31.036853027483627</c:v>
                </c:pt>
                <c:pt idx="169">
                  <c:v>31.036853027483627</c:v>
                </c:pt>
                <c:pt idx="170">
                  <c:v>31.036853027483627</c:v>
                </c:pt>
                <c:pt idx="171">
                  <c:v>31.036853027483627</c:v>
                </c:pt>
                <c:pt idx="172">
                  <c:v>31.036853027483627</c:v>
                </c:pt>
                <c:pt idx="173">
                  <c:v>31.036853027483627</c:v>
                </c:pt>
                <c:pt idx="174">
                  <c:v>31.036853027483627</c:v>
                </c:pt>
                <c:pt idx="175">
                  <c:v>31.036853027483627</c:v>
                </c:pt>
                <c:pt idx="176">
                  <c:v>31.036853027483627</c:v>
                </c:pt>
                <c:pt idx="177">
                  <c:v>31.036853027483627</c:v>
                </c:pt>
                <c:pt idx="178">
                  <c:v>31.036853027483627</c:v>
                </c:pt>
                <c:pt idx="179">
                  <c:v>31.036853027483627</c:v>
                </c:pt>
                <c:pt idx="180">
                  <c:v>31.036853027483627</c:v>
                </c:pt>
                <c:pt idx="181">
                  <c:v>31.036853027483627</c:v>
                </c:pt>
                <c:pt idx="182">
                  <c:v>31.036853027483627</c:v>
                </c:pt>
                <c:pt idx="183">
                  <c:v>31.036853027483627</c:v>
                </c:pt>
                <c:pt idx="184">
                  <c:v>31.036853027483627</c:v>
                </c:pt>
                <c:pt idx="185">
                  <c:v>31.036853027483627</c:v>
                </c:pt>
                <c:pt idx="186">
                  <c:v>31.036853027483627</c:v>
                </c:pt>
                <c:pt idx="187">
                  <c:v>31.036853027483627</c:v>
                </c:pt>
                <c:pt idx="188">
                  <c:v>31.036853027483627</c:v>
                </c:pt>
                <c:pt idx="189">
                  <c:v>31.036853027483627</c:v>
                </c:pt>
                <c:pt idx="190">
                  <c:v>31.036853027483627</c:v>
                </c:pt>
                <c:pt idx="191">
                  <c:v>31.036853027483627</c:v>
                </c:pt>
                <c:pt idx="192">
                  <c:v>31.036853027483627</c:v>
                </c:pt>
                <c:pt idx="193">
                  <c:v>31.036853027483627</c:v>
                </c:pt>
                <c:pt idx="194">
                  <c:v>31.036853027483627</c:v>
                </c:pt>
                <c:pt idx="195">
                  <c:v>31.036853027483627</c:v>
                </c:pt>
                <c:pt idx="196">
                  <c:v>31.036853027483627</c:v>
                </c:pt>
                <c:pt idx="197">
                  <c:v>31.036853027483627</c:v>
                </c:pt>
                <c:pt idx="198">
                  <c:v>31.036853027483627</c:v>
                </c:pt>
                <c:pt idx="199">
                  <c:v>31.036853027483627</c:v>
                </c:pt>
                <c:pt idx="200">
                  <c:v>31.036853027483627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21.063974185536008</c:v>
                </c:pt>
                <c:pt idx="12">
                  <c:v>29.429406613719376</c:v>
                </c:pt>
                <c:pt idx="13">
                  <c:v>37.727903052748168</c:v>
                </c:pt>
                <c:pt idx="14">
                  <c:v>45.976451369424893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293.4737779390652</c:v>
                </c:pt>
                <c:pt idx="92">
                  <c:v>293.4737779390652</c:v>
                </c:pt>
                <c:pt idx="93">
                  <c:v>293.4737779390652</c:v>
                </c:pt>
                <c:pt idx="94">
                  <c:v>293.4737779390652</c:v>
                </c:pt>
                <c:pt idx="95">
                  <c:v>293.4737779390652</c:v>
                </c:pt>
                <c:pt idx="96">
                  <c:v>293.4737779390652</c:v>
                </c:pt>
                <c:pt idx="97">
                  <c:v>293.4737779390652</c:v>
                </c:pt>
                <c:pt idx="98">
                  <c:v>293.4737779390652</c:v>
                </c:pt>
                <c:pt idx="99">
                  <c:v>293.4737779390652</c:v>
                </c:pt>
                <c:pt idx="100">
                  <c:v>293.4737779390652</c:v>
                </c:pt>
                <c:pt idx="101">
                  <c:v>293.4737779390652</c:v>
                </c:pt>
                <c:pt idx="102">
                  <c:v>293.4737779390652</c:v>
                </c:pt>
                <c:pt idx="103">
                  <c:v>293.4737779390652</c:v>
                </c:pt>
                <c:pt idx="104">
                  <c:v>293.4737779390652</c:v>
                </c:pt>
                <c:pt idx="105">
                  <c:v>293.4737779390652</c:v>
                </c:pt>
                <c:pt idx="106">
                  <c:v>293.4737779390652</c:v>
                </c:pt>
                <c:pt idx="107">
                  <c:v>293.4737779390652</c:v>
                </c:pt>
                <c:pt idx="108">
                  <c:v>293.4737779390652</c:v>
                </c:pt>
                <c:pt idx="109">
                  <c:v>293.4737779390652</c:v>
                </c:pt>
                <c:pt idx="110">
                  <c:v>293.4737779390652</c:v>
                </c:pt>
                <c:pt idx="111">
                  <c:v>293.4737779390652</c:v>
                </c:pt>
                <c:pt idx="112">
                  <c:v>293.4737779390652</c:v>
                </c:pt>
                <c:pt idx="113">
                  <c:v>293.4737779390652</c:v>
                </c:pt>
                <c:pt idx="114">
                  <c:v>293.4737779390652</c:v>
                </c:pt>
                <c:pt idx="115">
                  <c:v>293.4737779390652</c:v>
                </c:pt>
                <c:pt idx="116">
                  <c:v>293.4737779390652</c:v>
                </c:pt>
                <c:pt idx="117">
                  <c:v>293.4737779390652</c:v>
                </c:pt>
                <c:pt idx="118">
                  <c:v>293.4737779390652</c:v>
                </c:pt>
                <c:pt idx="119">
                  <c:v>293.4737779390652</c:v>
                </c:pt>
                <c:pt idx="120">
                  <c:v>293.4737779390652</c:v>
                </c:pt>
                <c:pt idx="121">
                  <c:v>293.4737779390652</c:v>
                </c:pt>
                <c:pt idx="122">
                  <c:v>293.4737779390652</c:v>
                </c:pt>
                <c:pt idx="123">
                  <c:v>293.4737779390652</c:v>
                </c:pt>
                <c:pt idx="124">
                  <c:v>293.4737779390652</c:v>
                </c:pt>
                <c:pt idx="125">
                  <c:v>293.4737779390652</c:v>
                </c:pt>
                <c:pt idx="126">
                  <c:v>293.4737779390652</c:v>
                </c:pt>
                <c:pt idx="127">
                  <c:v>293.4737779390652</c:v>
                </c:pt>
                <c:pt idx="128">
                  <c:v>293.4737779390652</c:v>
                </c:pt>
                <c:pt idx="129">
                  <c:v>293.4737779390652</c:v>
                </c:pt>
                <c:pt idx="130">
                  <c:v>293.4737779390652</c:v>
                </c:pt>
                <c:pt idx="131">
                  <c:v>293.4737779390652</c:v>
                </c:pt>
                <c:pt idx="132">
                  <c:v>293.4737779390652</c:v>
                </c:pt>
                <c:pt idx="133">
                  <c:v>293.4737779390652</c:v>
                </c:pt>
                <c:pt idx="134">
                  <c:v>293.4737779390652</c:v>
                </c:pt>
                <c:pt idx="135">
                  <c:v>293.4737779390652</c:v>
                </c:pt>
                <c:pt idx="136">
                  <c:v>293.4737779390652</c:v>
                </c:pt>
                <c:pt idx="137">
                  <c:v>293.4737779390652</c:v>
                </c:pt>
                <c:pt idx="138">
                  <c:v>293.4737779390652</c:v>
                </c:pt>
                <c:pt idx="139">
                  <c:v>293.4737779390652</c:v>
                </c:pt>
                <c:pt idx="140">
                  <c:v>293.4737779390652</c:v>
                </c:pt>
                <c:pt idx="141">
                  <c:v>293.4737779390652</c:v>
                </c:pt>
                <c:pt idx="142">
                  <c:v>293.4737779390652</c:v>
                </c:pt>
                <c:pt idx="143">
                  <c:v>293.4737779390652</c:v>
                </c:pt>
                <c:pt idx="144">
                  <c:v>293.4737779390652</c:v>
                </c:pt>
                <c:pt idx="145">
                  <c:v>293.4737779390652</c:v>
                </c:pt>
                <c:pt idx="146">
                  <c:v>293.4737779390652</c:v>
                </c:pt>
                <c:pt idx="147">
                  <c:v>293.4737779390652</c:v>
                </c:pt>
                <c:pt idx="148">
                  <c:v>293.4737779390652</c:v>
                </c:pt>
                <c:pt idx="149">
                  <c:v>293.4737779390652</c:v>
                </c:pt>
                <c:pt idx="150">
                  <c:v>293.4737779390652</c:v>
                </c:pt>
                <c:pt idx="151">
                  <c:v>293.4737779390652</c:v>
                </c:pt>
                <c:pt idx="152">
                  <c:v>293.4737779390652</c:v>
                </c:pt>
                <c:pt idx="153">
                  <c:v>293.4737779390652</c:v>
                </c:pt>
                <c:pt idx="154">
                  <c:v>293.4737779390652</c:v>
                </c:pt>
                <c:pt idx="155">
                  <c:v>293.4737779390652</c:v>
                </c:pt>
                <c:pt idx="156">
                  <c:v>293.4737779390652</c:v>
                </c:pt>
                <c:pt idx="157">
                  <c:v>293.4737779390652</c:v>
                </c:pt>
                <c:pt idx="158">
                  <c:v>293.4737779390652</c:v>
                </c:pt>
                <c:pt idx="159">
                  <c:v>293.4737779390652</c:v>
                </c:pt>
                <c:pt idx="160">
                  <c:v>293.4737779390652</c:v>
                </c:pt>
                <c:pt idx="161">
                  <c:v>293.4737779390652</c:v>
                </c:pt>
                <c:pt idx="162">
                  <c:v>293.4737779390652</c:v>
                </c:pt>
                <c:pt idx="163">
                  <c:v>293.4737779390652</c:v>
                </c:pt>
                <c:pt idx="164">
                  <c:v>293.4737779390652</c:v>
                </c:pt>
                <c:pt idx="165">
                  <c:v>293.4737779390652</c:v>
                </c:pt>
                <c:pt idx="166">
                  <c:v>293.4737779390652</c:v>
                </c:pt>
                <c:pt idx="167">
                  <c:v>293.4737779390652</c:v>
                </c:pt>
                <c:pt idx="168">
                  <c:v>293.4737779390652</c:v>
                </c:pt>
                <c:pt idx="169">
                  <c:v>293.4737779390652</c:v>
                </c:pt>
                <c:pt idx="170">
                  <c:v>293.4737779390652</c:v>
                </c:pt>
                <c:pt idx="171">
                  <c:v>293.4737779390652</c:v>
                </c:pt>
                <c:pt idx="172">
                  <c:v>293.4737779390652</c:v>
                </c:pt>
                <c:pt idx="173">
                  <c:v>293.4737779390652</c:v>
                </c:pt>
                <c:pt idx="174">
                  <c:v>293.4737779390652</c:v>
                </c:pt>
                <c:pt idx="175">
                  <c:v>293.4737779390652</c:v>
                </c:pt>
                <c:pt idx="176">
                  <c:v>293.4737779390652</c:v>
                </c:pt>
                <c:pt idx="177">
                  <c:v>293.4737779390652</c:v>
                </c:pt>
                <c:pt idx="178">
                  <c:v>293.4737779390652</c:v>
                </c:pt>
                <c:pt idx="179">
                  <c:v>293.4737779390652</c:v>
                </c:pt>
                <c:pt idx="180">
                  <c:v>293.4737779390652</c:v>
                </c:pt>
                <c:pt idx="181">
                  <c:v>293.4737779390652</c:v>
                </c:pt>
                <c:pt idx="182">
                  <c:v>293.4737779390652</c:v>
                </c:pt>
                <c:pt idx="183">
                  <c:v>293.4737779390652</c:v>
                </c:pt>
                <c:pt idx="184">
                  <c:v>293.4737779390652</c:v>
                </c:pt>
                <c:pt idx="185">
                  <c:v>293.4737779390652</c:v>
                </c:pt>
                <c:pt idx="186">
                  <c:v>293.4737779390652</c:v>
                </c:pt>
                <c:pt idx="187">
                  <c:v>293.4737779390652</c:v>
                </c:pt>
                <c:pt idx="188">
                  <c:v>293.4737779390652</c:v>
                </c:pt>
                <c:pt idx="189">
                  <c:v>293.4737779390652</c:v>
                </c:pt>
                <c:pt idx="190">
                  <c:v>293.4737779390652</c:v>
                </c:pt>
                <c:pt idx="191">
                  <c:v>293.4737779390652</c:v>
                </c:pt>
                <c:pt idx="192">
                  <c:v>293.4737779390652</c:v>
                </c:pt>
                <c:pt idx="193">
                  <c:v>293.4737779390652</c:v>
                </c:pt>
                <c:pt idx="194">
                  <c:v>293.4737779390652</c:v>
                </c:pt>
                <c:pt idx="195">
                  <c:v>293.4737779390652</c:v>
                </c:pt>
                <c:pt idx="196">
                  <c:v>293.4737779390652</c:v>
                </c:pt>
                <c:pt idx="197">
                  <c:v>293.4737779390652</c:v>
                </c:pt>
                <c:pt idx="198">
                  <c:v>293.4737779390652</c:v>
                </c:pt>
                <c:pt idx="199">
                  <c:v>293.4737779390652</c:v>
                </c:pt>
                <c:pt idx="200">
                  <c:v>293.4737779390652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88" zoomScale="80" zoomScaleNormal="80" workbookViewId="0">
      <selection activeCell="G208" sqref="G20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2.2599999999999998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0.14973</v>
      </c>
      <c r="D9" s="33">
        <f t="shared" ref="D9:D18" si="0">C9*$C$5</f>
        <v>0.33838979999999996</v>
      </c>
      <c r="E9" s="265">
        <v>131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25</v>
      </c>
      <c r="C10" s="264">
        <v>0.10018000000000001</v>
      </c>
      <c r="D10" s="33">
        <f t="shared" si="0"/>
        <v>0.22640679999999999</v>
      </c>
      <c r="E10" s="265">
        <v>115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81</v>
      </c>
      <c r="C11" s="264">
        <v>0.10018000000000001</v>
      </c>
      <c r="D11" s="33">
        <f t="shared" si="0"/>
        <v>0.22640679999999999</v>
      </c>
      <c r="E11" s="265">
        <v>42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18</v>
      </c>
      <c r="C12" s="264">
        <v>0.10018000000000001</v>
      </c>
      <c r="D12" s="33">
        <f t="shared" si="0"/>
        <v>0.22640679999999999</v>
      </c>
      <c r="E12" s="265">
        <v>54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8</v>
      </c>
      <c r="C13" s="32">
        <v>0.10018000000000001</v>
      </c>
      <c r="D13" s="33">
        <f t="shared" si="0"/>
        <v>0.22640679999999999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22</v>
      </c>
      <c r="C14" s="32">
        <v>0.10018000000000001</v>
      </c>
      <c r="D14" s="33">
        <f t="shared" si="0"/>
        <v>0.22640679999999999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29</v>
      </c>
      <c r="C15" s="32">
        <v>9.9820000000000006E-2</v>
      </c>
      <c r="D15" s="33">
        <f t="shared" si="0"/>
        <v>0.22559319999999999</v>
      </c>
      <c r="E15" s="34">
        <v>69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326</v>
      </c>
      <c r="H15" s="23" t="s">
        <v>327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50</v>
      </c>
      <c r="C16" s="32">
        <v>0.14973</v>
      </c>
      <c r="D16" s="33">
        <f t="shared" si="0"/>
        <v>0.33838979999999996</v>
      </c>
      <c r="E16" s="34">
        <v>131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325</v>
      </c>
      <c r="H16" s="23" t="s">
        <v>328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4</v>
      </c>
      <c r="C17" s="32">
        <v>4.9910000000000003E-2</v>
      </c>
      <c r="D17" s="33">
        <f t="shared" si="0"/>
        <v>0.1127966</v>
      </c>
      <c r="E17" s="34">
        <v>90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326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5</v>
      </c>
      <c r="C18" s="32">
        <v>4.9910000000000003E-2</v>
      </c>
      <c r="D18" s="33">
        <f t="shared" si="0"/>
        <v>0.1127966</v>
      </c>
      <c r="E18" s="34">
        <v>90</v>
      </c>
      <c r="F18" s="35" t="str">
        <f t="array" ref="F18">IF(E18="","",IF(INDEX(A:A,MAX(IF(ISNUMBER($A$270:$A$289),ROW($A$270:$A$289),"")))&lt;&gt;E18,"Corrigez : révolution incorrecte","OK"))</f>
        <v>OK</v>
      </c>
      <c r="G18" s="23" t="s">
        <v>325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2.2599999999999993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121.8846154</v>
      </c>
      <c r="C36" s="259"/>
      <c r="D36" s="259"/>
      <c r="E36" s="260"/>
      <c r="F36" s="260"/>
      <c r="G36" s="260"/>
      <c r="H36" s="260"/>
      <c r="I36" s="49">
        <f>IFERROR(B36/A36,"")</f>
        <v>4.0628205133333335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35</v>
      </c>
      <c r="B37" s="259">
        <v>201.29</v>
      </c>
      <c r="C37" s="259">
        <v>1</v>
      </c>
      <c r="D37" s="259">
        <v>69.58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15.881076919999998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41</v>
      </c>
      <c r="B38" s="259">
        <v>208.88</v>
      </c>
      <c r="C38" s="259">
        <v>2</v>
      </c>
      <c r="D38" s="259">
        <v>47.41</v>
      </c>
      <c r="E38" s="260">
        <v>1</v>
      </c>
      <c r="F38" s="260"/>
      <c r="G38" s="260"/>
      <c r="H38" s="260"/>
      <c r="I38" s="53">
        <f t="shared" si="1"/>
        <v>12.86166666666667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48</v>
      </c>
      <c r="B39" s="259">
        <v>252.89</v>
      </c>
      <c r="C39" s="259">
        <v>3</v>
      </c>
      <c r="D39" s="259">
        <v>61.12</v>
      </c>
      <c r="E39" s="260">
        <v>1</v>
      </c>
      <c r="F39" s="260"/>
      <c r="G39" s="260"/>
      <c r="H39" s="260"/>
      <c r="I39" s="49">
        <f t="shared" si="1"/>
        <v>13.059999999999999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55</v>
      </c>
      <c r="B40" s="259">
        <v>277.67</v>
      </c>
      <c r="C40" s="259">
        <v>4</v>
      </c>
      <c r="D40" s="259">
        <v>58.24</v>
      </c>
      <c r="E40" s="260">
        <v>1</v>
      </c>
      <c r="F40" s="260"/>
      <c r="G40" s="260"/>
      <c r="H40" s="260"/>
      <c r="I40" s="49">
        <f t="shared" si="1"/>
        <v>12.271428571428576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63</v>
      </c>
      <c r="B41" s="259">
        <v>312.58999999999997</v>
      </c>
      <c r="C41" s="259">
        <v>5</v>
      </c>
      <c r="D41" s="259">
        <v>54.21</v>
      </c>
      <c r="E41" s="260">
        <v>1</v>
      </c>
      <c r="F41" s="260"/>
      <c r="G41" s="260"/>
      <c r="H41" s="260"/>
      <c r="I41" s="53">
        <f t="shared" si="1"/>
        <v>11.644999999999996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71</v>
      </c>
      <c r="B42" s="259">
        <v>348.69</v>
      </c>
      <c r="C42" s="259">
        <v>6</v>
      </c>
      <c r="D42" s="259">
        <v>52.07</v>
      </c>
      <c r="E42" s="260">
        <v>1</v>
      </c>
      <c r="F42" s="260"/>
      <c r="G42" s="260"/>
      <c r="H42" s="260"/>
      <c r="I42" s="53">
        <f t="shared" si="1"/>
        <v>11.28875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80</v>
      </c>
      <c r="B43" s="259">
        <v>395.71</v>
      </c>
      <c r="C43" s="259">
        <v>7</v>
      </c>
      <c r="D43" s="259">
        <v>59.57</v>
      </c>
      <c r="E43" s="260">
        <v>1</v>
      </c>
      <c r="F43" s="260"/>
      <c r="G43" s="260"/>
      <c r="H43" s="260"/>
      <c r="I43" s="49">
        <f t="shared" si="1"/>
        <v>11.009999999999998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89</v>
      </c>
      <c r="B44" s="259">
        <v>429.83</v>
      </c>
      <c r="C44" s="259">
        <v>8</v>
      </c>
      <c r="D44" s="259">
        <v>64.5</v>
      </c>
      <c r="E44" s="260">
        <v>1</v>
      </c>
      <c r="F44" s="260"/>
      <c r="G44" s="260"/>
      <c r="H44" s="260"/>
      <c r="I44" s="49">
        <f t="shared" si="1"/>
        <v>10.41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99</v>
      </c>
      <c r="B45" s="261">
        <v>464.8</v>
      </c>
      <c r="C45" s="259">
        <v>9</v>
      </c>
      <c r="D45" s="261">
        <v>62.94</v>
      </c>
      <c r="E45" s="260">
        <v>1</v>
      </c>
      <c r="F45" s="260"/>
      <c r="G45" s="260"/>
      <c r="H45" s="260"/>
      <c r="I45" s="49">
        <f t="shared" si="1"/>
        <v>9.9470000000000027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109</v>
      </c>
      <c r="B46" s="262">
        <v>498.97</v>
      </c>
      <c r="C46" s="259">
        <v>10</v>
      </c>
      <c r="D46" s="262">
        <v>66.959999999999994</v>
      </c>
      <c r="E46" s="260">
        <v>1</v>
      </c>
      <c r="F46" s="260"/>
      <c r="G46" s="260"/>
      <c r="H46" s="260"/>
      <c r="I46" s="49">
        <f t="shared" si="1"/>
        <v>9.7110000000000021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119</v>
      </c>
      <c r="B47" s="261">
        <v>526.04</v>
      </c>
      <c r="C47" s="259">
        <v>11</v>
      </c>
      <c r="D47" s="261">
        <v>196.46</v>
      </c>
      <c r="E47" s="260">
        <v>1</v>
      </c>
      <c r="F47" s="260"/>
      <c r="G47" s="260"/>
      <c r="H47" s="260"/>
      <c r="I47" s="49">
        <f t="shared" si="1"/>
        <v>9.4029999999999916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123</v>
      </c>
      <c r="B48" s="261">
        <v>328.09</v>
      </c>
      <c r="C48" s="259">
        <v>12</v>
      </c>
      <c r="D48" s="261">
        <v>100.6</v>
      </c>
      <c r="E48" s="260">
        <v>1</v>
      </c>
      <c r="F48" s="260"/>
      <c r="G48" s="260"/>
      <c r="H48" s="260"/>
      <c r="I48" s="49">
        <f t="shared" si="1"/>
        <v>-0.37249999999998806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127</v>
      </c>
      <c r="B49" s="261">
        <v>228.28</v>
      </c>
      <c r="C49" s="259">
        <v>13</v>
      </c>
      <c r="D49" s="261">
        <v>65.02</v>
      </c>
      <c r="E49" s="260">
        <v>1</v>
      </c>
      <c r="F49" s="260"/>
      <c r="G49" s="260"/>
      <c r="H49" s="260"/>
      <c r="I49" s="49">
        <f t="shared" si="1"/>
        <v>0.19750000000000512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131</v>
      </c>
      <c r="B50" s="261">
        <v>163.65</v>
      </c>
      <c r="C50" s="261">
        <v>14</v>
      </c>
      <c r="D50" s="261">
        <v>143.84</v>
      </c>
      <c r="E50" s="260">
        <v>1</v>
      </c>
      <c r="F50" s="260"/>
      <c r="G50" s="260"/>
      <c r="H50" s="260"/>
      <c r="I50" s="49">
        <f t="shared" si="1"/>
        <v>9.7500000000003695E-2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Hêtre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20</v>
      </c>
      <c r="B62" s="261">
        <v>56</v>
      </c>
      <c r="C62" s="261"/>
      <c r="D62" s="261">
        <v>0</v>
      </c>
      <c r="E62" s="260"/>
      <c r="F62" s="260"/>
      <c r="G62" s="260"/>
      <c r="H62" s="260"/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25</v>
      </c>
      <c r="B63" s="261">
        <v>111</v>
      </c>
      <c r="C63" s="261">
        <v>1</v>
      </c>
      <c r="D63" s="261">
        <v>26</v>
      </c>
      <c r="E63" s="260"/>
      <c r="F63" s="260"/>
      <c r="G63" s="260"/>
      <c r="H63" s="260">
        <v>1</v>
      </c>
      <c r="I63" s="49">
        <f>IF(A63&lt;&gt;0,(B63-(B62-D62))/(A63-A62),"")</f>
        <v>11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30</v>
      </c>
      <c r="B64" s="261">
        <v>146</v>
      </c>
      <c r="C64" s="261">
        <v>2</v>
      </c>
      <c r="D64" s="261">
        <v>35</v>
      </c>
      <c r="E64" s="260"/>
      <c r="F64" s="260"/>
      <c r="G64" s="260"/>
      <c r="H64" s="260">
        <v>1</v>
      </c>
      <c r="I64" s="49">
        <f>IF(A64&lt;&gt;0,(B64-(B63-D63))/(A64-A63),"")</f>
        <v>12.2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35</v>
      </c>
      <c r="B65" s="261">
        <v>175</v>
      </c>
      <c r="C65" s="261">
        <v>3</v>
      </c>
      <c r="D65" s="261">
        <v>35</v>
      </c>
      <c r="E65" s="260">
        <v>1</v>
      </c>
      <c r="F65" s="260"/>
      <c r="G65" s="260"/>
      <c r="H65" s="260"/>
      <c r="I65" s="49">
        <f>IF(A65&lt;&gt;0,(B65-(B64-D64))/(A65-A64),"")</f>
        <v>12.8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40</v>
      </c>
      <c r="B66" s="261">
        <v>207</v>
      </c>
      <c r="C66" s="261">
        <v>4</v>
      </c>
      <c r="D66" s="261">
        <v>35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13.4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45</v>
      </c>
      <c r="B67" s="261">
        <v>241</v>
      </c>
      <c r="C67" s="261">
        <v>5</v>
      </c>
      <c r="D67" s="261">
        <v>35</v>
      </c>
      <c r="E67" s="260">
        <v>1</v>
      </c>
      <c r="F67" s="260"/>
      <c r="G67" s="260"/>
      <c r="H67" s="260"/>
      <c r="I67" s="49">
        <f t="shared" si="2"/>
        <v>13.8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50</v>
      </c>
      <c r="B68" s="261">
        <v>274</v>
      </c>
      <c r="C68" s="261">
        <v>6</v>
      </c>
      <c r="D68" s="261">
        <v>35</v>
      </c>
      <c r="E68" s="260">
        <v>1</v>
      </c>
      <c r="F68" s="260"/>
      <c r="G68" s="260"/>
      <c r="H68" s="260"/>
      <c r="I68" s="49">
        <f t="shared" si="2"/>
        <v>13.6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55</v>
      </c>
      <c r="B69" s="261">
        <v>306</v>
      </c>
      <c r="C69" s="261">
        <v>7</v>
      </c>
      <c r="D69" s="261">
        <v>35</v>
      </c>
      <c r="E69" s="260">
        <v>1</v>
      </c>
      <c r="F69" s="260"/>
      <c r="G69" s="260"/>
      <c r="H69" s="260"/>
      <c r="I69" s="49">
        <f t="shared" si="2"/>
        <v>13.4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336</v>
      </c>
      <c r="C70" s="261">
        <v>8</v>
      </c>
      <c r="D70" s="261">
        <v>35</v>
      </c>
      <c r="E70" s="260">
        <v>1</v>
      </c>
      <c r="F70" s="260"/>
      <c r="G70" s="260"/>
      <c r="H70" s="260"/>
      <c r="I70" s="49">
        <f t="shared" si="2"/>
        <v>13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65</v>
      </c>
      <c r="B71" s="261">
        <v>363</v>
      </c>
      <c r="C71" s="261">
        <v>9</v>
      </c>
      <c r="D71" s="261">
        <v>35</v>
      </c>
      <c r="E71" s="260">
        <v>1</v>
      </c>
      <c r="F71" s="260"/>
      <c r="G71" s="260"/>
      <c r="H71" s="260"/>
      <c r="I71" s="49">
        <f t="shared" si="2"/>
        <v>12.4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70</v>
      </c>
      <c r="B72" s="261">
        <v>387</v>
      </c>
      <c r="C72" s="261">
        <v>10</v>
      </c>
      <c r="D72" s="261">
        <v>35</v>
      </c>
      <c r="E72" s="260">
        <v>1</v>
      </c>
      <c r="F72" s="260"/>
      <c r="G72" s="260"/>
      <c r="H72" s="260"/>
      <c r="I72" s="49">
        <f t="shared" si="2"/>
        <v>11.8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75</v>
      </c>
      <c r="B73" s="261">
        <v>407</v>
      </c>
      <c r="C73" s="261">
        <v>11</v>
      </c>
      <c r="D73" s="261">
        <v>35</v>
      </c>
      <c r="E73" s="260">
        <v>1</v>
      </c>
      <c r="F73" s="260"/>
      <c r="G73" s="260"/>
      <c r="H73" s="260"/>
      <c r="I73" s="49">
        <f t="shared" si="2"/>
        <v>11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80</v>
      </c>
      <c r="B74" s="261">
        <v>424</v>
      </c>
      <c r="C74" s="261">
        <v>12</v>
      </c>
      <c r="D74" s="261">
        <v>34</v>
      </c>
      <c r="E74" s="260">
        <v>1</v>
      </c>
      <c r="F74" s="260"/>
      <c r="G74" s="260"/>
      <c r="H74" s="260"/>
      <c r="I74" s="49">
        <f t="shared" si="2"/>
        <v>10.4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85</v>
      </c>
      <c r="B75" s="261">
        <v>438</v>
      </c>
      <c r="C75" s="261">
        <v>13</v>
      </c>
      <c r="D75" s="261">
        <v>33</v>
      </c>
      <c r="E75" s="260">
        <v>1</v>
      </c>
      <c r="F75" s="260"/>
      <c r="G75" s="260"/>
      <c r="H75" s="260"/>
      <c r="I75" s="49">
        <f t="shared" si="2"/>
        <v>9.6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90</v>
      </c>
      <c r="B76" s="261">
        <v>451</v>
      </c>
      <c r="C76" s="261">
        <v>14</v>
      </c>
      <c r="D76" s="261">
        <v>31</v>
      </c>
      <c r="E76" s="260">
        <v>1</v>
      </c>
      <c r="F76" s="260"/>
      <c r="G76" s="260"/>
      <c r="H76" s="260"/>
      <c r="I76" s="49">
        <f t="shared" si="2"/>
        <v>9.1999999999999993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95</v>
      </c>
      <c r="B77" s="257">
        <v>463</v>
      </c>
      <c r="C77" s="256">
        <v>15</v>
      </c>
      <c r="D77" s="256">
        <v>30</v>
      </c>
      <c r="E77" s="255">
        <v>1</v>
      </c>
      <c r="F77" s="255"/>
      <c r="G77" s="255"/>
      <c r="H77" s="255"/>
      <c r="I77" s="49">
        <f t="shared" si="2"/>
        <v>8.6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100</v>
      </c>
      <c r="B78" s="257">
        <v>474</v>
      </c>
      <c r="C78" s="256">
        <v>16</v>
      </c>
      <c r="D78" s="256">
        <v>29</v>
      </c>
      <c r="E78" s="255">
        <v>1</v>
      </c>
      <c r="F78" s="255"/>
      <c r="G78" s="255"/>
      <c r="H78" s="255"/>
      <c r="I78" s="49">
        <f t="shared" si="2"/>
        <v>8.1999999999999993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105</v>
      </c>
      <c r="B79" s="257">
        <v>484</v>
      </c>
      <c r="C79" s="256">
        <v>17</v>
      </c>
      <c r="D79" s="256">
        <v>28</v>
      </c>
      <c r="E79" s="255">
        <v>1</v>
      </c>
      <c r="F79" s="255"/>
      <c r="G79" s="255"/>
      <c r="H79" s="255"/>
      <c r="I79" s="49">
        <f t="shared" si="2"/>
        <v>7.8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110</v>
      </c>
      <c r="B80" s="257">
        <v>493</v>
      </c>
      <c r="C80" s="256">
        <v>18</v>
      </c>
      <c r="D80" s="256">
        <v>27</v>
      </c>
      <c r="E80" s="255">
        <v>1</v>
      </c>
      <c r="F80" s="255"/>
      <c r="G80" s="255"/>
      <c r="H80" s="255"/>
      <c r="I80" s="49">
        <f t="shared" si="2"/>
        <v>7.4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>
        <v>115</v>
      </c>
      <c r="B81" s="257">
        <v>501</v>
      </c>
      <c r="C81" s="256">
        <v>19</v>
      </c>
      <c r="D81" s="258">
        <v>26</v>
      </c>
      <c r="E81" s="255">
        <v>1</v>
      </c>
      <c r="F81" s="255"/>
      <c r="G81" s="255"/>
      <c r="H81" s="255"/>
      <c r="I81" s="49">
        <f t="shared" si="2"/>
        <v>7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Mélèze hybride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12</v>
      </c>
      <c r="B88" s="261">
        <v>116</v>
      </c>
      <c r="C88" s="261">
        <v>1</v>
      </c>
      <c r="D88" s="261">
        <v>21</v>
      </c>
      <c r="E88" s="260"/>
      <c r="F88" s="260"/>
      <c r="G88" s="260">
        <v>1</v>
      </c>
      <c r="H88" s="260"/>
      <c r="I88" s="53">
        <f>IFERROR(B88/A88,"")</f>
        <v>9.6666666666666661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168</v>
      </c>
      <c r="C89" s="261">
        <v>2</v>
      </c>
      <c r="D89" s="261">
        <v>47</v>
      </c>
      <c r="E89" s="260"/>
      <c r="F89" s="260">
        <v>1</v>
      </c>
      <c r="G89" s="260"/>
      <c r="H89" s="260"/>
      <c r="I89" s="53">
        <f t="shared" ref="I89:I107" si="3">IF(A89&lt;&gt;0,(B89-(B88-D88))/(A89-A88),"")</f>
        <v>24.333333333333332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18</v>
      </c>
      <c r="B90" s="261">
        <v>185</v>
      </c>
      <c r="C90" s="261">
        <v>3</v>
      </c>
      <c r="D90" s="261">
        <v>61</v>
      </c>
      <c r="E90" s="260"/>
      <c r="F90" s="260">
        <v>1</v>
      </c>
      <c r="G90" s="260"/>
      <c r="H90" s="260"/>
      <c r="I90" s="53">
        <f t="shared" si="3"/>
        <v>21.333333333333332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24</v>
      </c>
      <c r="B91" s="261">
        <v>239</v>
      </c>
      <c r="C91" s="261">
        <v>4</v>
      </c>
      <c r="D91" s="261">
        <v>84</v>
      </c>
      <c r="E91" s="260"/>
      <c r="F91" s="260">
        <v>1</v>
      </c>
      <c r="G91" s="260"/>
      <c r="H91" s="260"/>
      <c r="I91" s="53">
        <f t="shared" si="3"/>
        <v>19.166666666666668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255</v>
      </c>
      <c r="C92" s="261">
        <v>5</v>
      </c>
      <c r="D92" s="261">
        <v>76</v>
      </c>
      <c r="E92" s="260"/>
      <c r="F92" s="260">
        <v>1</v>
      </c>
      <c r="G92" s="260"/>
      <c r="H92" s="260"/>
      <c r="I92" s="53">
        <f t="shared" si="3"/>
        <v>16.666666666666668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36</v>
      </c>
      <c r="B93" s="261">
        <v>269</v>
      </c>
      <c r="C93" s="261">
        <v>6</v>
      </c>
      <c r="D93" s="261">
        <v>75</v>
      </c>
      <c r="E93" s="260">
        <v>1</v>
      </c>
      <c r="F93" s="260"/>
      <c r="G93" s="260"/>
      <c r="H93" s="260"/>
      <c r="I93" s="53">
        <f t="shared" si="3"/>
        <v>15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42</v>
      </c>
      <c r="B94" s="261">
        <v>278</v>
      </c>
      <c r="C94" s="261"/>
      <c r="D94" s="261"/>
      <c r="E94" s="260"/>
      <c r="F94" s="260"/>
      <c r="G94" s="260"/>
      <c r="H94" s="260"/>
      <c r="I94" s="53">
        <f t="shared" si="3"/>
        <v>14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Douglas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17</v>
      </c>
      <c r="B114" s="261">
        <v>172.88</v>
      </c>
      <c r="C114" s="261"/>
      <c r="D114" s="261"/>
      <c r="E114" s="260"/>
      <c r="F114" s="260"/>
      <c r="G114" s="260"/>
      <c r="H114" s="260"/>
      <c r="I114" s="53">
        <f>IFERROR(B114/A114,"")</f>
        <v>10.169411764705883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18</v>
      </c>
      <c r="B115" s="261">
        <v>202.42</v>
      </c>
      <c r="C115" s="261">
        <v>1</v>
      </c>
      <c r="D115" s="261">
        <v>74.819999999999993</v>
      </c>
      <c r="E115" s="260"/>
      <c r="F115" s="260"/>
      <c r="G115" s="260">
        <v>1</v>
      </c>
      <c r="H115" s="260"/>
      <c r="I115" s="53">
        <f t="shared" ref="I115:I133" si="4">IF(A115&lt;&gt;0,(B115-(B114-D114))/(A115-A114),"")</f>
        <v>29.539999999999992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24</v>
      </c>
      <c r="B116" s="261">
        <v>289.16000000000003</v>
      </c>
      <c r="C116" s="261">
        <v>2</v>
      </c>
      <c r="D116" s="261">
        <v>51.39</v>
      </c>
      <c r="E116" s="260"/>
      <c r="F116" s="260">
        <v>1</v>
      </c>
      <c r="G116" s="260"/>
      <c r="H116" s="260"/>
      <c r="I116" s="53">
        <f t="shared" si="4"/>
        <v>26.926666666666673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30</v>
      </c>
      <c r="B117" s="261">
        <v>410.69</v>
      </c>
      <c r="C117" s="261">
        <v>3</v>
      </c>
      <c r="D117" s="261">
        <v>80.97</v>
      </c>
      <c r="E117" s="260"/>
      <c r="F117" s="260">
        <v>1</v>
      </c>
      <c r="G117" s="260"/>
      <c r="H117" s="260"/>
      <c r="I117" s="53">
        <f t="shared" si="4"/>
        <v>28.819999999999993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36</v>
      </c>
      <c r="B118" s="261">
        <v>501.69</v>
      </c>
      <c r="C118" s="261">
        <v>4</v>
      </c>
      <c r="D118" s="261">
        <v>85.88</v>
      </c>
      <c r="E118" s="260">
        <v>1</v>
      </c>
      <c r="F118" s="260"/>
      <c r="G118" s="260"/>
      <c r="H118" s="260"/>
      <c r="I118" s="53">
        <f t="shared" si="4"/>
        <v>28.661666666666662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42</v>
      </c>
      <c r="B119" s="261">
        <v>584.37</v>
      </c>
      <c r="C119" s="261">
        <v>5</v>
      </c>
      <c r="D119" s="261">
        <v>91.25</v>
      </c>
      <c r="E119" s="260">
        <v>1</v>
      </c>
      <c r="F119" s="260"/>
      <c r="G119" s="260"/>
      <c r="H119" s="260"/>
      <c r="I119" s="53">
        <f t="shared" si="4"/>
        <v>28.093333333333334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48</v>
      </c>
      <c r="B120" s="261">
        <v>655.72</v>
      </c>
      <c r="C120" s="261">
        <v>6</v>
      </c>
      <c r="D120" s="261">
        <v>101.34</v>
      </c>
      <c r="E120" s="260">
        <v>1</v>
      </c>
      <c r="F120" s="260"/>
      <c r="G120" s="260"/>
      <c r="H120" s="260"/>
      <c r="I120" s="53">
        <f t="shared" si="4"/>
        <v>27.100000000000005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54</v>
      </c>
      <c r="B121" s="261">
        <v>708.61</v>
      </c>
      <c r="C121" s="261">
        <v>7</v>
      </c>
      <c r="D121" s="261">
        <v>707.75</v>
      </c>
      <c r="E121" s="260">
        <v>1</v>
      </c>
      <c r="F121" s="260"/>
      <c r="G121" s="260"/>
      <c r="H121" s="260"/>
      <c r="I121" s="53">
        <f t="shared" si="4"/>
        <v>25.705000000000002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Châtaignier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19</v>
      </c>
      <c r="C140" s="50">
        <v>1</v>
      </c>
      <c r="D140" s="60">
        <v>7</v>
      </c>
      <c r="E140" s="51"/>
      <c r="F140" s="51"/>
      <c r="G140" s="51"/>
      <c r="H140" s="51">
        <v>1</v>
      </c>
      <c r="I140" s="57">
        <f>IFERROR(B140/A140,"")</f>
        <v>1.9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85</v>
      </c>
      <c r="C141" s="50">
        <v>2</v>
      </c>
      <c r="D141" s="60">
        <v>42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14.6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123</v>
      </c>
      <c r="C142" s="50">
        <v>3</v>
      </c>
      <c r="D142" s="60">
        <v>42</v>
      </c>
      <c r="E142" s="51"/>
      <c r="F142" s="51"/>
      <c r="G142" s="51"/>
      <c r="H142" s="51">
        <v>1</v>
      </c>
      <c r="I142" s="57">
        <f t="shared" si="5"/>
        <v>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25</v>
      </c>
      <c r="B143" s="60">
        <v>165</v>
      </c>
      <c r="C143" s="50">
        <v>4</v>
      </c>
      <c r="D143" s="60">
        <v>42</v>
      </c>
      <c r="E143" s="51"/>
      <c r="F143" s="51"/>
      <c r="G143" s="51"/>
      <c r="H143" s="51">
        <v>1</v>
      </c>
      <c r="I143" s="57">
        <f t="shared" si="5"/>
        <v>16.8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205</v>
      </c>
      <c r="C144" s="50">
        <v>5</v>
      </c>
      <c r="D144" s="60">
        <v>42</v>
      </c>
      <c r="E144" s="51"/>
      <c r="F144" s="51"/>
      <c r="G144" s="51"/>
      <c r="H144" s="51">
        <v>1</v>
      </c>
      <c r="I144" s="57">
        <f t="shared" si="5"/>
        <v>16.399999999999999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35</v>
      </c>
      <c r="B145" s="60">
        <v>239</v>
      </c>
      <c r="C145" s="50">
        <v>6</v>
      </c>
      <c r="D145" s="60">
        <v>42</v>
      </c>
      <c r="E145" s="51">
        <v>1</v>
      </c>
      <c r="F145" s="51"/>
      <c r="G145" s="51"/>
      <c r="H145" s="51"/>
      <c r="I145" s="57">
        <f t="shared" si="5"/>
        <v>15.2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263</v>
      </c>
      <c r="C146" s="50">
        <v>7</v>
      </c>
      <c r="D146" s="60">
        <v>40</v>
      </c>
      <c r="E146" s="51">
        <v>1</v>
      </c>
      <c r="F146" s="51"/>
      <c r="G146" s="51"/>
      <c r="H146" s="51"/>
      <c r="I146" s="57">
        <f t="shared" si="5"/>
        <v>13.2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45</v>
      </c>
      <c r="B147" s="60">
        <v>280</v>
      </c>
      <c r="C147" s="50">
        <v>8</v>
      </c>
      <c r="D147" s="60">
        <v>26</v>
      </c>
      <c r="E147" s="51">
        <v>1</v>
      </c>
      <c r="F147" s="51"/>
      <c r="G147" s="51"/>
      <c r="H147" s="51"/>
      <c r="I147" s="57">
        <f>IF(A147&lt;&gt;0,(B147-(B146-D146))/(A147-A146),"")</f>
        <v>11.4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50</v>
      </c>
      <c r="B148" s="60">
        <v>303</v>
      </c>
      <c r="C148" s="50">
        <v>9</v>
      </c>
      <c r="D148" s="60">
        <v>21</v>
      </c>
      <c r="E148" s="51">
        <v>1</v>
      </c>
      <c r="F148" s="51"/>
      <c r="G148" s="51"/>
      <c r="H148" s="51"/>
      <c r="I148" s="57">
        <f t="shared" si="5"/>
        <v>9.8000000000000007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55</v>
      </c>
      <c r="B149" s="60">
        <v>324</v>
      </c>
      <c r="C149" s="50">
        <v>10</v>
      </c>
      <c r="D149" s="60">
        <v>18</v>
      </c>
      <c r="E149" s="51">
        <v>1</v>
      </c>
      <c r="F149" s="51"/>
      <c r="G149" s="51"/>
      <c r="H149" s="51"/>
      <c r="I149" s="57">
        <f t="shared" si="5"/>
        <v>8.4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60</v>
      </c>
      <c r="B150" s="60">
        <v>343</v>
      </c>
      <c r="C150" s="50">
        <v>11</v>
      </c>
      <c r="D150" s="60">
        <v>17</v>
      </c>
      <c r="E150" s="51">
        <v>1</v>
      </c>
      <c r="F150" s="51"/>
      <c r="G150" s="51"/>
      <c r="H150" s="51"/>
      <c r="I150" s="57">
        <f t="shared" si="5"/>
        <v>7.4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65</v>
      </c>
      <c r="B151" s="60">
        <v>356</v>
      </c>
      <c r="C151" s="50">
        <v>12</v>
      </c>
      <c r="D151" s="60">
        <v>16</v>
      </c>
      <c r="E151" s="51">
        <v>1</v>
      </c>
      <c r="F151" s="51"/>
      <c r="G151" s="51"/>
      <c r="H151" s="51"/>
      <c r="I151" s="57">
        <f t="shared" si="5"/>
        <v>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70</v>
      </c>
      <c r="B152" s="60">
        <v>366</v>
      </c>
      <c r="C152" s="50">
        <v>13</v>
      </c>
      <c r="D152" s="60">
        <v>15</v>
      </c>
      <c r="E152" s="54">
        <v>1</v>
      </c>
      <c r="F152" s="54"/>
      <c r="G152" s="54"/>
      <c r="H152" s="54"/>
      <c r="I152" s="57">
        <f t="shared" si="5"/>
        <v>5.2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75</v>
      </c>
      <c r="B153" s="60">
        <v>375</v>
      </c>
      <c r="C153" s="50">
        <v>14</v>
      </c>
      <c r="D153" s="60">
        <v>14</v>
      </c>
      <c r="E153" s="54">
        <v>1</v>
      </c>
      <c r="F153" s="54"/>
      <c r="G153" s="54"/>
      <c r="H153" s="54"/>
      <c r="I153" s="57">
        <f t="shared" si="5"/>
        <v>4.8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80</v>
      </c>
      <c r="B154" s="56">
        <v>381</v>
      </c>
      <c r="C154" s="50">
        <v>15</v>
      </c>
      <c r="D154" s="50">
        <v>13</v>
      </c>
      <c r="E154" s="54">
        <v>1</v>
      </c>
      <c r="F154" s="54"/>
      <c r="G154" s="54"/>
      <c r="H154" s="54"/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Erable plane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19</v>
      </c>
      <c r="C166" s="60">
        <v>1</v>
      </c>
      <c r="D166" s="60">
        <v>7</v>
      </c>
      <c r="E166" s="51"/>
      <c r="F166" s="51"/>
      <c r="G166" s="51"/>
      <c r="H166" s="51">
        <v>1</v>
      </c>
      <c r="I166" s="49">
        <f>IFERROR(B166/A166,"")</f>
        <v>1.9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85</v>
      </c>
      <c r="C167" s="60">
        <v>2</v>
      </c>
      <c r="D167" s="60">
        <v>42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14.6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123</v>
      </c>
      <c r="C168" s="60">
        <v>3</v>
      </c>
      <c r="D168" s="60">
        <v>42</v>
      </c>
      <c r="E168" s="51"/>
      <c r="F168" s="51"/>
      <c r="G168" s="51"/>
      <c r="H168" s="51">
        <v>1</v>
      </c>
      <c r="I168" s="49">
        <f t="shared" si="6"/>
        <v>16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165</v>
      </c>
      <c r="C169" s="60">
        <v>4</v>
      </c>
      <c r="D169" s="60">
        <v>42</v>
      </c>
      <c r="E169" s="51"/>
      <c r="F169" s="51"/>
      <c r="G169" s="51"/>
      <c r="H169" s="51">
        <v>1</v>
      </c>
      <c r="I169" s="49">
        <f t="shared" si="6"/>
        <v>16.8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205</v>
      </c>
      <c r="C170" s="60">
        <v>5</v>
      </c>
      <c r="D170" s="60">
        <v>42</v>
      </c>
      <c r="E170" s="51"/>
      <c r="F170" s="51"/>
      <c r="G170" s="51"/>
      <c r="H170" s="51">
        <v>1</v>
      </c>
      <c r="I170" s="49">
        <f t="shared" si="6"/>
        <v>16.399999999999999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239</v>
      </c>
      <c r="C171" s="60">
        <v>6</v>
      </c>
      <c r="D171" s="60">
        <v>42</v>
      </c>
      <c r="E171" s="51">
        <v>1</v>
      </c>
      <c r="F171" s="51"/>
      <c r="G171" s="51"/>
      <c r="H171" s="51"/>
      <c r="I171" s="49">
        <f t="shared" si="6"/>
        <v>15.2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263</v>
      </c>
      <c r="C172" s="60">
        <v>7</v>
      </c>
      <c r="D172" s="60">
        <v>40</v>
      </c>
      <c r="E172" s="51">
        <v>1</v>
      </c>
      <c r="F172" s="51"/>
      <c r="G172" s="51"/>
      <c r="H172" s="51"/>
      <c r="I172" s="49">
        <f t="shared" si="6"/>
        <v>13.2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280</v>
      </c>
      <c r="C173" s="50">
        <v>8</v>
      </c>
      <c r="D173" s="50">
        <v>26</v>
      </c>
      <c r="E173" s="51">
        <v>1</v>
      </c>
      <c r="F173" s="51"/>
      <c r="G173" s="51"/>
      <c r="H173" s="51"/>
      <c r="I173" s="49">
        <f t="shared" si="6"/>
        <v>11.4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303</v>
      </c>
      <c r="C174" s="50">
        <v>9</v>
      </c>
      <c r="D174" s="50">
        <v>21</v>
      </c>
      <c r="E174" s="51">
        <v>1</v>
      </c>
      <c r="F174" s="51"/>
      <c r="G174" s="51"/>
      <c r="H174" s="51"/>
      <c r="I174" s="49">
        <f t="shared" si="6"/>
        <v>9.8000000000000007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324</v>
      </c>
      <c r="C175" s="50">
        <v>10</v>
      </c>
      <c r="D175" s="50">
        <v>18</v>
      </c>
      <c r="E175" s="51">
        <v>1</v>
      </c>
      <c r="F175" s="51"/>
      <c r="G175" s="51"/>
      <c r="H175" s="51"/>
      <c r="I175" s="49">
        <f t="shared" si="6"/>
        <v>8.4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343</v>
      </c>
      <c r="C176" s="50">
        <v>11</v>
      </c>
      <c r="D176" s="50">
        <v>17</v>
      </c>
      <c r="E176" s="51">
        <v>1</v>
      </c>
      <c r="F176" s="51"/>
      <c r="G176" s="51"/>
      <c r="H176" s="51"/>
      <c r="I176" s="49">
        <f t="shared" si="6"/>
        <v>7.4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356</v>
      </c>
      <c r="C177" s="50">
        <v>12</v>
      </c>
      <c r="D177" s="50">
        <v>16</v>
      </c>
      <c r="E177" s="51">
        <v>1</v>
      </c>
      <c r="F177" s="51"/>
      <c r="G177" s="51"/>
      <c r="H177" s="51"/>
      <c r="I177" s="49">
        <f t="shared" si="6"/>
        <v>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366</v>
      </c>
      <c r="C178" s="50">
        <v>13</v>
      </c>
      <c r="D178" s="50">
        <v>15</v>
      </c>
      <c r="E178" s="51">
        <v>1</v>
      </c>
      <c r="F178" s="51"/>
      <c r="G178" s="51"/>
      <c r="H178" s="51"/>
      <c r="I178" s="49">
        <f t="shared" si="6"/>
        <v>5.2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375</v>
      </c>
      <c r="C179" s="50">
        <v>14</v>
      </c>
      <c r="D179" s="50">
        <v>14</v>
      </c>
      <c r="E179" s="51">
        <v>1</v>
      </c>
      <c r="F179" s="51"/>
      <c r="G179" s="51"/>
      <c r="H179" s="51"/>
      <c r="I179" s="49">
        <f t="shared" si="6"/>
        <v>4.8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381</v>
      </c>
      <c r="C180" s="50">
        <v>15</v>
      </c>
      <c r="D180" s="50">
        <v>13</v>
      </c>
      <c r="E180" s="51">
        <v>1</v>
      </c>
      <c r="F180" s="51"/>
      <c r="G180" s="51"/>
      <c r="H180" s="51"/>
      <c r="I180" s="49">
        <f t="shared" si="6"/>
        <v>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Merisier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15</v>
      </c>
      <c r="B192" s="60">
        <v>25.641025641025639</v>
      </c>
      <c r="C192" s="60">
        <v>1</v>
      </c>
      <c r="D192" s="60">
        <v>1.9230769230769229</v>
      </c>
      <c r="E192" s="51"/>
      <c r="F192" s="51"/>
      <c r="G192" s="51"/>
      <c r="H192" s="51">
        <v>1</v>
      </c>
      <c r="I192" s="49">
        <f>IFERROR(B192/A192,"")</f>
        <v>1.7094017094017093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54.487179487179482</v>
      </c>
      <c r="C193" s="60">
        <v>2</v>
      </c>
      <c r="D193" s="60">
        <v>16.025641025641026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6.1538461538461533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25</v>
      </c>
      <c r="B194" s="60">
        <v>72.435897435897431</v>
      </c>
      <c r="C194" s="60">
        <v>3</v>
      </c>
      <c r="D194" s="60">
        <v>17.307692307692307</v>
      </c>
      <c r="E194" s="51"/>
      <c r="F194" s="51"/>
      <c r="G194" s="51"/>
      <c r="H194" s="51">
        <v>1</v>
      </c>
      <c r="I194" s="49">
        <f t="shared" si="7"/>
        <v>6.7948717948717956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31</v>
      </c>
      <c r="B195" s="60">
        <v>99.358974358974351</v>
      </c>
      <c r="C195" s="60">
        <v>4</v>
      </c>
      <c r="D195" s="60">
        <v>23.076923076923077</v>
      </c>
      <c r="E195" s="51">
        <v>1</v>
      </c>
      <c r="F195" s="51"/>
      <c r="G195" s="51"/>
      <c r="H195" s="51"/>
      <c r="I195" s="49">
        <f t="shared" si="7"/>
        <v>7.3717948717948714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37</v>
      </c>
      <c r="B196" s="60">
        <v>120.51282051282051</v>
      </c>
      <c r="C196" s="60">
        <v>5</v>
      </c>
      <c r="D196" s="60">
        <v>23.076923076923077</v>
      </c>
      <c r="E196" s="51">
        <v>1</v>
      </c>
      <c r="F196" s="51"/>
      <c r="G196" s="51"/>
      <c r="H196" s="51"/>
      <c r="I196" s="49">
        <f t="shared" si="7"/>
        <v>7.3717948717948731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44</v>
      </c>
      <c r="B197" s="60">
        <v>147.43589743589743</v>
      </c>
      <c r="C197" s="60">
        <v>6</v>
      </c>
      <c r="D197" s="60">
        <v>27.564102564102562</v>
      </c>
      <c r="E197" s="51">
        <v>1</v>
      </c>
      <c r="F197" s="51"/>
      <c r="G197" s="51"/>
      <c r="H197" s="51"/>
      <c r="I197" s="49">
        <f t="shared" si="7"/>
        <v>7.1428571428571432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52</v>
      </c>
      <c r="B198" s="60">
        <v>173.07692307692307</v>
      </c>
      <c r="C198" s="60">
        <v>7</v>
      </c>
      <c r="D198" s="60">
        <v>30.769230769230766</v>
      </c>
      <c r="E198" s="51">
        <v>1</v>
      </c>
      <c r="F198" s="51"/>
      <c r="G198" s="51"/>
      <c r="H198" s="51"/>
      <c r="I198" s="49">
        <f t="shared" si="7"/>
        <v>6.6506410256410255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60</v>
      </c>
      <c r="B199" s="50">
        <v>190.38461538461539</v>
      </c>
      <c r="C199" s="50">
        <v>8</v>
      </c>
      <c r="D199" s="50">
        <v>30.128205128205128</v>
      </c>
      <c r="E199" s="51">
        <v>1</v>
      </c>
      <c r="F199" s="51"/>
      <c r="G199" s="51"/>
      <c r="H199" s="51"/>
      <c r="I199" s="49">
        <f t="shared" si="7"/>
        <v>6.0096153846153868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69</v>
      </c>
      <c r="B200" s="50">
        <v>210.25641025641025</v>
      </c>
      <c r="C200" s="50"/>
      <c r="D200" s="50"/>
      <c r="E200" s="51"/>
      <c r="F200" s="51"/>
      <c r="G200" s="51"/>
      <c r="H200" s="51"/>
      <c r="I200" s="49">
        <f t="shared" si="7"/>
        <v>5.5555555555555554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Tilleul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30</v>
      </c>
      <c r="B218" s="60">
        <v>121.8846154</v>
      </c>
      <c r="C218" s="50"/>
      <c r="D218" s="60"/>
      <c r="E218" s="63"/>
      <c r="F218" s="63"/>
      <c r="G218" s="63"/>
      <c r="H218" s="63"/>
      <c r="I218" s="53">
        <f>IFERROR(B218/A218,"")</f>
        <v>4.0628205133333335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35</v>
      </c>
      <c r="B219" s="60">
        <v>201.29</v>
      </c>
      <c r="C219" s="50">
        <v>1</v>
      </c>
      <c r="D219" s="60">
        <v>69.58</v>
      </c>
      <c r="E219" s="63">
        <v>1</v>
      </c>
      <c r="F219" s="63"/>
      <c r="G219" s="63"/>
      <c r="H219" s="63"/>
      <c r="I219" s="53">
        <f t="shared" ref="I219:I237" si="8">IF(A219&lt;&gt;0,(B219-(B218-D218))/(A219-A218),"")</f>
        <v>15.881076919999998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41</v>
      </c>
      <c r="B220" s="60">
        <v>208.88</v>
      </c>
      <c r="C220" s="50">
        <v>2</v>
      </c>
      <c r="D220" s="60">
        <v>47.41</v>
      </c>
      <c r="E220" s="63">
        <v>1</v>
      </c>
      <c r="F220" s="63"/>
      <c r="G220" s="63"/>
      <c r="H220" s="63"/>
      <c r="I220" s="53">
        <f t="shared" si="8"/>
        <v>12.86166666666667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48</v>
      </c>
      <c r="B221" s="55">
        <v>252.89</v>
      </c>
      <c r="C221" s="55">
        <v>3</v>
      </c>
      <c r="D221" s="55">
        <v>61.12</v>
      </c>
      <c r="E221" s="63">
        <v>1</v>
      </c>
      <c r="F221" s="63"/>
      <c r="G221" s="63"/>
      <c r="H221" s="63"/>
      <c r="I221" s="53">
        <f t="shared" si="8"/>
        <v>13.059999999999999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55</v>
      </c>
      <c r="B222" s="55">
        <v>277.67</v>
      </c>
      <c r="C222" s="55">
        <v>4</v>
      </c>
      <c r="D222" s="55">
        <v>58.24</v>
      </c>
      <c r="E222" s="63">
        <v>1</v>
      </c>
      <c r="F222" s="63"/>
      <c r="G222" s="63"/>
      <c r="H222" s="63"/>
      <c r="I222" s="53">
        <f t="shared" si="8"/>
        <v>12.271428571428576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63</v>
      </c>
      <c r="B223" s="55">
        <v>312.58999999999997</v>
      </c>
      <c r="C223" s="55">
        <v>5</v>
      </c>
      <c r="D223" s="55">
        <v>54.21</v>
      </c>
      <c r="E223" s="63">
        <v>1</v>
      </c>
      <c r="F223" s="63"/>
      <c r="G223" s="63"/>
      <c r="H223" s="63"/>
      <c r="I223" s="53">
        <f t="shared" si="8"/>
        <v>11.644999999999996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71</v>
      </c>
      <c r="B224" s="55">
        <v>348.69</v>
      </c>
      <c r="C224" s="55">
        <v>6</v>
      </c>
      <c r="D224" s="55">
        <v>52.07</v>
      </c>
      <c r="E224" s="63">
        <v>1</v>
      </c>
      <c r="F224" s="63"/>
      <c r="G224" s="63"/>
      <c r="H224" s="63"/>
      <c r="I224" s="53">
        <f t="shared" si="8"/>
        <v>11.28875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80</v>
      </c>
      <c r="B225" s="55">
        <v>395.71</v>
      </c>
      <c r="C225" s="55">
        <v>7</v>
      </c>
      <c r="D225" s="55">
        <v>59.57</v>
      </c>
      <c r="E225" s="63">
        <v>1</v>
      </c>
      <c r="F225" s="63"/>
      <c r="G225" s="63"/>
      <c r="H225" s="63"/>
      <c r="I225" s="53">
        <f t="shared" si="8"/>
        <v>11.009999999999998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89</v>
      </c>
      <c r="B226" s="55">
        <v>429.83</v>
      </c>
      <c r="C226" s="55">
        <v>8</v>
      </c>
      <c r="D226" s="55">
        <v>64.5</v>
      </c>
      <c r="E226" s="63">
        <v>1</v>
      </c>
      <c r="F226" s="63"/>
      <c r="G226" s="63"/>
      <c r="H226" s="63"/>
      <c r="I226" s="53">
        <f t="shared" si="8"/>
        <v>10.41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99</v>
      </c>
      <c r="B227" s="55">
        <v>464.8</v>
      </c>
      <c r="C227" s="55">
        <v>9</v>
      </c>
      <c r="D227" s="55">
        <v>62.94</v>
      </c>
      <c r="E227" s="63">
        <v>1</v>
      </c>
      <c r="F227" s="63"/>
      <c r="G227" s="63"/>
      <c r="H227" s="63"/>
      <c r="I227" s="53">
        <f t="shared" si="8"/>
        <v>9.9470000000000027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109</v>
      </c>
      <c r="B228" s="55">
        <v>498.97</v>
      </c>
      <c r="C228" s="55">
        <v>10</v>
      </c>
      <c r="D228" s="55">
        <v>66.959999999999994</v>
      </c>
      <c r="E228" s="63">
        <v>1</v>
      </c>
      <c r="F228" s="63"/>
      <c r="G228" s="63"/>
      <c r="H228" s="63"/>
      <c r="I228" s="53">
        <f t="shared" si="8"/>
        <v>9.7110000000000021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119</v>
      </c>
      <c r="B229" s="55">
        <v>526.04</v>
      </c>
      <c r="C229" s="55">
        <v>11</v>
      </c>
      <c r="D229" s="55">
        <v>196.46</v>
      </c>
      <c r="E229" s="63">
        <v>1</v>
      </c>
      <c r="F229" s="63"/>
      <c r="G229" s="63"/>
      <c r="H229" s="63"/>
      <c r="I229" s="53">
        <f t="shared" si="8"/>
        <v>9.4029999999999916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123</v>
      </c>
      <c r="B230" s="55">
        <v>328.09</v>
      </c>
      <c r="C230" s="55">
        <v>12</v>
      </c>
      <c r="D230" s="55">
        <v>100.6</v>
      </c>
      <c r="E230" s="64">
        <v>1</v>
      </c>
      <c r="F230" s="64"/>
      <c r="G230" s="64"/>
      <c r="H230" s="64"/>
      <c r="I230" s="53">
        <f t="shared" si="8"/>
        <v>-0.37249999999998806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>
        <v>127</v>
      </c>
      <c r="B231" s="60">
        <v>228.28</v>
      </c>
      <c r="C231" s="86">
        <v>13</v>
      </c>
      <c r="D231" s="60">
        <v>65.02</v>
      </c>
      <c r="E231" s="54">
        <v>1</v>
      </c>
      <c r="F231" s="54"/>
      <c r="G231" s="54"/>
      <c r="H231" s="54"/>
      <c r="I231" s="53">
        <f t="shared" si="8"/>
        <v>0.19750000000000512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131</v>
      </c>
      <c r="B232" s="50">
        <v>163.65</v>
      </c>
      <c r="C232" s="50">
        <v>14</v>
      </c>
      <c r="D232" s="50">
        <v>143.84</v>
      </c>
      <c r="E232" s="54">
        <v>1</v>
      </c>
      <c r="F232" s="54"/>
      <c r="G232" s="54"/>
      <c r="H232" s="54"/>
      <c r="I232" s="53">
        <f t="shared" si="8"/>
        <v>9.7500000000003695E-2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Aulne glutineux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10</v>
      </c>
      <c r="B244" s="60">
        <v>9</v>
      </c>
      <c r="C244" s="60">
        <v>1</v>
      </c>
      <c r="D244" s="60">
        <v>1</v>
      </c>
      <c r="E244" s="51"/>
      <c r="F244" s="51"/>
      <c r="G244" s="51"/>
      <c r="H244" s="63">
        <v>1</v>
      </c>
      <c r="I244" s="53">
        <f>IFERROR(B244/A244,"")</f>
        <v>0.9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15</v>
      </c>
      <c r="B245" s="60">
        <v>36</v>
      </c>
      <c r="C245" s="60">
        <v>2</v>
      </c>
      <c r="D245" s="60">
        <v>3</v>
      </c>
      <c r="E245" s="63"/>
      <c r="F245" s="63"/>
      <c r="G245" s="63"/>
      <c r="H245" s="63">
        <v>1</v>
      </c>
      <c r="I245" s="53">
        <f>IF(A245&lt;&gt;0,(B245-(B244-D244))/(A245-A244),"")</f>
        <v>5.6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20</v>
      </c>
      <c r="B246" s="60">
        <v>84</v>
      </c>
      <c r="C246" s="60">
        <v>3</v>
      </c>
      <c r="D246" s="60">
        <v>9</v>
      </c>
      <c r="E246" s="63"/>
      <c r="F246" s="63"/>
      <c r="G246" s="63"/>
      <c r="H246" s="63">
        <v>1</v>
      </c>
      <c r="I246" s="53">
        <f>IF(A246&lt;&gt;0,(B246-(B245-D245))/(A246-A245),"")</f>
        <v>10.199999999999999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25</v>
      </c>
      <c r="B247" s="60">
        <v>116</v>
      </c>
      <c r="C247" s="60">
        <v>4</v>
      </c>
      <c r="D247" s="60">
        <v>18</v>
      </c>
      <c r="E247" s="63"/>
      <c r="F247" s="63"/>
      <c r="G247" s="63"/>
      <c r="H247" s="63">
        <v>1</v>
      </c>
      <c r="I247" s="53">
        <f t="shared" ref="I247:I263" si="9">IF(A247&lt;&gt;0,(B247-(B246-D246))/(A247-A246),"")</f>
        <v>8.1999999999999993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30</v>
      </c>
      <c r="B248" s="60">
        <v>137</v>
      </c>
      <c r="C248" s="60">
        <v>5</v>
      </c>
      <c r="D248" s="60">
        <v>20</v>
      </c>
      <c r="E248" s="63"/>
      <c r="F248" s="63"/>
      <c r="G248" s="63"/>
      <c r="H248" s="63">
        <v>1</v>
      </c>
      <c r="I248" s="53">
        <f t="shared" si="9"/>
        <v>7.8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35</v>
      </c>
      <c r="B249" s="60">
        <v>153</v>
      </c>
      <c r="C249" s="60">
        <v>6</v>
      </c>
      <c r="D249" s="60">
        <v>21</v>
      </c>
      <c r="E249" s="63">
        <v>1</v>
      </c>
      <c r="F249" s="63"/>
      <c r="G249" s="63"/>
      <c r="H249" s="63"/>
      <c r="I249" s="53">
        <f t="shared" si="9"/>
        <v>7.2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40</v>
      </c>
      <c r="B250" s="60">
        <v>167</v>
      </c>
      <c r="C250" s="60">
        <v>7</v>
      </c>
      <c r="D250" s="60">
        <v>22</v>
      </c>
      <c r="E250" s="63">
        <v>1</v>
      </c>
      <c r="F250" s="63"/>
      <c r="G250" s="63"/>
      <c r="H250" s="63"/>
      <c r="I250" s="53">
        <f t="shared" si="9"/>
        <v>7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45</v>
      </c>
      <c r="B251" s="55">
        <v>177</v>
      </c>
      <c r="C251" s="55">
        <v>8</v>
      </c>
      <c r="D251" s="55">
        <v>22</v>
      </c>
      <c r="E251" s="63">
        <v>1</v>
      </c>
      <c r="F251" s="63"/>
      <c r="G251" s="63"/>
      <c r="H251" s="63"/>
      <c r="I251" s="53">
        <f t="shared" si="9"/>
        <v>6.4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50</v>
      </c>
      <c r="B252" s="55">
        <v>184</v>
      </c>
      <c r="C252" s="55">
        <v>9</v>
      </c>
      <c r="D252" s="55">
        <v>21</v>
      </c>
      <c r="E252" s="63">
        <v>1</v>
      </c>
      <c r="F252" s="63"/>
      <c r="G252" s="63"/>
      <c r="H252" s="63"/>
      <c r="I252" s="53">
        <f t="shared" si="9"/>
        <v>5.8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55</v>
      </c>
      <c r="B253" s="55">
        <v>191</v>
      </c>
      <c r="C253" s="55">
        <v>10</v>
      </c>
      <c r="D253" s="55">
        <v>20</v>
      </c>
      <c r="E253" s="63">
        <v>1</v>
      </c>
      <c r="F253" s="63"/>
      <c r="G253" s="63"/>
      <c r="H253" s="63"/>
      <c r="I253" s="53">
        <f t="shared" si="9"/>
        <v>5.6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60</v>
      </c>
      <c r="B254" s="55">
        <v>196</v>
      </c>
      <c r="C254" s="55">
        <v>11</v>
      </c>
      <c r="D254" s="55">
        <v>19</v>
      </c>
      <c r="E254" s="63">
        <v>1</v>
      </c>
      <c r="F254" s="63"/>
      <c r="G254" s="63"/>
      <c r="H254" s="63"/>
      <c r="I254" s="53">
        <f t="shared" si="9"/>
        <v>5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65</v>
      </c>
      <c r="B255" s="55">
        <v>201</v>
      </c>
      <c r="C255" s="55">
        <v>12</v>
      </c>
      <c r="D255" s="55">
        <v>18</v>
      </c>
      <c r="E255" s="63">
        <v>1</v>
      </c>
      <c r="F255" s="63"/>
      <c r="G255" s="63"/>
      <c r="H255" s="63"/>
      <c r="I255" s="53">
        <f t="shared" si="9"/>
        <v>4.8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70</v>
      </c>
      <c r="B256" s="55">
        <v>205</v>
      </c>
      <c r="C256" s="55">
        <v>13</v>
      </c>
      <c r="D256" s="55">
        <v>17</v>
      </c>
      <c r="E256" s="64">
        <v>1</v>
      </c>
      <c r="F256" s="64"/>
      <c r="G256" s="64"/>
      <c r="H256" s="64"/>
      <c r="I256" s="53">
        <f t="shared" si="9"/>
        <v>4.4000000000000004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>
        <v>75</v>
      </c>
      <c r="B257" s="60">
        <v>208</v>
      </c>
      <c r="C257" s="86">
        <v>14</v>
      </c>
      <c r="D257" s="60">
        <v>16</v>
      </c>
      <c r="E257" s="54">
        <v>1</v>
      </c>
      <c r="F257" s="54"/>
      <c r="G257" s="54"/>
      <c r="H257" s="54"/>
      <c r="I257" s="53">
        <f t="shared" si="9"/>
        <v>4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>
        <v>80</v>
      </c>
      <c r="B258" s="50">
        <v>211</v>
      </c>
      <c r="C258" s="50">
        <v>15</v>
      </c>
      <c r="D258" s="50">
        <v>15</v>
      </c>
      <c r="E258" s="54">
        <v>1</v>
      </c>
      <c r="F258" s="54"/>
      <c r="G258" s="54"/>
      <c r="H258" s="54"/>
      <c r="I258" s="53">
        <f t="shared" si="9"/>
        <v>3.8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>
        <v>85</v>
      </c>
      <c r="B259" s="50">
        <v>214</v>
      </c>
      <c r="C259" s="50">
        <v>16</v>
      </c>
      <c r="D259" s="50">
        <v>14</v>
      </c>
      <c r="E259" s="54">
        <v>1</v>
      </c>
      <c r="F259" s="54"/>
      <c r="G259" s="54"/>
      <c r="H259" s="54"/>
      <c r="I259" s="53">
        <f t="shared" si="9"/>
        <v>3.6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>
        <v>90</v>
      </c>
      <c r="B260" s="50">
        <v>217</v>
      </c>
      <c r="C260" s="50">
        <v>17</v>
      </c>
      <c r="D260" s="50">
        <v>13</v>
      </c>
      <c r="E260" s="54">
        <v>1</v>
      </c>
      <c r="F260" s="54"/>
      <c r="G260" s="54"/>
      <c r="H260" s="54"/>
      <c r="I260" s="53">
        <f t="shared" si="9"/>
        <v>3.4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Bouleau verruqueux</v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15</v>
      </c>
      <c r="B270" s="60">
        <v>42</v>
      </c>
      <c r="C270" s="50"/>
      <c r="D270" s="60">
        <v>0</v>
      </c>
      <c r="E270" s="51"/>
      <c r="F270" s="51"/>
      <c r="G270" s="51"/>
      <c r="H270" s="51"/>
      <c r="I270" s="53">
        <f>IFERROR(B270/A270,"")</f>
        <v>2.8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20</v>
      </c>
      <c r="B271" s="60">
        <v>69</v>
      </c>
      <c r="C271" s="50">
        <v>1</v>
      </c>
      <c r="D271" s="60">
        <v>15</v>
      </c>
      <c r="E271" s="51"/>
      <c r="F271" s="51"/>
      <c r="G271" s="51"/>
      <c r="H271" s="51">
        <v>1</v>
      </c>
      <c r="I271" s="53">
        <f>IF(A271&lt;&gt;0,(B271-(B270-D270))/(A271-A270),"")</f>
        <v>5.4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25</v>
      </c>
      <c r="B272" s="60">
        <v>83</v>
      </c>
      <c r="C272" s="50">
        <v>2</v>
      </c>
      <c r="D272" s="60">
        <v>10</v>
      </c>
      <c r="E272" s="51"/>
      <c r="F272" s="51"/>
      <c r="G272" s="51"/>
      <c r="H272" s="51">
        <v>1</v>
      </c>
      <c r="I272" s="53">
        <f t="shared" ref="I272:I289" si="10">IF(A272&lt;&gt;0,(B272-(B271-D271))/(A272-A271),"")</f>
        <v>5.8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30</v>
      </c>
      <c r="B273" s="60">
        <v>103</v>
      </c>
      <c r="C273" s="50">
        <v>3</v>
      </c>
      <c r="D273" s="60">
        <v>11</v>
      </c>
      <c r="E273" s="51"/>
      <c r="F273" s="51"/>
      <c r="G273" s="51"/>
      <c r="H273" s="51">
        <v>1</v>
      </c>
      <c r="I273" s="53">
        <f t="shared" si="10"/>
        <v>6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35</v>
      </c>
      <c r="B274" s="60">
        <v>121</v>
      </c>
      <c r="C274" s="50">
        <v>4</v>
      </c>
      <c r="D274" s="60">
        <v>12</v>
      </c>
      <c r="E274" s="51">
        <v>1</v>
      </c>
      <c r="F274" s="51"/>
      <c r="G274" s="51"/>
      <c r="H274" s="51"/>
      <c r="I274" s="53">
        <f t="shared" si="10"/>
        <v>5.8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40</v>
      </c>
      <c r="B275" s="60">
        <v>139</v>
      </c>
      <c r="C275" s="50">
        <v>5</v>
      </c>
      <c r="D275" s="60">
        <v>13</v>
      </c>
      <c r="E275" s="63">
        <v>1</v>
      </c>
      <c r="F275" s="63"/>
      <c r="G275" s="63"/>
      <c r="H275" s="63"/>
      <c r="I275" s="53">
        <f t="shared" si="10"/>
        <v>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45</v>
      </c>
      <c r="B276" s="60">
        <v>156</v>
      </c>
      <c r="C276" s="50">
        <v>6</v>
      </c>
      <c r="D276" s="60">
        <v>14</v>
      </c>
      <c r="E276" s="63">
        <v>1</v>
      </c>
      <c r="F276" s="63"/>
      <c r="G276" s="63"/>
      <c r="H276" s="63"/>
      <c r="I276" s="53">
        <f t="shared" si="10"/>
        <v>6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>
        <v>50</v>
      </c>
      <c r="B277" s="55">
        <v>171</v>
      </c>
      <c r="C277" s="55">
        <v>7</v>
      </c>
      <c r="D277" s="55">
        <v>14</v>
      </c>
      <c r="E277" s="63">
        <v>1</v>
      </c>
      <c r="F277" s="63"/>
      <c r="G277" s="63"/>
      <c r="H277" s="63"/>
      <c r="I277" s="53">
        <f t="shared" si="10"/>
        <v>5.8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>
        <v>55</v>
      </c>
      <c r="B278" s="55">
        <v>184</v>
      </c>
      <c r="C278" s="55">
        <v>8</v>
      </c>
      <c r="D278" s="55">
        <v>14</v>
      </c>
      <c r="E278" s="63">
        <v>1</v>
      </c>
      <c r="F278" s="63"/>
      <c r="G278" s="63"/>
      <c r="H278" s="63"/>
      <c r="I278" s="53">
        <f t="shared" si="10"/>
        <v>5.4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>
        <v>60</v>
      </c>
      <c r="B279" s="55">
        <v>197</v>
      </c>
      <c r="C279" s="55">
        <v>9</v>
      </c>
      <c r="D279" s="55">
        <v>14</v>
      </c>
      <c r="E279" s="63">
        <v>1</v>
      </c>
      <c r="F279" s="63"/>
      <c r="G279" s="63"/>
      <c r="H279" s="63"/>
      <c r="I279" s="53">
        <f t="shared" si="10"/>
        <v>5.4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>
        <v>65</v>
      </c>
      <c r="B280" s="55">
        <v>208</v>
      </c>
      <c r="C280" s="55">
        <v>10</v>
      </c>
      <c r="D280" s="55">
        <v>14</v>
      </c>
      <c r="E280" s="63">
        <v>1</v>
      </c>
      <c r="F280" s="63"/>
      <c r="G280" s="63"/>
      <c r="H280" s="63"/>
      <c r="I280" s="53">
        <f t="shared" si="10"/>
        <v>5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>
        <v>70</v>
      </c>
      <c r="B281" s="55">
        <v>218</v>
      </c>
      <c r="C281" s="55">
        <v>11</v>
      </c>
      <c r="D281" s="55">
        <v>14</v>
      </c>
      <c r="E281" s="63">
        <v>1</v>
      </c>
      <c r="F281" s="63"/>
      <c r="G281" s="63"/>
      <c r="H281" s="63"/>
      <c r="I281" s="53">
        <f t="shared" si="10"/>
        <v>4.8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>
        <v>75</v>
      </c>
      <c r="B282" s="55">
        <v>227</v>
      </c>
      <c r="C282" s="55">
        <v>12</v>
      </c>
      <c r="D282" s="55">
        <v>14</v>
      </c>
      <c r="E282" s="64">
        <v>1</v>
      </c>
      <c r="F282" s="64"/>
      <c r="G282" s="64"/>
      <c r="H282" s="64"/>
      <c r="I282" s="53">
        <f t="shared" si="10"/>
        <v>4.5999999999999996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>
        <v>80</v>
      </c>
      <c r="B283" s="60">
        <v>234</v>
      </c>
      <c r="C283" s="86">
        <v>13</v>
      </c>
      <c r="D283" s="60">
        <v>13</v>
      </c>
      <c r="E283" s="54">
        <v>1</v>
      </c>
      <c r="F283" s="54"/>
      <c r="G283" s="54"/>
      <c r="H283" s="54"/>
      <c r="I283" s="53">
        <f t="shared" si="10"/>
        <v>4.2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>
        <v>85</v>
      </c>
      <c r="B284" s="50">
        <v>241</v>
      </c>
      <c r="C284" s="50">
        <v>14</v>
      </c>
      <c r="D284" s="50">
        <v>13</v>
      </c>
      <c r="E284" s="51">
        <v>1</v>
      </c>
      <c r="F284" s="51"/>
      <c r="G284" s="51"/>
      <c r="H284" s="51"/>
      <c r="I284" s="53">
        <f t="shared" si="10"/>
        <v>4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>
        <v>90</v>
      </c>
      <c r="B285" s="50">
        <v>246</v>
      </c>
      <c r="C285" s="50">
        <v>15</v>
      </c>
      <c r="D285" s="50">
        <v>12</v>
      </c>
      <c r="E285" s="51">
        <v>1</v>
      </c>
      <c r="F285" s="51"/>
      <c r="G285" s="51"/>
      <c r="H285" s="51"/>
      <c r="I285" s="53">
        <f t="shared" si="10"/>
        <v>3.6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="115" zoomScaleNormal="115" workbookViewId="0">
      <selection activeCell="F19" sqref="F1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Hêtre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Mélèze hybride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Douglas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Châtaignier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Erable plane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Merisier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Tilleul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>Aulne glutineux</v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>Bouleau verruqueux</v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567.42635821507474</v>
      </c>
      <c r="T3" s="59">
        <f>IF('Données projet'!E9&gt;30,$R$33-$H$33,LOOKUP('Données projet'!$E$9,$A$3:$A$203,R3:R203)-LOOKUP('Données projet'!$E$9,$A$3:$A$203,$H$3:$H$203))</f>
        <v>299.04735309930152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569.97793593332699</v>
      </c>
      <c r="AO3" s="59">
        <f>IF('Données projet'!E10&gt;30,$AM$33-$H$33,LOOKUP('Données projet'!$E$10,$A$3:$A$203,AM3:AM203)-LOOKUP('Données projet'!$E$10,$A$3:$A$203,$H$3:$H$203))</f>
        <v>331.25104323342907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215.37314197175104</v>
      </c>
      <c r="BJ3" s="59">
        <f>IF('Données projet'!E11&gt;30,$BH$33-$H$33,LOOKUP('Données projet'!$E$11,$A$3:$A$203,BH3:BH203)-LOOKUP('Données projet'!$E$11,$A$3:$A$203,$H$3:$H$203))</f>
        <v>361.17630426655978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420.4890915162182</v>
      </c>
      <c r="CE3" s="59">
        <f>IF('Données projet'!E12&gt;30,$CC$33-$H$33,LOOKUP('Données projet'!$E$12,$A$3:$A$203,CC3:CC203)-LOOKUP('Données projet'!$E$12,$A$3:$A$203,$H$3:$H$203))</f>
        <v>553.48432338023565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400.48995908576177</v>
      </c>
      <c r="CZ3" s="59">
        <f>IF('Données projet'!E13&gt;30,$CX$33-$H$33,LOOKUP('Données projet'!$E$13,$A$3:$A$203,CX3:CX203)-LOOKUP('Données projet'!$E$13,$A$3:$A$203,$H$3:$H$203))</f>
        <v>384.86917865380076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429.30603040255431</v>
      </c>
      <c r="DU3" s="59">
        <f>IF('Données projet'!E14&gt;30,$DS$33-$H$33,LOOKUP('Données projet'!$E$14,$A$3:$A$203,DS3:DS203)-LOOKUP('Données projet'!$E$14,$A$3:$A$203,$H$3:$H$203))</f>
        <v>412.18613903804726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217.53602321474159</v>
      </c>
      <c r="EP3" s="59">
        <f>IF('Données projet'!E15&gt;30,$EN$33-$H$33,LOOKUP('Données projet'!$E$15,$A$3:$A$203,EN3:EN203)-LOOKUP('Données projet'!$E$15,$A$3:$A$203,$H$3:$H$203))</f>
        <v>215.75909414893025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441.20130048888439</v>
      </c>
      <c r="FK3" s="59">
        <f>IF('Données projet'!E16&gt;30,$FI$33-$H$33,LOOKUP('Données projet'!$E$16,$A$3:$A$203,FI3:FI203)-LOOKUP('Données projet'!$E$16,$A$3:$A$203,$H$3:$H$203))</f>
        <v>237.47732532183946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165</v>
      </c>
      <c r="GE3" s="59">
        <f ca="1">AVERAGE(OFFSET($GD$3,0,0,'Données projet'!$E$17+1,1))-AVERAGE(OFFSET($H$3,0,0,'Données projet'!$E$17+1,1))</f>
        <v>257.66104339896992</v>
      </c>
      <c r="GF3" s="59">
        <f>IF('Données projet'!E17&gt;30,$GD$33-$H$33,LOOKUP('Données projet'!$E$17,$A$3:$A$203,GD3:GD203)-LOOKUP('Données projet'!$E$17,$A$3:$A$203,$H$3:$H$203))</f>
        <v>254.79488636184996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165</v>
      </c>
      <c r="GZ3" s="59">
        <f ca="1">AVERAGE(OFFSET($GY$3,0,0,'Données projet'!$E$18+1,1))-AVERAGE(OFFSET($H$3,0,0,'Données projet'!$E$18+1,1))</f>
        <v>299.98377156721153</v>
      </c>
      <c r="HA3" s="59">
        <f>IF('Données projet'!E18&gt;30,$GY$33-$H$33,LOOKUP('Données projet'!$E$18,$A$3:$A$203,GY3:GY203)-LOOKUP('Données projet'!$E$18,$A$3:$A$203,$H$3:$H$203))</f>
        <v>241.36164657721102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4.0628205133333335</v>
      </c>
      <c r="N4" s="13">
        <f>IF('Données projet'!$A$36&gt;35,N3+M4-V3,IF(A4&lt;'Données projet'!$A$36,$K$205^A4,IF(A4='Données projet'!$A$36,'Données projet'!$B$36,N3+M4-V3)))</f>
        <v>1.1736311550493581</v>
      </c>
      <c r="O4" s="13">
        <f>N4*VLOOKUP('Données projet'!$B$9,Paramètres!$A$1:$I$89,3,0)*VLOOKUP('Données projet'!$B$9,Paramètres!$A$1:$I$89,5,0)</f>
        <v>1.0619014690886592</v>
      </c>
      <c r="P4" s="13">
        <f>EXP(-1.0587+0.8836*LN(O4)+0.284)</f>
        <v>0.48595950733071469</v>
      </c>
      <c r="Q4" s="20">
        <f t="shared" ref="Q4:Q34" si="2">(O4+P4)*0.475*44/12</f>
        <v>2.6958578672637423</v>
      </c>
      <c r="R4" s="59">
        <f t="shared" si="0"/>
        <v>170.50829182018759</v>
      </c>
      <c r="S4" s="59">
        <f ca="1">AVERAGE(OFFSET($R$3,0,0,'Données projet'!$E$9+1,1))-AVERAGE(OFFSET($H$3,0,0,'Données projet'!$E$9+1,1))</f>
        <v>567.42635821507474</v>
      </c>
      <c r="T4" s="59">
        <f>$T$3</f>
        <v>299.04735309930152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1.2229519710813024</v>
      </c>
      <c r="AJ4" s="13">
        <f>AI4*VLOOKUP('Données projet'!$B$10,Paramètres!$A$1:$I$89,3,0)*VLOOKUP('Données projet'!$B$10,Paramètres!$A$1:$I$89,5,0)</f>
        <v>1.0492927911877574</v>
      </c>
      <c r="AK4" s="13">
        <f>EXP(-1.0587+0.8836*LN(AJ4)+0.284)</f>
        <v>0.48085748368030745</v>
      </c>
      <c r="AL4" s="20">
        <f t="shared" ref="AL4:AL67" si="4">(AJ4+AK4)*0.475*44/12</f>
        <v>2.6650117287285462</v>
      </c>
      <c r="AM4" s="59">
        <f t="shared" ref="AM4:AM67" si="5">AL4+(AD4+AE4)*44/12</f>
        <v>170.4774456816524</v>
      </c>
      <c r="AN4" s="59">
        <f ca="1">AVERAGE(OFFSET($AM$3,0,0,'Données projet'!$E$10+1,1))-AVERAGE(OFFSET($H$3,0,0,'Données projet'!$E$10+1,1))</f>
        <v>569.97793593332699</v>
      </c>
      <c r="AO4" s="59">
        <f>$AO$3</f>
        <v>331.25104323342907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9.6666666666666661</v>
      </c>
      <c r="BD4" s="12">
        <f>IF('Données projet'!$A$88&gt;35,BD3+BC4-BL3,IF(A4&lt;'Données projet'!$A$88,$BA$205^A4,IF(A4='Données projet'!$A$88,'Données projet'!$B$88,BD3+BC4-BL3)))</f>
        <v>1.4860662319460807</v>
      </c>
      <c r="BE4" s="13">
        <f>BD4*VLOOKUP('Données projet'!$B$11,Paramètres!$A$1:$I$89,3,0)*VLOOKUP('Données projet'!$B$11,Paramètres!$A$1:$I$89,5,0)</f>
        <v>0.81139216264255998</v>
      </c>
      <c r="BF4" s="13">
        <f>EXP(-1.0587+0.8836*LN(BE4)+0.284)</f>
        <v>0.38313198283208655</v>
      </c>
      <c r="BG4" s="20">
        <f t="shared" ref="BG4:BG67" si="7">(BE4+BF4)*0.475*44/12</f>
        <v>2.0804628867016759</v>
      </c>
      <c r="BH4" s="59">
        <f t="shared" ref="BH4:BH67" si="8">BG4+(AY4+AZ4)*44/12</f>
        <v>169.89289683962551</v>
      </c>
      <c r="BI4" s="59">
        <f ca="1">AVERAGE(OFFSET($BH$3,0,0,'Données projet'!$E$11+1,1))-AVERAGE(OFFSET($H$3,0,0,'Données projet'!$E$11+1,1))</f>
        <v>215.37314197175104</v>
      </c>
      <c r="BJ4" s="59">
        <f>$BJ$3</f>
        <v>361.17630426655978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10.169411764705883</v>
      </c>
      <c r="BY4" s="12">
        <f>IF('Données projet'!$A$114&gt;35,BY3+BX4-CG3,IF(A4&lt;'Données projet'!$A$114,$BV$205^A4,IF(A4='Données projet'!$A$114,'Données projet'!$B$114,BY3+BX4-CG3)))</f>
        <v>1.3540417154604885</v>
      </c>
      <c r="BZ4" s="13">
        <f>BY4*VLOOKUP('Données projet'!$B$12,Paramètres!$A$1:$I$89,3,0)*VLOOKUP('Données projet'!$B$12,Paramètres!$A$1:$I$89,5,0)</f>
        <v>0.75690931894241309</v>
      </c>
      <c r="CA4" s="13">
        <f>EXP(-1.0587+0.8836*LN(BZ4)+0.284)</f>
        <v>0.36030908494947955</v>
      </c>
      <c r="CB4" s="20">
        <f t="shared" ref="CB4:CB67" si="10">(BZ4+CA4)*0.475*44/12</f>
        <v>1.9458220534450461</v>
      </c>
      <c r="CC4" s="59">
        <f t="shared" ref="CC4:CC67" si="11">CB4+(BT4+BU4)*44/12</f>
        <v>169.7582560063689</v>
      </c>
      <c r="CD4" s="59">
        <f ca="1">AVERAGE(OFFSET($CC$3,0,0,'Données projet'!$E$12+1,1))-AVERAGE(OFFSET($H$3,0,0,'Données projet'!$E$12+1,1))</f>
        <v>420.4890915162182</v>
      </c>
      <c r="CE4" s="59">
        <f>$CE$3</f>
        <v>553.48432338023565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</v>
      </c>
      <c r="CT4" s="12">
        <f>IF('Données projet'!$A$140&gt;35,CT3+CS4-DB3,IF(A4&lt;'Données projet'!$A$140,$CQ$205^A4,IF(A4='Données projet'!$A$140,'Données projet'!$B$140,CT3+CS4-DB3)))</f>
        <v>1.3423796509621049</v>
      </c>
      <c r="CU4" s="17">
        <f>CT4*VLOOKUP('Données projet'!$B$13,Paramètres!$A$1:$I$89,3,0)*VLOOKUP('Données projet'!$B$13,Paramètres!$A$1:$I$89,5,0)</f>
        <v>0.98423276008541516</v>
      </c>
      <c r="CV4" s="13">
        <f>EXP(-1.0587+0.8836*LN(CU4)+0.284)</f>
        <v>0.45441566615213064</v>
      </c>
      <c r="CW4" s="20">
        <f t="shared" ref="CW4:CW67" si="13">(CU4+CV4)*0.475*44/12</f>
        <v>2.5056460090303925</v>
      </c>
      <c r="CX4" s="59">
        <f t="shared" ref="CX4:CX67" si="14">CW4+(CO4+CP4)*44/12</f>
        <v>170.31807996195423</v>
      </c>
      <c r="CY4" s="59">
        <f ca="1">AVERAGE(OFFSET($CX$3,0,0,'Données projet'!$E$13+1,1))-AVERAGE(OFFSET($H$3,0,0,'Données projet'!$E$13+1,1))</f>
        <v>400.48995908576177</v>
      </c>
      <c r="CZ4" s="59">
        <f>$CZ$3</f>
        <v>384.86917865380076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1.9</v>
      </c>
      <c r="DO4" s="12">
        <f>IF('Données projet'!$A$166&gt;35,DO3+DN4-DW3,IF(A4&lt;'Données projet'!$A$166,$DL$205^A4,IF(A4='Données projet'!$A$166,'Données projet'!$B$166,DO3+DN4-DW3)))</f>
        <v>1.3423796509621049</v>
      </c>
      <c r="DP4" s="17">
        <f>DO4*VLOOKUP('Données projet'!$B$14,Paramètres!$A$1:$I$89,3,0)*VLOOKUP('Données projet'!$B$14,Paramètres!$A$1:$I$89,5,0)</f>
        <v>1.0679972503054507</v>
      </c>
      <c r="DQ4" s="13">
        <f>EXP(-1.0587+0.8836*LN(DP4)+0.284)</f>
        <v>0.48842359485523285</v>
      </c>
      <c r="DR4" s="20">
        <f t="shared" ref="DR4:DR67" si="16">(DP4+DQ4)*0.475*44/12</f>
        <v>2.7107663053215236</v>
      </c>
      <c r="DS4" s="59">
        <f t="shared" ref="DS4:DS67" si="17">DR4+(DJ4+DK4)*44/12</f>
        <v>170.52320025824537</v>
      </c>
      <c r="DT4" s="59">
        <f ca="1">AVERAGE(OFFSET($DS$3,0,0,'Données projet'!$E$14+1,1))-AVERAGE(OFFSET($H$3,0,0,'Données projet'!$E$14+1,1))</f>
        <v>429.30603040255431</v>
      </c>
      <c r="DU4" s="59">
        <f>$DU$3</f>
        <v>412.18613903804726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1.7094017094017093</v>
      </c>
      <c r="EJ4" s="12">
        <f>IF('Données projet'!$A$192&gt;35,EJ3+EI4-ER3,IF(A4&lt;'Données projet'!$A$192,$EG$205^A4,IF(A4='Données projet'!$A$192,'Données projet'!$B$192,EJ3+EI4-ER3)))</f>
        <v>1.2414494093563335</v>
      </c>
      <c r="EK4" s="17">
        <f>EJ4*VLOOKUP('Données projet'!$B$15,Paramètres!$A$1:$I$89,3,0)*VLOOKUP('Données projet'!$B$15,Paramètres!$A$1:$I$89,5,0)</f>
        <v>0.96833053929794022</v>
      </c>
      <c r="EL4" s="13">
        <f>EXP(-1.0587+0.8836*LN(EK4)+0.284)</f>
        <v>0.44792215440986066</v>
      </c>
      <c r="EM4" s="20">
        <f t="shared" ref="EM4:EM67" si="19">(EK4+EL4)*0.475*44/12</f>
        <v>2.4666401082077529</v>
      </c>
      <c r="EN4" s="59">
        <f t="shared" ref="EN4:EN67" si="20">EM4+(EE4+EF4)*44/12</f>
        <v>170.27907406113158</v>
      </c>
      <c r="EO4" s="59">
        <f ca="1">AVERAGE(OFFSET($EN$3,0,0,'Données projet'!$E$15+1,1))-AVERAGE(OFFSET($H$3,0,0,'Données projet'!$E$15+1,1))</f>
        <v>217.53602321474159</v>
      </c>
      <c r="EP4" s="59">
        <f>$EP$3</f>
        <v>215.75909414893025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4.0628205133333335</v>
      </c>
      <c r="FE4" s="12">
        <f>IF('Données projet'!$A$218&gt;35,FE3+FD4-FM3,IF(A4&lt;'Données projet'!$A$218,$FB$205^A4,IF(A4='Données projet'!$A$218,'Données projet'!$B$218,FE3+FD4-FM3)))</f>
        <v>1.1736311550493581</v>
      </c>
      <c r="FF4" s="17">
        <f>FE4*VLOOKUP('Données projet'!$B$16,Paramètres!$A$1:$I$89,3,0)*VLOOKUP('Données projet'!$B$16,Paramètres!$A$1:$I$89,5,0)</f>
        <v>0.78727177880710952</v>
      </c>
      <c r="FG4" s="13">
        <f>EXP(-1.0587+0.8836*LN(FF4)+0.284)</f>
        <v>0.37305067946279791</v>
      </c>
      <c r="FH4" s="20">
        <f t="shared" ref="FH4:FH67" si="22">(FF4+FG4)*0.475*44/12</f>
        <v>2.0208949481534222</v>
      </c>
      <c r="FI4" s="59">
        <f t="shared" ref="FI4:FI67" si="23">FH4+(EZ4+FA4)*44/12</f>
        <v>169.83332890107727</v>
      </c>
      <c r="FJ4" s="59">
        <f ca="1">AVERAGE(OFFSET($FI$3,0,0,'Données projet'!$E$16+1,1))-AVERAGE(OFFSET($H$3,0,0,'Données projet'!$E$16+1,1))</f>
        <v>441.20130048888439</v>
      </c>
      <c r="FK4" s="59">
        <f>$FK$3</f>
        <v>237.47732532183946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0.9</v>
      </c>
      <c r="FZ4" s="12">
        <f>IF('Données projet'!$A$244&gt;35,FZ3+FY4-GH3,IF(A4&lt;'Données projet'!$A$244,$FW$205^A4,IF(A4='Données projet'!$A$244,'Données projet'!$B$244,FZ3+FY4-GH3)))</f>
        <v>1.2457309396155174</v>
      </c>
      <c r="GA4" s="17">
        <f>FZ4*VLOOKUP('Données projet'!$B$17,Paramètres!$A$1:$I$89,3,0)*VLOOKUP('Données projet'!$B$17,Paramètres!$A$1:$I$89,5,0)</f>
        <v>0.81620291163608694</v>
      </c>
      <c r="GB4" s="13">
        <f>EXP(-1.0587+0.8836*LN(GA4)+0.284)</f>
        <v>0.38513847027569503</v>
      </c>
      <c r="GC4" s="20">
        <f t="shared" ref="GC4:GC67" si="25">(GA4+GB4)*0.475*44/12</f>
        <v>2.0923362401630201</v>
      </c>
      <c r="GD4" s="59">
        <f t="shared" ref="GD4:GD67" si="26">GC4+(FU4+FV4)*44/12</f>
        <v>169.90477019308685</v>
      </c>
      <c r="GE4" s="59">
        <f ca="1">AVERAGE(OFFSET($GD$3,0,0,'Données projet'!$E$17+1,1))-AVERAGE(OFFSET($H$3,0,0,'Données projet'!$E$17+1,1))</f>
        <v>257.66104339896992</v>
      </c>
      <c r="GF4" s="59">
        <f>$GF$3</f>
        <v>254.79488636184996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2.8</v>
      </c>
      <c r="GU4" s="12">
        <f>IF('Données projet'!$A$270&gt;35,GU3+GT4-HC3,IF(A4&lt;'Données projet'!$A$270,$GR$205^A4,IF(A4='Données projet'!$A$270,'Données projet'!$B$270,GU3+GT4-HC3)))</f>
        <v>1.282970348825361</v>
      </c>
      <c r="GV4" s="17">
        <f>GU4*VLOOKUP('Données projet'!$B$18,Paramètres!$A$1:$I$89,3,0)*VLOOKUP('Données projet'!$B$18,Paramètres!$A$1:$I$89,5,0)</f>
        <v>1.040745546967133</v>
      </c>
      <c r="GW4" s="13">
        <f>EXP(-1.0587+0.8836*LN(GV4)+0.284)</f>
        <v>0.47739483859767334</v>
      </c>
      <c r="GX4" s="20">
        <f t="shared" ref="GX4:GX67" si="28">(GV4+GW4)*0.475*44/12</f>
        <v>2.6440945048587046</v>
      </c>
      <c r="GY4" s="59">
        <f t="shared" ref="GY4:GY67" si="29">GX4+(GP4+GQ4)*44/12</f>
        <v>170.45652845778255</v>
      </c>
      <c r="GZ4" s="59">
        <f ca="1">AVERAGE(OFFSET($GY$3,0,0,'Données projet'!$E$18+1,1))-AVERAGE(OFFSET($H$3,0,0,'Données projet'!$E$18+1,1))</f>
        <v>299.98377156721153</v>
      </c>
      <c r="HA4" s="59">
        <f>$HA$3</f>
        <v>241.36164657721102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4.0628205133333335</v>
      </c>
      <c r="N5" s="13">
        <f>IF('Données projet'!$A$36&gt;35,N4+M5-V4,IF(A5&lt;'Données projet'!$A$36,$K$205^A5,IF(A5='Données projet'!$A$36,'Données projet'!$B$36,N4+M5-V4)))</f>
        <v>1.3774100881024904</v>
      </c>
      <c r="O5" s="13">
        <f>N5*VLOOKUP('Données projet'!$B$9,Paramètres!$A$1:$I$89,3,0)*VLOOKUP('Données projet'!$B$9,Paramètres!$A$1:$I$89,5,0)</f>
        <v>1.2462806477151334</v>
      </c>
      <c r="P5" s="13">
        <f t="shared" ref="P5:P68" si="33">EXP(-1.0587+0.8836*LN(O5)+0.284)</f>
        <v>0.55980687934033857</v>
      </c>
      <c r="Q5" s="20">
        <f t="shared" si="2"/>
        <v>3.1456024429549463</v>
      </c>
      <c r="R5" s="59">
        <f t="shared" si="0"/>
        <v>173.74288373045579</v>
      </c>
      <c r="S5" s="59">
        <f ca="1">AVERAGE(OFFSET($R$3,0,0,'Données projet'!$E$9+1,1))-AVERAGE(OFFSET($H$3,0,0,'Données projet'!$E$9+1,1))</f>
        <v>567.42635821507474</v>
      </c>
      <c r="T5" s="59">
        <f t="shared" ref="T5:T68" si="34">$T$3</f>
        <v>299.04735309930152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1.4956115235716427</v>
      </c>
      <c r="AJ5" s="13">
        <f>AI5*VLOOKUP('Données projet'!$B$10,Paramètres!$A$1:$I$89,3,0)*VLOOKUP('Données projet'!$B$10,Paramètres!$A$1:$I$89,5,0)</f>
        <v>1.2832346872244698</v>
      </c>
      <c r="AK5" s="13">
        <f t="shared" ref="AK5:AK68" si="35">EXP(-1.0587+0.8836*LN(AJ5)+0.284)</f>
        <v>0.57444879990343678</v>
      </c>
      <c r="AL5" s="20">
        <f t="shared" si="4"/>
        <v>3.2354654067477706</v>
      </c>
      <c r="AM5" s="59">
        <f t="shared" si="5"/>
        <v>173.83274669424861</v>
      </c>
      <c r="AN5" s="59">
        <f ca="1">AVERAGE(OFFSET($AM$3,0,0,'Données projet'!$E$10+1,1))-AVERAGE(OFFSET($H$3,0,0,'Données projet'!$E$10+1,1))</f>
        <v>569.97793593332699</v>
      </c>
      <c r="AO5" s="59">
        <f t="shared" ref="AO5:AO68" si="36">$AO$3</f>
        <v>331.25104323342907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9.6666666666666661</v>
      </c>
      <c r="BD5" s="12">
        <f>IF('Données projet'!$A$88&gt;35,BD4+BC5-BL4,IF(A5&lt;'Données projet'!$A$88,$BA$205^A5,IF(A5='Données projet'!$A$88,'Données projet'!$B$88,BD4+BC5-BL4)))</f>
        <v>2.2083928457304225</v>
      </c>
      <c r="BE5" s="13">
        <f>BD5*VLOOKUP('Données projet'!$B$11,Paramètres!$A$1:$I$89,3,0)*VLOOKUP('Données projet'!$B$11,Paramètres!$A$1:$I$89,5,0)</f>
        <v>1.2057824937688106</v>
      </c>
      <c r="BF5" s="13">
        <f t="shared" ref="BF5:BF68" si="37">EXP(-1.0587+0.8836*LN(BE5)+0.284)</f>
        <v>0.54370250071771287</v>
      </c>
      <c r="BG5" s="20">
        <f t="shared" si="7"/>
        <v>3.0470196987306952</v>
      </c>
      <c r="BH5" s="59">
        <f t="shared" si="8"/>
        <v>173.64430098623154</v>
      </c>
      <c r="BI5" s="59">
        <f ca="1">AVERAGE(OFFSET($BH$3,0,0,'Données projet'!$E$11+1,1))-AVERAGE(OFFSET($H$3,0,0,'Données projet'!$E$11+1,1))</f>
        <v>215.37314197175104</v>
      </c>
      <c r="BJ5" s="59">
        <f t="shared" ref="BJ5:BJ68" si="38">$BJ$3</f>
        <v>361.17630426655978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10.169411764705883</v>
      </c>
      <c r="BY5" s="12">
        <f>IF('Données projet'!$A$114&gt;35,BY4+BX5-CG4,IF(A5&lt;'Données projet'!$A$114,$BV$205^A5,IF(A5='Données projet'!$A$114,'Données projet'!$B$114,BY4+BX5-CG4)))</f>
        <v>1.8334289672071824</v>
      </c>
      <c r="BZ5" s="13">
        <f>BY5*VLOOKUP('Données projet'!$B$12,Paramètres!$A$1:$I$89,3,0)*VLOOKUP('Données projet'!$B$12,Paramètres!$A$1:$I$89,5,0)</f>
        <v>1.024886792668815</v>
      </c>
      <c r="CA5" s="13">
        <f t="shared" ref="CA5:CA68" si="39">EXP(-1.0587+0.8836*LN(BZ5)+0.284)</f>
        <v>0.47096137102098057</v>
      </c>
      <c r="CB5" s="20">
        <f t="shared" si="10"/>
        <v>2.6052688850930608</v>
      </c>
      <c r="CC5" s="59">
        <f t="shared" si="11"/>
        <v>173.2025501725939</v>
      </c>
      <c r="CD5" s="59">
        <f ca="1">AVERAGE(OFFSET($CC$3,0,0,'Données projet'!$E$12+1,1))-AVERAGE(OFFSET($H$3,0,0,'Données projet'!$E$12+1,1))</f>
        <v>420.4890915162182</v>
      </c>
      <c r="CE5" s="59">
        <f t="shared" ref="CE5:CE68" si="40">$CE$3</f>
        <v>553.48432338023565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</v>
      </c>
      <c r="CT5" s="12">
        <f>IF('Données projet'!$A$140&gt;35,CT4+CS5-DB4,IF(A5&lt;'Données projet'!$A$140,$CQ$205^A5,IF(A5='Données projet'!$A$140,'Données projet'!$B$140,CT4+CS5-DB4)))</f>
        <v>1.8019831273171425</v>
      </c>
      <c r="CU5" s="17">
        <f>CT5*VLOOKUP('Données projet'!$B$13,Paramètres!$A$1:$I$89,3,0)*VLOOKUP('Données projet'!$B$13,Paramètres!$A$1:$I$89,5,0)</f>
        <v>1.3212140289489287</v>
      </c>
      <c r="CV5" s="13">
        <f t="shared" ref="CV5:CV68" si="41">EXP(-1.0587+0.8836*LN(CU5)+0.284)</f>
        <v>0.58944591680017422</v>
      </c>
      <c r="CW5" s="20">
        <f t="shared" si="13"/>
        <v>3.327732738846354</v>
      </c>
      <c r="CX5" s="59">
        <f t="shared" si="14"/>
        <v>173.92501402634718</v>
      </c>
      <c r="CY5" s="59">
        <f ca="1">AVERAGE(OFFSET($CX$3,0,0,'Données projet'!$E$13+1,1))-AVERAGE(OFFSET($H$3,0,0,'Données projet'!$E$13+1,1))</f>
        <v>400.48995908576177</v>
      </c>
      <c r="CZ5" s="59">
        <f t="shared" ref="CZ5:CZ68" si="42">$CZ$3</f>
        <v>384.86917865380076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1.9</v>
      </c>
      <c r="DO5" s="12">
        <f>IF('Données projet'!$A$166&gt;35,DO4+DN5-DW4,IF(A5&lt;'Données projet'!$A$166,$DL$205^A5,IF(A5='Données projet'!$A$166,'Données projet'!$B$166,DO4+DN5-DW4)))</f>
        <v>1.8019831273171425</v>
      </c>
      <c r="DP5" s="17">
        <f>DO5*VLOOKUP('Données projet'!$B$14,Paramètres!$A$1:$I$89,3,0)*VLOOKUP('Données projet'!$B$14,Paramètres!$A$1:$I$89,5,0)</f>
        <v>1.4336577760935185</v>
      </c>
      <c r="DQ5" s="13">
        <f t="shared" ref="DQ5:DQ68" si="43">EXP(-1.0587+0.8836*LN(DP5)+0.284)</f>
        <v>0.63355934907379652</v>
      </c>
      <c r="DR5" s="20">
        <f t="shared" si="16"/>
        <v>3.6004031596664068</v>
      </c>
      <c r="DS5" s="59">
        <f t="shared" si="17"/>
        <v>174.19768444716723</v>
      </c>
      <c r="DT5" s="59">
        <f ca="1">AVERAGE(OFFSET($DS$3,0,0,'Données projet'!$E$14+1,1))-AVERAGE(OFFSET($H$3,0,0,'Données projet'!$E$14+1,1))</f>
        <v>429.30603040255431</v>
      </c>
      <c r="DU5" s="59">
        <f t="shared" ref="DU5:DU68" si="44">$DU$3</f>
        <v>412.18613903804726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1.7094017094017093</v>
      </c>
      <c r="EJ5" s="12">
        <f>IF('Données projet'!$A$192&gt;35,EJ4+EI5-ER4,IF(A5&lt;'Données projet'!$A$192,$EG$205^A5,IF(A5='Données projet'!$A$192,'Données projet'!$B$192,EJ4+EI5-ER4)))</f>
        <v>1.5411966359911893</v>
      </c>
      <c r="EK5" s="17">
        <f>EJ5*VLOOKUP('Données projet'!$B$15,Paramètres!$A$1:$I$89,3,0)*VLOOKUP('Données projet'!$B$15,Paramètres!$A$1:$I$89,5,0)</f>
        <v>1.2021333760731276</v>
      </c>
      <c r="EL5" s="13">
        <f t="shared" ref="EL5:EL68" si="45">EXP(-1.0587+0.8836*LN(EK5)+0.284)</f>
        <v>0.54224833966781483</v>
      </c>
      <c r="EM5" s="20">
        <f t="shared" si="19"/>
        <v>3.038131488248808</v>
      </c>
      <c r="EN5" s="59">
        <f t="shared" si="20"/>
        <v>173.63541277574964</v>
      </c>
      <c r="EO5" s="59">
        <f ca="1">AVERAGE(OFFSET($EN$3,0,0,'Données projet'!$E$15+1,1))-AVERAGE(OFFSET($H$3,0,0,'Données projet'!$E$15+1,1))</f>
        <v>217.53602321474159</v>
      </c>
      <c r="EP5" s="59">
        <f t="shared" ref="EP5:EP68" si="46">$EP$3</f>
        <v>215.75909414893025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4.0628205133333335</v>
      </c>
      <c r="FE5" s="12">
        <f>IF('Données projet'!$A$218&gt;35,FE4+FD5-FM4,IF(A5&lt;'Données projet'!$A$218,$FB$205^A5,IF(A5='Données projet'!$A$218,'Données projet'!$B$218,FE4+FD5-FM4)))</f>
        <v>1.3774100881024904</v>
      </c>
      <c r="FF5" s="17">
        <f>FE5*VLOOKUP('Données projet'!$B$16,Paramètres!$A$1:$I$89,3,0)*VLOOKUP('Données projet'!$B$16,Paramètres!$A$1:$I$89,5,0)</f>
        <v>0.92396668709915064</v>
      </c>
      <c r="FG5" s="13">
        <f t="shared" ref="FG5:FG68" si="47">EXP(-1.0587+0.8836*LN(FF5)+0.284)</f>
        <v>0.42974020171549071</v>
      </c>
      <c r="FH5" s="20">
        <f t="shared" si="22"/>
        <v>2.3577061646855002</v>
      </c>
      <c r="FI5" s="59">
        <f t="shared" si="23"/>
        <v>172.95498745218634</v>
      </c>
      <c r="FJ5" s="59">
        <f ca="1">AVERAGE(OFFSET($FI$3,0,0,'Données projet'!$E$16+1,1))-AVERAGE(OFFSET($H$3,0,0,'Données projet'!$E$16+1,1))</f>
        <v>441.20130048888439</v>
      </c>
      <c r="FK5" s="59">
        <f t="shared" ref="FK5:FK68" si="48">$FK$3</f>
        <v>237.47732532183946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0.9</v>
      </c>
      <c r="FZ5" s="12">
        <f>IF('Données projet'!$A$244&gt;35,FZ4+FY5-GH4,IF(A5&lt;'Données projet'!$A$244,$FW$205^A5,IF(A5='Données projet'!$A$244,'Données projet'!$B$244,FZ4+FY5-GH4)))</f>
        <v>1.5518455739153598</v>
      </c>
      <c r="GA5" s="17">
        <f>FZ5*VLOOKUP('Données projet'!$B$17,Paramètres!$A$1:$I$89,3,0)*VLOOKUP('Données projet'!$B$17,Paramètres!$A$1:$I$89,5,0)</f>
        <v>1.0167692200293437</v>
      </c>
      <c r="GB5" s="13">
        <f t="shared" ref="GB5:GB68" si="49">EXP(-1.0587+0.8836*LN(GA5)+0.284)</f>
        <v>0.46766381619902025</v>
      </c>
      <c r="GC5" s="20">
        <f t="shared" si="25"/>
        <v>2.5853875380977338</v>
      </c>
      <c r="GD5" s="59">
        <f t="shared" si="26"/>
        <v>173.18266882559857</v>
      </c>
      <c r="GE5" s="59">
        <f ca="1">AVERAGE(OFFSET($GD$3,0,0,'Données projet'!$E$17+1,1))-AVERAGE(OFFSET($H$3,0,0,'Données projet'!$E$17+1,1))</f>
        <v>257.66104339896992</v>
      </c>
      <c r="GF5" s="59">
        <f t="shared" ref="GF5:GF68" si="50">$GF$3</f>
        <v>254.79488636184996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2.8</v>
      </c>
      <c r="GU5" s="12">
        <f>IF('Données projet'!$A$270&gt;35,GU4+GT5-HC4,IF(A5&lt;'Données projet'!$A$270,$GR$205^A5,IF(A5='Données projet'!$A$270,'Données projet'!$B$270,GU4+GT5-HC4)))</f>
        <v>1.6460129159650685</v>
      </c>
      <c r="GV5" s="17">
        <f>GU5*VLOOKUP('Données projet'!$B$18,Paramètres!$A$1:$I$89,3,0)*VLOOKUP('Données projet'!$B$18,Paramètres!$A$1:$I$89,5,0)</f>
        <v>1.3352456774308636</v>
      </c>
      <c r="GW5" s="13">
        <f t="shared" ref="GW5:GW68" si="51">EXP(-1.0587+0.8836*LN(GV5)+0.284)</f>
        <v>0.59497391287501122</v>
      </c>
      <c r="GX5" s="20">
        <f t="shared" si="28"/>
        <v>3.3617991197827322</v>
      </c>
      <c r="GY5" s="59">
        <f t="shared" si="29"/>
        <v>173.95908040728358</v>
      </c>
      <c r="GZ5" s="59">
        <f ca="1">AVERAGE(OFFSET($GY$3,0,0,'Données projet'!$E$18+1,1))-AVERAGE(OFFSET($H$3,0,0,'Données projet'!$E$18+1,1))</f>
        <v>299.98377156721153</v>
      </c>
      <c r="HA5" s="59">
        <f t="shared" ref="HA5:HA68" si="52">$HA$3</f>
        <v>241.36164657721102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4.0628205133333335</v>
      </c>
      <c r="N6" s="13">
        <f>IF('Données projet'!$A$36&gt;35,N5+M6-V5,IF(A6&lt;'Données projet'!$A$36,$K$205^A6,IF(A6='Données projet'!$A$36,'Données projet'!$B$36,N5+M6-V5)))</f>
        <v>1.6165713926763641</v>
      </c>
      <c r="O6" s="13">
        <f>N6*VLOOKUP('Données projet'!$B$9,Paramètres!$A$1:$I$89,3,0)*VLOOKUP('Données projet'!$B$9,Paramètres!$A$1:$I$89,5,0)</f>
        <v>1.4626737960935743</v>
      </c>
      <c r="P6" s="13">
        <f t="shared" si="33"/>
        <v>0.64487624468574989</v>
      </c>
      <c r="Q6" s="20">
        <f t="shared" si="2"/>
        <v>3.670649654357323</v>
      </c>
      <c r="R6" s="59">
        <f t="shared" si="0"/>
        <v>177.02567022424222</v>
      </c>
      <c r="S6" s="59">
        <f ca="1">AVERAGE(OFFSET($R$3,0,0,'Données projet'!$E$9+1,1))-AVERAGE(OFFSET($H$3,0,0,'Données projet'!$E$9+1,1))</f>
        <v>567.42635821507474</v>
      </c>
      <c r="T6" s="59">
        <f t="shared" si="34"/>
        <v>299.04735309930152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1.8290610607238502</v>
      </c>
      <c r="AJ6" s="13">
        <f>AI6*VLOOKUP('Données projet'!$B$10,Paramètres!$A$1:$I$89,3,0)*VLOOKUP('Données projet'!$B$10,Paramètres!$A$1:$I$89,5,0)</f>
        <v>1.5693343901010637</v>
      </c>
      <c r="AK6" s="13">
        <f t="shared" si="35"/>
        <v>0.68625618797666377</v>
      </c>
      <c r="AL6" s="20">
        <f t="shared" si="4"/>
        <v>3.9284869234853752</v>
      </c>
      <c r="AM6" s="59">
        <f t="shared" si="5"/>
        <v>177.28350749337025</v>
      </c>
      <c r="AN6" s="59">
        <f ca="1">AVERAGE(OFFSET($AM$3,0,0,'Données projet'!$E$10+1,1))-AVERAGE(OFFSET($H$3,0,0,'Données projet'!$E$10+1,1))</f>
        <v>569.97793593332699</v>
      </c>
      <c r="AO6" s="59">
        <f t="shared" si="36"/>
        <v>331.25104323342907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9.6666666666666661</v>
      </c>
      <c r="BD6" s="12">
        <f>IF('Données projet'!$A$88&gt;35,BD5+BC6-BL5,IF(A6&lt;'Données projet'!$A$88,$BA$205^A6,IF(A6='Données projet'!$A$88,'Données projet'!$B$88,BD5+BC6-BL5)))</f>
        <v>3.2818180349112911</v>
      </c>
      <c r="BE6" s="13">
        <f>BD6*VLOOKUP('Données projet'!$B$11,Paramètres!$A$1:$I$89,3,0)*VLOOKUP('Données projet'!$B$11,Paramètres!$A$1:$I$89,5,0)</f>
        <v>1.7918726470615651</v>
      </c>
      <c r="BF6" s="13">
        <f t="shared" si="37"/>
        <v>0.77156808236563035</v>
      </c>
      <c r="BG6" s="20">
        <f t="shared" si="7"/>
        <v>4.4646592704190313</v>
      </c>
      <c r="BH6" s="59">
        <f t="shared" si="8"/>
        <v>177.81967984030391</v>
      </c>
      <c r="BI6" s="59">
        <f ca="1">AVERAGE(OFFSET($BH$3,0,0,'Données projet'!$E$11+1,1))-AVERAGE(OFFSET($H$3,0,0,'Données projet'!$E$11+1,1))</f>
        <v>215.37314197175104</v>
      </c>
      <c r="BJ6" s="59">
        <f t="shared" si="38"/>
        <v>361.17630426655978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10.169411764705883</v>
      </c>
      <c r="BY6" s="12">
        <f>IF('Données projet'!$A$114&gt;35,BY5+BX6-CG5,IF(A6&lt;'Données projet'!$A$114,$BV$205^A6,IF(A6='Données projet'!$A$114,'Données projet'!$B$114,BY5+BX6-CG5)))</f>
        <v>2.4825393039321648</v>
      </c>
      <c r="BZ6" s="13">
        <f>BY6*VLOOKUP('Données projet'!$B$12,Paramètres!$A$1:$I$89,3,0)*VLOOKUP('Données projet'!$B$12,Paramètres!$A$1:$I$89,5,0)</f>
        <v>1.3877394708980801</v>
      </c>
      <c r="CA6" s="13">
        <f t="shared" si="39"/>
        <v>0.61559539367446658</v>
      </c>
      <c r="CB6" s="20">
        <f t="shared" si="10"/>
        <v>3.4891415557971848</v>
      </c>
      <c r="CC6" s="59">
        <f t="shared" si="11"/>
        <v>176.84416212568206</v>
      </c>
      <c r="CD6" s="59">
        <f ca="1">AVERAGE(OFFSET($CC$3,0,0,'Données projet'!$E$12+1,1))-AVERAGE(OFFSET($H$3,0,0,'Données projet'!$E$12+1,1))</f>
        <v>420.4890915162182</v>
      </c>
      <c r="CE6" s="59">
        <f t="shared" si="40"/>
        <v>553.48432338023565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</v>
      </c>
      <c r="CT6" s="12">
        <f>IF('Données projet'!$A$140&gt;35,CT5+CS6-DB5,IF(A6&lt;'Données projet'!$A$140,$CQ$205^A6,IF(A6='Données projet'!$A$140,'Données projet'!$B$140,CT5+CS6-DB5)))</f>
        <v>2.4189454814875879</v>
      </c>
      <c r="CU6" s="17">
        <f>CT6*VLOOKUP('Données projet'!$B$13,Paramètres!$A$1:$I$89,3,0)*VLOOKUP('Données projet'!$B$13,Paramètres!$A$1:$I$89,5,0)</f>
        <v>1.7735708270266992</v>
      </c>
      <c r="CV6" s="13">
        <f t="shared" si="41"/>
        <v>0.76460059525341872</v>
      </c>
      <c r="CW6" s="20">
        <f t="shared" si="13"/>
        <v>4.4206485604712045</v>
      </c>
      <c r="CX6" s="59">
        <f t="shared" si="14"/>
        <v>177.77566913035608</v>
      </c>
      <c r="CY6" s="59">
        <f ca="1">AVERAGE(OFFSET($CX$3,0,0,'Données projet'!$E$13+1,1))-AVERAGE(OFFSET($H$3,0,0,'Données projet'!$E$13+1,1))</f>
        <v>400.48995908576177</v>
      </c>
      <c r="CZ6" s="59">
        <f t="shared" si="42"/>
        <v>384.86917865380076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1.9</v>
      </c>
      <c r="DO6" s="12">
        <f>IF('Données projet'!$A$166&gt;35,DO5+DN6-DW5,IF(A6&lt;'Données projet'!$A$166,$DL$205^A6,IF(A6='Données projet'!$A$166,'Données projet'!$B$166,DO5+DN6-DW5)))</f>
        <v>2.4189454814875879</v>
      </c>
      <c r="DP6" s="17">
        <f>DO6*VLOOKUP('Données projet'!$B$14,Paramètres!$A$1:$I$89,3,0)*VLOOKUP('Données projet'!$B$14,Paramètres!$A$1:$I$89,5,0)</f>
        <v>1.9245130250715252</v>
      </c>
      <c r="DQ6" s="13">
        <f t="shared" si="43"/>
        <v>0.82182239561499026</v>
      </c>
      <c r="DR6" s="20">
        <f t="shared" si="16"/>
        <v>4.7832008576956815</v>
      </c>
      <c r="DS6" s="59">
        <f t="shared" si="17"/>
        <v>178.13822142758056</v>
      </c>
      <c r="DT6" s="59">
        <f ca="1">AVERAGE(OFFSET($DS$3,0,0,'Données projet'!$E$14+1,1))-AVERAGE(OFFSET($H$3,0,0,'Données projet'!$E$14+1,1))</f>
        <v>429.30603040255431</v>
      </c>
      <c r="DU6" s="59">
        <f t="shared" si="44"/>
        <v>412.18613903804726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1.7094017094017093</v>
      </c>
      <c r="EJ6" s="12">
        <f>IF('Données projet'!$A$192&gt;35,EJ5+EI6-ER5,IF(A6&lt;'Données projet'!$A$192,$EG$205^A6,IF(A6='Données projet'!$A$192,'Données projet'!$B$192,EJ5+EI6-ER5)))</f>
        <v>1.9133176534532301</v>
      </c>
      <c r="EK6" s="17">
        <f>EJ6*VLOOKUP('Données projet'!$B$15,Paramètres!$A$1:$I$89,3,0)*VLOOKUP('Données projet'!$B$15,Paramètres!$A$1:$I$89,5,0)</f>
        <v>1.4923877696935195</v>
      </c>
      <c r="EL6" s="13">
        <f t="shared" si="45"/>
        <v>0.65643830959844374</v>
      </c>
      <c r="EM6" s="20">
        <f t="shared" si="19"/>
        <v>3.7425387547668367</v>
      </c>
      <c r="EN6" s="59">
        <f t="shared" si="20"/>
        <v>177.09755932465171</v>
      </c>
      <c r="EO6" s="59">
        <f ca="1">AVERAGE(OFFSET($EN$3,0,0,'Données projet'!$E$15+1,1))-AVERAGE(OFFSET($H$3,0,0,'Données projet'!$E$15+1,1))</f>
        <v>217.53602321474159</v>
      </c>
      <c r="EP6" s="59">
        <f t="shared" si="46"/>
        <v>215.75909414893025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4.0628205133333335</v>
      </c>
      <c r="FE6" s="12">
        <f>IF('Données projet'!$A$218&gt;35,FE5+FD6-FM5,IF(A6&lt;'Données projet'!$A$218,$FB$205^A6,IF(A6='Données projet'!$A$218,'Données projet'!$B$218,FE5+FD6-FM5)))</f>
        <v>1.6165713926763641</v>
      </c>
      <c r="FF6" s="17">
        <f>FE6*VLOOKUP('Données projet'!$B$16,Paramètres!$A$1:$I$89,3,0)*VLOOKUP('Données projet'!$B$16,Paramètres!$A$1:$I$89,5,0)</f>
        <v>1.0843960902073051</v>
      </c>
      <c r="FG6" s="13">
        <f t="shared" si="47"/>
        <v>0.49504437637376653</v>
      </c>
      <c r="FH6" s="20">
        <f t="shared" si="22"/>
        <v>2.7508588126286995</v>
      </c>
      <c r="FI6" s="59">
        <f t="shared" si="23"/>
        <v>176.10587938251359</v>
      </c>
      <c r="FJ6" s="59">
        <f ca="1">AVERAGE(OFFSET($FI$3,0,0,'Données projet'!$E$16+1,1))-AVERAGE(OFFSET($H$3,0,0,'Données projet'!$E$16+1,1))</f>
        <v>441.20130048888439</v>
      </c>
      <c r="FK6" s="59">
        <f t="shared" si="48"/>
        <v>237.47732532183946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0.9</v>
      </c>
      <c r="FZ6" s="12">
        <f>IF('Données projet'!$A$244&gt;35,FZ5+FY6-GH5,IF(A6&lt;'Données projet'!$A$244,$FW$205^A6,IF(A6='Données projet'!$A$244,'Données projet'!$B$244,FZ5+FY6-GH5)))</f>
        <v>1.9331820449317632</v>
      </c>
      <c r="GA6" s="17">
        <f>FZ6*VLOOKUP('Données projet'!$B$17,Paramètres!$A$1:$I$89,3,0)*VLOOKUP('Données projet'!$B$17,Paramètres!$A$1:$I$89,5,0)</f>
        <v>1.2666208758392912</v>
      </c>
      <c r="GB6" s="13">
        <f t="shared" si="49"/>
        <v>0.56787223780909624</v>
      </c>
      <c r="GC6" s="20">
        <f t="shared" si="25"/>
        <v>3.1950755062709413</v>
      </c>
      <c r="GD6" s="59">
        <f t="shared" si="26"/>
        <v>176.55009607615582</v>
      </c>
      <c r="GE6" s="59">
        <f ca="1">AVERAGE(OFFSET($GD$3,0,0,'Données projet'!$E$17+1,1))-AVERAGE(OFFSET($H$3,0,0,'Données projet'!$E$17+1,1))</f>
        <v>257.66104339896992</v>
      </c>
      <c r="GF6" s="59">
        <f t="shared" si="50"/>
        <v>254.79488636184996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2.8</v>
      </c>
      <c r="GU6" s="12">
        <f>IF('Données projet'!$A$270&gt;35,GU5+GT6-HC5,IF(A6&lt;'Données projet'!$A$270,$GR$205^A6,IF(A6='Données projet'!$A$270,'Données projet'!$B$270,GU5+GT6-HC5)))</f>
        <v>2.1117857649667533</v>
      </c>
      <c r="GV6" s="17">
        <f>GU6*VLOOKUP('Données projet'!$B$18,Paramètres!$A$1:$I$89,3,0)*VLOOKUP('Données projet'!$B$18,Paramètres!$A$1:$I$89,5,0)</f>
        <v>1.7130806125410305</v>
      </c>
      <c r="GW6" s="13">
        <f t="shared" si="51"/>
        <v>0.74151190666753608</v>
      </c>
      <c r="GX6" s="20">
        <f t="shared" si="28"/>
        <v>4.2750819709549202</v>
      </c>
      <c r="GY6" s="59">
        <f t="shared" si="29"/>
        <v>177.6301025408398</v>
      </c>
      <c r="GZ6" s="59">
        <f ca="1">AVERAGE(OFFSET($GY$3,0,0,'Données projet'!$E$18+1,1))-AVERAGE(OFFSET($H$3,0,0,'Données projet'!$E$18+1,1))</f>
        <v>299.98377156721153</v>
      </c>
      <c r="HA6" s="59">
        <f t="shared" si="52"/>
        <v>241.36164657721102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4.0628205133333335</v>
      </c>
      <c r="N7" s="13">
        <f>IF('Données projet'!$A$36&gt;35,N6+M7-V6,IF(A7&lt;'Données projet'!$A$36,$K$205^A7,IF(A7='Données projet'!$A$36,'Données projet'!$B$36,N6+M7-V6)))</f>
        <v>1.8972585508065105</v>
      </c>
      <c r="O7" s="13">
        <f>N7*VLOOKUP('Données projet'!$B$9,Paramètres!$A$1:$I$89,3,0)*VLOOKUP('Données projet'!$B$9,Paramètres!$A$1:$I$89,5,0)</f>
        <v>1.7166395367697307</v>
      </c>
      <c r="P7" s="13">
        <f t="shared" si="33"/>
        <v>0.74287291976482961</v>
      </c>
      <c r="Q7" s="20">
        <f t="shared" si="2"/>
        <v>4.2836508617976925</v>
      </c>
      <c r="R7" s="59">
        <f t="shared" si="0"/>
        <v>180.36977292597464</v>
      </c>
      <c r="S7" s="59">
        <f ca="1">AVERAGE(OFFSET($R$3,0,0,'Données projet'!$E$9+1,1))-AVERAGE(OFFSET($H$3,0,0,'Données projet'!$E$9+1,1))</f>
        <v>567.42635821507474</v>
      </c>
      <c r="T7" s="59">
        <f t="shared" si="34"/>
        <v>299.04735309930152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2.2368538294402907</v>
      </c>
      <c r="AJ7" s="13">
        <f>AI7*VLOOKUP('Données projet'!$B$10,Paramètres!$A$1:$I$89,3,0)*VLOOKUP('Données projet'!$B$10,Paramètres!$A$1:$I$89,5,0)</f>
        <v>1.9192205856597695</v>
      </c>
      <c r="AK7" s="13">
        <f t="shared" si="35"/>
        <v>0.8198251186449117</v>
      </c>
      <c r="AL7" s="20">
        <f t="shared" si="4"/>
        <v>4.770504601663986</v>
      </c>
      <c r="AM7" s="59">
        <f t="shared" si="5"/>
        <v>180.85662666584093</v>
      </c>
      <c r="AN7" s="59">
        <f ca="1">AVERAGE(OFFSET($AM$3,0,0,'Données projet'!$E$10+1,1))-AVERAGE(OFFSET($H$3,0,0,'Données projet'!$E$10+1,1))</f>
        <v>569.97793593332699</v>
      </c>
      <c r="AO7" s="59">
        <f t="shared" si="36"/>
        <v>331.25104323342907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9.6666666666666661</v>
      </c>
      <c r="BD7" s="12">
        <f>IF('Données projet'!$A$88&gt;35,BD6+BC7-BL6,IF(A7&lt;'Données projet'!$A$88,$BA$205^A7,IF(A7='Données projet'!$A$88,'Données projet'!$B$88,BD6+BC7-BL6)))</f>
        <v>4.8769989610733138</v>
      </c>
      <c r="BE7" s="13">
        <f>BD7*VLOOKUP('Données projet'!$B$11,Paramètres!$A$1:$I$89,3,0)*VLOOKUP('Données projet'!$B$11,Paramètres!$A$1:$I$89,5,0)</f>
        <v>2.6628414327460295</v>
      </c>
      <c r="BF7" s="13">
        <f t="shared" si="37"/>
        <v>1.0949320721157787</v>
      </c>
      <c r="BG7" s="20">
        <f t="shared" si="7"/>
        <v>6.5447888543009825</v>
      </c>
      <c r="BH7" s="59">
        <f t="shared" si="8"/>
        <v>182.63091091847792</v>
      </c>
      <c r="BI7" s="59">
        <f ca="1">AVERAGE(OFFSET($BH$3,0,0,'Données projet'!$E$11+1,1))-AVERAGE(OFFSET($H$3,0,0,'Données projet'!$E$11+1,1))</f>
        <v>215.37314197175104</v>
      </c>
      <c r="BJ7" s="59">
        <f t="shared" si="38"/>
        <v>361.17630426655978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10.169411764705883</v>
      </c>
      <c r="BY7" s="12">
        <f>IF('Données projet'!$A$114&gt;35,BY6+BX7-CG6,IF(A7&lt;'Données projet'!$A$114,$BV$205^A7,IF(A7='Données projet'!$A$114,'Données projet'!$B$114,BY6+BX7-CG6)))</f>
        <v>3.3614617777943954</v>
      </c>
      <c r="BZ7" s="13">
        <f>BY7*VLOOKUP('Données projet'!$B$12,Paramètres!$A$1:$I$89,3,0)*VLOOKUP('Données projet'!$B$12,Paramètres!$A$1:$I$89,5,0)</f>
        <v>1.8790571337870672</v>
      </c>
      <c r="CA7" s="13">
        <f t="shared" si="39"/>
        <v>0.80464707305334315</v>
      </c>
      <c r="CB7" s="20">
        <f t="shared" si="10"/>
        <v>4.6741181602470476</v>
      </c>
      <c r="CC7" s="59">
        <f t="shared" si="11"/>
        <v>180.760240224424</v>
      </c>
      <c r="CD7" s="59">
        <f ca="1">AVERAGE(OFFSET($CC$3,0,0,'Données projet'!$E$12+1,1))-AVERAGE(OFFSET($H$3,0,0,'Données projet'!$E$12+1,1))</f>
        <v>420.4890915162182</v>
      </c>
      <c r="CE7" s="59">
        <f t="shared" si="40"/>
        <v>553.48432338023565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</v>
      </c>
      <c r="CT7" s="12">
        <f>IF('Données projet'!$A$140&gt;35,CT6+CS7-DB6,IF(A7&lt;'Données projet'!$A$140,$CQ$205^A7,IF(A7='Données projet'!$A$140,'Données projet'!$B$140,CT6+CS7-DB6)))</f>
        <v>3.247143191135669</v>
      </c>
      <c r="CU7" s="17">
        <f>CT7*VLOOKUP('Données projet'!$B$13,Paramètres!$A$1:$I$89,3,0)*VLOOKUP('Données projet'!$B$13,Paramètres!$A$1:$I$89,5,0)</f>
        <v>2.3808053877406725</v>
      </c>
      <c r="CV7" s="13">
        <f t="shared" si="41"/>
        <v>0.99180273134383279</v>
      </c>
      <c r="CW7" s="20">
        <f t="shared" si="13"/>
        <v>5.8739591407388465</v>
      </c>
      <c r="CX7" s="59">
        <f t="shared" si="14"/>
        <v>181.96008120491578</v>
      </c>
      <c r="CY7" s="59">
        <f ca="1">AVERAGE(OFFSET($CX$3,0,0,'Données projet'!$E$13+1,1))-AVERAGE(OFFSET($H$3,0,0,'Données projet'!$E$13+1,1))</f>
        <v>400.48995908576177</v>
      </c>
      <c r="CZ7" s="59">
        <f t="shared" si="42"/>
        <v>384.86917865380076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1.9</v>
      </c>
      <c r="DO7" s="12">
        <f>IF('Données projet'!$A$166&gt;35,DO6+DN7-DW6,IF(A7&lt;'Données projet'!$A$166,$DL$205^A7,IF(A7='Données projet'!$A$166,'Données projet'!$B$166,DO6+DN7-DW6)))</f>
        <v>3.247143191135669</v>
      </c>
      <c r="DP7" s="17">
        <f>DO7*VLOOKUP('Données projet'!$B$14,Paramètres!$A$1:$I$89,3,0)*VLOOKUP('Données projet'!$B$14,Paramètres!$A$1:$I$89,5,0)</f>
        <v>2.5834271228675387</v>
      </c>
      <c r="DQ7" s="13">
        <f t="shared" si="43"/>
        <v>1.066028069701316</v>
      </c>
      <c r="DR7" s="20">
        <f t="shared" si="16"/>
        <v>6.3561344603907548</v>
      </c>
      <c r="DS7" s="59">
        <f t="shared" si="17"/>
        <v>182.44225652456771</v>
      </c>
      <c r="DT7" s="59">
        <f ca="1">AVERAGE(OFFSET($DS$3,0,0,'Données projet'!$E$14+1,1))-AVERAGE(OFFSET($H$3,0,0,'Données projet'!$E$14+1,1))</f>
        <v>429.30603040255431</v>
      </c>
      <c r="DU7" s="59">
        <f t="shared" si="44"/>
        <v>412.18613903804726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1.7094017094017093</v>
      </c>
      <c r="EJ7" s="12">
        <f>IF('Données projet'!$A$192&gt;35,EJ6+EI7-ER6,IF(A7&lt;'Données projet'!$A$192,$EG$205^A7,IF(A7='Données projet'!$A$192,'Données projet'!$B$192,EJ6+EI7-ER6)))</f>
        <v>2.3752870707905585</v>
      </c>
      <c r="EK7" s="17">
        <f>EJ7*VLOOKUP('Données projet'!$B$15,Paramètres!$A$1:$I$89,3,0)*VLOOKUP('Données projet'!$B$15,Paramètres!$A$1:$I$89,5,0)</f>
        <v>1.8527239152166357</v>
      </c>
      <c r="EL7" s="13">
        <f t="shared" si="45"/>
        <v>0.79467510139808173</v>
      </c>
      <c r="EM7" s="20">
        <f t="shared" si="19"/>
        <v>4.6108866206039663</v>
      </c>
      <c r="EN7" s="59">
        <f t="shared" si="20"/>
        <v>180.69700868478091</v>
      </c>
      <c r="EO7" s="59">
        <f ca="1">AVERAGE(OFFSET($EN$3,0,0,'Données projet'!$E$15+1,1))-AVERAGE(OFFSET($H$3,0,0,'Données projet'!$E$15+1,1))</f>
        <v>217.53602321474159</v>
      </c>
      <c r="EP7" s="59">
        <f t="shared" si="46"/>
        <v>215.75909414893025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4.0628205133333335</v>
      </c>
      <c r="FE7" s="12">
        <f>IF('Données projet'!$A$218&gt;35,FE6+FD7-FM6,IF(A7&lt;'Données projet'!$A$218,$FB$205^A7,IF(A7='Données projet'!$A$218,'Données projet'!$B$218,FE6+FD7-FM6)))</f>
        <v>1.8972585508065105</v>
      </c>
      <c r="FF7" s="17">
        <f>FE7*VLOOKUP('Données projet'!$B$16,Paramètres!$A$1:$I$89,3,0)*VLOOKUP('Données projet'!$B$16,Paramètres!$A$1:$I$89,5,0)</f>
        <v>1.2726810358810074</v>
      </c>
      <c r="FG7" s="13">
        <f t="shared" si="47"/>
        <v>0.5702723031287148</v>
      </c>
      <c r="FH7" s="20">
        <f t="shared" si="22"/>
        <v>3.2098103987752662</v>
      </c>
      <c r="FI7" s="59">
        <f t="shared" si="23"/>
        <v>179.29593246295221</v>
      </c>
      <c r="FJ7" s="59">
        <f ca="1">AVERAGE(OFFSET($FI$3,0,0,'Données projet'!$E$16+1,1))-AVERAGE(OFFSET($H$3,0,0,'Données projet'!$E$16+1,1))</f>
        <v>441.20130048888439</v>
      </c>
      <c r="FK7" s="59">
        <f t="shared" si="48"/>
        <v>237.47732532183946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0.9</v>
      </c>
      <c r="FZ7" s="12">
        <f>IF('Données projet'!$A$244&gt;35,FZ6+FY7-GH6,IF(A7&lt;'Données projet'!$A$244,$FW$205^A7,IF(A7='Données projet'!$A$244,'Données projet'!$B$244,FZ6+FY7-GH6)))</f>
        <v>2.4082246852806923</v>
      </c>
      <c r="GA7" s="17">
        <f>FZ7*VLOOKUP('Données projet'!$B$17,Paramètres!$A$1:$I$89,3,0)*VLOOKUP('Données projet'!$B$17,Paramètres!$A$1:$I$89,5,0)</f>
        <v>1.5778688137959096</v>
      </c>
      <c r="GB7" s="13">
        <f t="shared" si="49"/>
        <v>0.68955276697540291</v>
      </c>
      <c r="GC7" s="20">
        <f t="shared" si="25"/>
        <v>3.9490925865100355</v>
      </c>
      <c r="GD7" s="59">
        <f t="shared" si="26"/>
        <v>180.03521465068698</v>
      </c>
      <c r="GE7" s="59">
        <f ca="1">AVERAGE(OFFSET($GD$3,0,0,'Données projet'!$E$17+1,1))-AVERAGE(OFFSET($H$3,0,0,'Données projet'!$E$17+1,1))</f>
        <v>257.66104339896992</v>
      </c>
      <c r="GF7" s="59">
        <f t="shared" si="50"/>
        <v>254.79488636184996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2.8</v>
      </c>
      <c r="GU7" s="12">
        <f>IF('Données projet'!$A$270&gt;35,GU6+GT7-HC6,IF(A7&lt;'Données projet'!$A$270,$GR$205^A7,IF(A7='Données projet'!$A$270,'Données projet'!$B$270,GU6+GT7-HC6)))</f>
        <v>2.7093585195238274</v>
      </c>
      <c r="GV7" s="17">
        <f>GU7*VLOOKUP('Données projet'!$B$18,Paramètres!$A$1:$I$89,3,0)*VLOOKUP('Données projet'!$B$18,Paramètres!$A$1:$I$89,5,0)</f>
        <v>2.197831631037729</v>
      </c>
      <c r="GW7" s="13">
        <f t="shared" si="51"/>
        <v>0.92414120322151361</v>
      </c>
      <c r="GX7" s="20">
        <f t="shared" si="28"/>
        <v>5.4374360196681799</v>
      </c>
      <c r="GY7" s="59">
        <f t="shared" si="29"/>
        <v>181.52355808384513</v>
      </c>
      <c r="GZ7" s="59">
        <f ca="1">AVERAGE(OFFSET($GY$3,0,0,'Données projet'!$E$18+1,1))-AVERAGE(OFFSET($H$3,0,0,'Données projet'!$E$18+1,1))</f>
        <v>299.98377156721153</v>
      </c>
      <c r="HA7" s="59">
        <f t="shared" si="52"/>
        <v>241.36164657721102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4.0628205133333335</v>
      </c>
      <c r="N8" s="13">
        <f>IF('Données projet'!$A$36&gt;35,N7+M8-V7,IF(A8&lt;'Données projet'!$A$36,$K$205^A8,IF(A8='Données projet'!$A$36,'Données projet'!$B$36,N7+M8-V7)))</f>
        <v>2.2266817444103162</v>
      </c>
      <c r="O8" s="13">
        <f>N8*VLOOKUP('Données projet'!$B$9,Paramètres!$A$1:$I$89,3,0)*VLOOKUP('Données projet'!$B$9,Paramètres!$A$1:$I$89,5,0)</f>
        <v>2.014701642342454</v>
      </c>
      <c r="P8" s="13">
        <f t="shared" si="33"/>
        <v>0.85576136424260163</v>
      </c>
      <c r="Q8" s="20">
        <f t="shared" si="2"/>
        <v>4.999389736468971</v>
      </c>
      <c r="R8" s="59">
        <f t="shared" si="0"/>
        <v>183.79043761291632</v>
      </c>
      <c r="S8" s="59">
        <f ca="1">AVERAGE(OFFSET($R$3,0,0,'Données projet'!$E$9+1,1))-AVERAGE(OFFSET($H$3,0,0,'Données projet'!$E$9+1,1))</f>
        <v>567.42635821507474</v>
      </c>
      <c r="T8" s="59">
        <f t="shared" si="34"/>
        <v>299.04735309930152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2.735564799734763</v>
      </c>
      <c r="AJ8" s="13">
        <f>AI8*VLOOKUP('Données projet'!$B$10,Paramètres!$A$1:$I$89,3,0)*VLOOKUP('Données projet'!$B$10,Paramètres!$A$1:$I$89,5,0)</f>
        <v>2.3471145981724271</v>
      </c>
      <c r="AK8" s="13">
        <f t="shared" si="35"/>
        <v>0.97939113254888255</v>
      </c>
      <c r="AL8" s="20">
        <f t="shared" si="4"/>
        <v>5.7936641476729482</v>
      </c>
      <c r="AM8" s="59">
        <f t="shared" si="5"/>
        <v>184.58471202412031</v>
      </c>
      <c r="AN8" s="59">
        <f ca="1">AVERAGE(OFFSET($AM$3,0,0,'Données projet'!$E$10+1,1))-AVERAGE(OFFSET($H$3,0,0,'Données projet'!$E$10+1,1))</f>
        <v>569.97793593332699</v>
      </c>
      <c r="AO8" s="59">
        <f t="shared" si="36"/>
        <v>331.25104323342907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9.6666666666666661</v>
      </c>
      <c r="BD8" s="12">
        <f>IF('Données projet'!$A$88&gt;35,BD7+BC8-BL7,IF(A8&lt;'Données projet'!$A$88,$BA$205^A8,IF(A8='Données projet'!$A$88,'Données projet'!$B$88,BD7+BC8-BL7)))</f>
        <v>7.2475434692871694</v>
      </c>
      <c r="BE8" s="13">
        <f>BD8*VLOOKUP('Données projet'!$B$11,Paramètres!$A$1:$I$89,3,0)*VLOOKUP('Données projet'!$B$11,Paramètres!$A$1:$I$89,5,0)</f>
        <v>3.9571587342307946</v>
      </c>
      <c r="BF8" s="13">
        <f t="shared" si="37"/>
        <v>1.5538178288453746</v>
      </c>
      <c r="BG8" s="20">
        <f t="shared" si="7"/>
        <v>9.5982841806909942</v>
      </c>
      <c r="BH8" s="59">
        <f t="shared" si="8"/>
        <v>188.38933205713835</v>
      </c>
      <c r="BI8" s="59">
        <f ca="1">AVERAGE(OFFSET($BH$3,0,0,'Données projet'!$E$11+1,1))-AVERAGE(OFFSET($H$3,0,0,'Données projet'!$E$11+1,1))</f>
        <v>215.37314197175104</v>
      </c>
      <c r="BJ8" s="59">
        <f t="shared" si="38"/>
        <v>361.17630426655978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10.169411764705883</v>
      </c>
      <c r="BY8" s="12">
        <f>IF('Données projet'!$A$114&gt;35,BY7+BX8-CG7,IF(A8&lt;'Données projet'!$A$114,$BV$205^A8,IF(A8='Données projet'!$A$114,'Données projet'!$B$114,BY7+BX8-CG7)))</f>
        <v>4.5515594720595862</v>
      </c>
      <c r="BZ8" s="13">
        <f>BY8*VLOOKUP('Données projet'!$B$12,Paramètres!$A$1:$I$89,3,0)*VLOOKUP('Données projet'!$B$12,Paramètres!$A$1:$I$89,5,0)</f>
        <v>2.5443217448813087</v>
      </c>
      <c r="CA8" s="13">
        <f t="shared" si="39"/>
        <v>1.051757239944024</v>
      </c>
      <c r="CB8" s="20">
        <f t="shared" si="10"/>
        <v>6.2631708985707881</v>
      </c>
      <c r="CC8" s="59">
        <f t="shared" si="11"/>
        <v>185.05421877501814</v>
      </c>
      <c r="CD8" s="59">
        <f ca="1">AVERAGE(OFFSET($CC$3,0,0,'Données projet'!$E$12+1,1))-AVERAGE(OFFSET($H$3,0,0,'Données projet'!$E$12+1,1))</f>
        <v>420.4890915162182</v>
      </c>
      <c r="CE8" s="59">
        <f t="shared" si="40"/>
        <v>553.48432338023565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</v>
      </c>
      <c r="CT8" s="12">
        <f>IF('Données projet'!$A$140&gt;35,CT7+CS8-DB7,IF(A8&lt;'Données projet'!$A$140,$CQ$205^A8,IF(A8='Données projet'!$A$140,'Données projet'!$B$140,CT7+CS8-DB7)))</f>
        <v>4.3588989435406749</v>
      </c>
      <c r="CU8" s="17">
        <f>CT8*VLOOKUP('Données projet'!$B$13,Paramètres!$A$1:$I$89,3,0)*VLOOKUP('Données projet'!$B$13,Paramètres!$A$1:$I$89,5,0)</f>
        <v>3.1959447054040226</v>
      </c>
      <c r="CV8" s="13">
        <f t="shared" si="41"/>
        <v>1.2865182998910156</v>
      </c>
      <c r="CW8" s="20">
        <f t="shared" si="13"/>
        <v>7.8069564008888577</v>
      </c>
      <c r="CX8" s="59">
        <f t="shared" si="14"/>
        <v>186.5980042773362</v>
      </c>
      <c r="CY8" s="59">
        <f ca="1">AVERAGE(OFFSET($CX$3,0,0,'Données projet'!$E$13+1,1))-AVERAGE(OFFSET($H$3,0,0,'Données projet'!$E$13+1,1))</f>
        <v>400.48995908576177</v>
      </c>
      <c r="CZ8" s="59">
        <f t="shared" si="42"/>
        <v>384.86917865380076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1.9</v>
      </c>
      <c r="DO8" s="12">
        <f>IF('Données projet'!$A$166&gt;35,DO7+DN8-DW7,IF(A8&lt;'Données projet'!$A$166,$DL$205^A8,IF(A8='Données projet'!$A$166,'Données projet'!$B$166,DO7+DN8-DW7)))</f>
        <v>4.3588989435406749</v>
      </c>
      <c r="DP8" s="17">
        <f>DO8*VLOOKUP('Données projet'!$B$14,Paramètres!$A$1:$I$89,3,0)*VLOOKUP('Données projet'!$B$14,Paramètres!$A$1:$I$89,5,0)</f>
        <v>3.467939999480961</v>
      </c>
      <c r="DQ8" s="13">
        <f t="shared" si="43"/>
        <v>1.382799801337496</v>
      </c>
      <c r="DR8" s="20">
        <f t="shared" si="16"/>
        <v>8.4483718197588118</v>
      </c>
      <c r="DS8" s="59">
        <f t="shared" si="17"/>
        <v>187.23941969620617</v>
      </c>
      <c r="DT8" s="59">
        <f ca="1">AVERAGE(OFFSET($DS$3,0,0,'Données projet'!$E$14+1,1))-AVERAGE(OFFSET($H$3,0,0,'Données projet'!$E$14+1,1))</f>
        <v>429.30603040255431</v>
      </c>
      <c r="DU8" s="59">
        <f t="shared" si="44"/>
        <v>412.18613903804726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1.7094017094017093</v>
      </c>
      <c r="EJ8" s="12">
        <f>IF('Données projet'!$A$192&gt;35,EJ7+EI8-ER7,IF(A8&lt;'Données projet'!$A$192,$EG$205^A8,IF(A8='Données projet'!$A$192,'Données projet'!$B$192,EJ7+EI8-ER7)))</f>
        <v>2.9487987310846742</v>
      </c>
      <c r="EK8" s="17">
        <f>EJ8*VLOOKUP('Données projet'!$B$15,Paramètres!$A$1:$I$89,3,0)*VLOOKUP('Données projet'!$B$15,Paramètres!$A$1:$I$89,5,0)</f>
        <v>2.300063010246046</v>
      </c>
      <c r="EL8" s="13">
        <f t="shared" si="45"/>
        <v>0.96202264180522579</v>
      </c>
      <c r="EM8" s="20">
        <f t="shared" si="19"/>
        <v>5.6814658439892973</v>
      </c>
      <c r="EN8" s="59">
        <f t="shared" si="20"/>
        <v>184.47251372043664</v>
      </c>
      <c r="EO8" s="59">
        <f ca="1">AVERAGE(OFFSET($EN$3,0,0,'Données projet'!$E$15+1,1))-AVERAGE(OFFSET($H$3,0,0,'Données projet'!$E$15+1,1))</f>
        <v>217.53602321474159</v>
      </c>
      <c r="EP8" s="59">
        <f t="shared" si="46"/>
        <v>215.75909414893025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4.0628205133333335</v>
      </c>
      <c r="FE8" s="12">
        <f>IF('Données projet'!$A$218&gt;35,FE7+FD8-FM7,IF(A8&lt;'Données projet'!$A$218,$FB$205^A8,IF(A8='Données projet'!$A$218,'Données projet'!$B$218,FE7+FD8-FM7)))</f>
        <v>2.2266817444103162</v>
      </c>
      <c r="FF8" s="17">
        <f>FE8*VLOOKUP('Données projet'!$B$16,Paramètres!$A$1:$I$89,3,0)*VLOOKUP('Données projet'!$B$16,Paramètres!$A$1:$I$89,5,0)</f>
        <v>1.4936581141504401</v>
      </c>
      <c r="FG8" s="13">
        <f t="shared" si="47"/>
        <v>0.65693201506078647</v>
      </c>
      <c r="FH8" s="20">
        <f t="shared" si="22"/>
        <v>3.7456111417095532</v>
      </c>
      <c r="FI8" s="59">
        <f t="shared" si="23"/>
        <v>182.53665901815691</v>
      </c>
      <c r="FJ8" s="59">
        <f ca="1">AVERAGE(OFFSET($FI$3,0,0,'Données projet'!$E$16+1,1))-AVERAGE(OFFSET($H$3,0,0,'Données projet'!$E$16+1,1))</f>
        <v>441.20130048888439</v>
      </c>
      <c r="FK8" s="59">
        <f t="shared" si="48"/>
        <v>237.47732532183946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0.9</v>
      </c>
      <c r="FZ8" s="12">
        <f>IF('Données projet'!$A$244&gt;35,FZ7+FY8-GH7,IF(A8&lt;'Données projet'!$A$244,$FW$205^A8,IF(A8='Données projet'!$A$244,'Données projet'!$B$244,FZ7+FY8-GH7)))</f>
        <v>3.0000000000000004</v>
      </c>
      <c r="GA8" s="17">
        <f>FZ8*VLOOKUP('Données projet'!$B$17,Paramètres!$A$1:$I$89,3,0)*VLOOKUP('Données projet'!$B$17,Paramètres!$A$1:$I$89,5,0)</f>
        <v>1.9656000000000005</v>
      </c>
      <c r="GB8" s="13">
        <f t="shared" si="49"/>
        <v>0.83730632840564978</v>
      </c>
      <c r="GC8" s="20">
        <f t="shared" si="25"/>
        <v>4.8817285219731739</v>
      </c>
      <c r="GD8" s="59">
        <f t="shared" si="26"/>
        <v>183.67277639842052</v>
      </c>
      <c r="GE8" s="59">
        <f ca="1">AVERAGE(OFFSET($GD$3,0,0,'Données projet'!$E$17+1,1))-AVERAGE(OFFSET($H$3,0,0,'Données projet'!$E$17+1,1))</f>
        <v>257.66104339896992</v>
      </c>
      <c r="GF8" s="59">
        <f t="shared" si="50"/>
        <v>254.79488636184996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2.8</v>
      </c>
      <c r="GU8" s="12">
        <f>IF('Données projet'!$A$270&gt;35,GU7+GT8-HC7,IF(A8&lt;'Données projet'!$A$270,$GR$205^A8,IF(A8='Données projet'!$A$270,'Données projet'!$B$270,GU7+GT8-HC7)))</f>
        <v>3.4760266448864483</v>
      </c>
      <c r="GV8" s="17">
        <f>GU8*VLOOKUP('Données projet'!$B$18,Paramètres!$A$1:$I$89,3,0)*VLOOKUP('Données projet'!$B$18,Paramètres!$A$1:$I$89,5,0)</f>
        <v>2.8197528143318871</v>
      </c>
      <c r="GW8" s="13">
        <f t="shared" si="51"/>
        <v>1.1517508428554772</v>
      </c>
      <c r="GX8" s="20">
        <f t="shared" si="28"/>
        <v>6.9170355362679921</v>
      </c>
      <c r="GY8" s="59">
        <f t="shared" si="29"/>
        <v>185.70808341271535</v>
      </c>
      <c r="GZ8" s="59">
        <f ca="1">AVERAGE(OFFSET($GY$3,0,0,'Données projet'!$E$18+1,1))-AVERAGE(OFFSET($H$3,0,0,'Données projet'!$E$18+1,1))</f>
        <v>299.98377156721153</v>
      </c>
      <c r="HA8" s="59">
        <f t="shared" si="52"/>
        <v>241.36164657721102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4.0628205133333335</v>
      </c>
      <c r="N9" s="13">
        <f>IF('Données projet'!$A$36&gt;35,N8+M9-V8,IF(A9&lt;'Données projet'!$A$36,$K$205^A9,IF(A9='Données projet'!$A$36,'Données projet'!$B$36,N8+M9-V8)))</f>
        <v>2.613303067619599</v>
      </c>
      <c r="O9" s="13">
        <f>N9*VLOOKUP('Données projet'!$B$9,Paramètres!$A$1:$I$89,3,0)*VLOOKUP('Données projet'!$B$9,Paramètres!$A$1:$I$89,5,0)</f>
        <v>2.3645166155822133</v>
      </c>
      <c r="P9" s="13">
        <f t="shared" si="33"/>
        <v>0.98580456097685032</v>
      </c>
      <c r="Q9" s="20">
        <f t="shared" si="2"/>
        <v>5.8351427158403695</v>
      </c>
      <c r="R9" s="59">
        <f t="shared" si="0"/>
        <v>187.30539481209934</v>
      </c>
      <c r="S9" s="59">
        <f ca="1">AVERAGE(OFFSET($R$3,0,0,'Données projet'!$E$9+1,1))-AVERAGE(OFFSET($H$3,0,0,'Données projet'!$E$9+1,1))</f>
        <v>567.42635821507474</v>
      </c>
      <c r="T9" s="59">
        <f t="shared" si="34"/>
        <v>299.04735309930152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3.3454643638562565</v>
      </c>
      <c r="AJ9" s="13">
        <f>AI9*VLOOKUP('Données projet'!$B$10,Paramètres!$A$1:$I$89,3,0)*VLOOKUP('Données projet'!$B$10,Paramètres!$A$1:$I$89,5,0)</f>
        <v>2.8704084241886685</v>
      </c>
      <c r="AK9" s="13">
        <f t="shared" si="35"/>
        <v>1.170014151433729</v>
      </c>
      <c r="AL9" s="20">
        <f t="shared" si="4"/>
        <v>7.0370693192090075</v>
      </c>
      <c r="AM9" s="59">
        <f t="shared" si="5"/>
        <v>188.50732141546797</v>
      </c>
      <c r="AN9" s="59">
        <f ca="1">AVERAGE(OFFSET($AM$3,0,0,'Données projet'!$E$10+1,1))-AVERAGE(OFFSET($H$3,0,0,'Données projet'!$E$10+1,1))</f>
        <v>569.97793593332699</v>
      </c>
      <c r="AO9" s="59">
        <f t="shared" si="36"/>
        <v>331.25104323342907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9.6666666666666661</v>
      </c>
      <c r="BD9" s="12">
        <f>IF('Données projet'!$A$88&gt;35,BD8+BC9-BL8,IF(A9&lt;'Données projet'!$A$88,$BA$205^A9,IF(A9='Données projet'!$A$88,'Données projet'!$B$88,BD8+BC9-BL8)))</f>
        <v>10.770329614269009</v>
      </c>
      <c r="BE9" s="13">
        <f>BD9*VLOOKUP('Données projet'!$B$11,Paramètres!$A$1:$I$89,3,0)*VLOOKUP('Données projet'!$B$11,Paramètres!$A$1:$I$89,5,0)</f>
        <v>5.8805999693908788</v>
      </c>
      <c r="BF9" s="13">
        <f t="shared" si="37"/>
        <v>2.2050224910961043</v>
      </c>
      <c r="BG9" s="20">
        <f t="shared" si="7"/>
        <v>14.082459118681493</v>
      </c>
      <c r="BH9" s="59">
        <f t="shared" si="8"/>
        <v>195.55271121494047</v>
      </c>
      <c r="BI9" s="59">
        <f ca="1">AVERAGE(OFFSET($BH$3,0,0,'Données projet'!$E$11+1,1))-AVERAGE(OFFSET($H$3,0,0,'Données projet'!$E$11+1,1))</f>
        <v>215.37314197175104</v>
      </c>
      <c r="BJ9" s="59">
        <f t="shared" si="38"/>
        <v>361.17630426655978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10.169411764705883</v>
      </c>
      <c r="BY9" s="12">
        <f>IF('Données projet'!$A$114&gt;35,BY8+BX9-CG8,IF(A9&lt;'Données projet'!$A$114,$BV$205^A9,IF(A9='Données projet'!$A$114,'Données projet'!$B$114,BY8+BX9-CG8)))</f>
        <v>6.1630013955679974</v>
      </c>
      <c r="BZ9" s="13">
        <f>BY9*VLOOKUP('Données projet'!$B$12,Paramètres!$A$1:$I$89,3,0)*VLOOKUP('Données projet'!$B$12,Paramètres!$A$1:$I$89,5,0)</f>
        <v>3.4451177801225104</v>
      </c>
      <c r="CA9" s="13">
        <f t="shared" si="39"/>
        <v>1.3747558759855676</v>
      </c>
      <c r="CB9" s="20">
        <f t="shared" si="10"/>
        <v>8.3946132843882353</v>
      </c>
      <c r="CC9" s="59">
        <f t="shared" si="11"/>
        <v>189.86486538064722</v>
      </c>
      <c r="CD9" s="59">
        <f ca="1">AVERAGE(OFFSET($CC$3,0,0,'Données projet'!$E$12+1,1))-AVERAGE(OFFSET($H$3,0,0,'Données projet'!$E$12+1,1))</f>
        <v>420.4890915162182</v>
      </c>
      <c r="CE9" s="59">
        <f t="shared" si="40"/>
        <v>553.48432338023565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</v>
      </c>
      <c r="CT9" s="12">
        <f>IF('Données projet'!$A$140&gt;35,CT8+CS9-DB8,IF(A9&lt;'Données projet'!$A$140,$CQ$205^A9,IF(A9='Données projet'!$A$140,'Données projet'!$B$140,CT8+CS9-DB8)))</f>
        <v>5.8512972424092187</v>
      </c>
      <c r="CU9" s="17">
        <f>CT9*VLOOKUP('Données projet'!$B$13,Paramètres!$A$1:$I$89,3,0)*VLOOKUP('Données projet'!$B$13,Paramètres!$A$1:$I$89,5,0)</f>
        <v>4.290171138134439</v>
      </c>
      <c r="CV9" s="13">
        <f t="shared" si="41"/>
        <v>1.6688090117596963</v>
      </c>
      <c r="CW9" s="20">
        <f t="shared" si="13"/>
        <v>10.378557094398952</v>
      </c>
      <c r="CX9" s="59">
        <f t="shared" si="14"/>
        <v>191.84880919065793</v>
      </c>
      <c r="CY9" s="59">
        <f ca="1">AVERAGE(OFFSET($CX$3,0,0,'Données projet'!$E$13+1,1))-AVERAGE(OFFSET($H$3,0,0,'Données projet'!$E$13+1,1))</f>
        <v>400.48995908576177</v>
      </c>
      <c r="CZ9" s="59">
        <f t="shared" si="42"/>
        <v>384.86917865380076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1.9</v>
      </c>
      <c r="DO9" s="12">
        <f>IF('Données projet'!$A$166&gt;35,DO8+DN9-DW8,IF(A9&lt;'Données projet'!$A$166,$DL$205^A9,IF(A9='Données projet'!$A$166,'Données projet'!$B$166,DO8+DN9-DW8)))</f>
        <v>5.8512972424092187</v>
      </c>
      <c r="DP9" s="17">
        <f>DO9*VLOOKUP('Données projet'!$B$14,Paramètres!$A$1:$I$89,3,0)*VLOOKUP('Données projet'!$B$14,Paramètres!$A$1:$I$89,5,0)</f>
        <v>4.6552920860607747</v>
      </c>
      <c r="DQ9" s="13">
        <f t="shared" si="43"/>
        <v>1.7937006960002178</v>
      </c>
      <c r="DR9" s="20">
        <f t="shared" si="16"/>
        <v>11.231995762089561</v>
      </c>
      <c r="DS9" s="59">
        <f t="shared" si="17"/>
        <v>192.70224785834853</v>
      </c>
      <c r="DT9" s="59">
        <f ca="1">AVERAGE(OFFSET($DS$3,0,0,'Données projet'!$E$14+1,1))-AVERAGE(OFFSET($H$3,0,0,'Données projet'!$E$14+1,1))</f>
        <v>429.30603040255431</v>
      </c>
      <c r="DU9" s="59">
        <f t="shared" si="44"/>
        <v>412.18613903804726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1.7094017094017093</v>
      </c>
      <c r="EJ9" s="12">
        <f>IF('Données projet'!$A$192&gt;35,EJ8+EI9-ER8,IF(A9&lt;'Données projet'!$A$192,$EG$205^A9,IF(A9='Données projet'!$A$192,'Données projet'!$B$192,EJ8+EI9-ER8)))</f>
        <v>3.6607844430157748</v>
      </c>
      <c r="EK9" s="17">
        <f>EJ9*VLOOKUP('Données projet'!$B$15,Paramètres!$A$1:$I$89,3,0)*VLOOKUP('Données projet'!$B$15,Paramètres!$A$1:$I$89,5,0)</f>
        <v>2.8554118655523042</v>
      </c>
      <c r="EL9" s="13">
        <f t="shared" si="45"/>
        <v>1.1646112502048747</v>
      </c>
      <c r="EM9" s="20">
        <f t="shared" si="19"/>
        <v>7.0015402599437531</v>
      </c>
      <c r="EN9" s="59">
        <f t="shared" si="20"/>
        <v>188.47179235620274</v>
      </c>
      <c r="EO9" s="59">
        <f ca="1">AVERAGE(OFFSET($EN$3,0,0,'Données projet'!$E$15+1,1))-AVERAGE(OFFSET($H$3,0,0,'Données projet'!$E$15+1,1))</f>
        <v>217.53602321474159</v>
      </c>
      <c r="EP9" s="59">
        <f t="shared" si="46"/>
        <v>215.75909414893025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4.0628205133333335</v>
      </c>
      <c r="FE9" s="12">
        <f>IF('Données projet'!$A$218&gt;35,FE8+FD9-FM8,IF(A9&lt;'Données projet'!$A$218,$FB$205^A9,IF(A9='Données projet'!$A$218,'Données projet'!$B$218,FE8+FD9-FM8)))</f>
        <v>2.613303067619599</v>
      </c>
      <c r="FF9" s="17">
        <f>FE9*VLOOKUP('Données projet'!$B$16,Paramètres!$A$1:$I$89,3,0)*VLOOKUP('Données projet'!$B$16,Paramètres!$A$1:$I$89,5,0)</f>
        <v>1.7530036977592272</v>
      </c>
      <c r="FG9" s="13">
        <f t="shared" si="47"/>
        <v>0.7567607089527878</v>
      </c>
      <c r="FH9" s="20">
        <f t="shared" si="22"/>
        <v>4.3711730083567595</v>
      </c>
      <c r="FI9" s="59">
        <f t="shared" si="23"/>
        <v>185.84142510461572</v>
      </c>
      <c r="FJ9" s="59">
        <f ca="1">AVERAGE(OFFSET($FI$3,0,0,'Données projet'!$E$16+1,1))-AVERAGE(OFFSET($H$3,0,0,'Données projet'!$E$16+1,1))</f>
        <v>441.20130048888439</v>
      </c>
      <c r="FK9" s="59">
        <f t="shared" si="48"/>
        <v>237.47732532183946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0.9</v>
      </c>
      <c r="FZ9" s="12">
        <f>IF('Données projet'!$A$244&gt;35,FZ8+FY9-GH8,IF(A9&lt;'Données projet'!$A$244,$FW$205^A9,IF(A9='Données projet'!$A$244,'Données projet'!$B$244,FZ8+FY9-GH8)))</f>
        <v>3.7371928188465526</v>
      </c>
      <c r="GA9" s="17">
        <f>FZ9*VLOOKUP('Données projet'!$B$17,Paramètres!$A$1:$I$89,3,0)*VLOOKUP('Données projet'!$B$17,Paramètres!$A$1:$I$89,5,0)</f>
        <v>2.448608734908261</v>
      </c>
      <c r="GB9" s="13">
        <f t="shared" si="49"/>
        <v>1.0167197075625076</v>
      </c>
      <c r="GC9" s="20">
        <f t="shared" si="25"/>
        <v>6.035447037303256</v>
      </c>
      <c r="GD9" s="59">
        <f t="shared" si="26"/>
        <v>187.50569913356222</v>
      </c>
      <c r="GE9" s="59">
        <f ca="1">AVERAGE(OFFSET($GD$3,0,0,'Données projet'!$E$17+1,1))-AVERAGE(OFFSET($H$3,0,0,'Données projet'!$E$17+1,1))</f>
        <v>257.66104339896992</v>
      </c>
      <c r="GF9" s="59">
        <f t="shared" si="50"/>
        <v>254.79488636184996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2.8</v>
      </c>
      <c r="GU9" s="12">
        <f>IF('Données projet'!$A$270&gt;35,GU8+GT9-HC8,IF(A9&lt;'Données projet'!$A$270,$GR$205^A9,IF(A9='Données projet'!$A$270,'Données projet'!$B$270,GU8+GT9-HC8)))</f>
        <v>4.4596391171162164</v>
      </c>
      <c r="GV9" s="17">
        <f>GU9*VLOOKUP('Données projet'!$B$18,Paramètres!$A$1:$I$89,3,0)*VLOOKUP('Données projet'!$B$18,Paramètres!$A$1:$I$89,5,0)</f>
        <v>3.6176592518046751</v>
      </c>
      <c r="GW9" s="13">
        <f t="shared" si="51"/>
        <v>1.4354191755481527</v>
      </c>
      <c r="GX9" s="20">
        <f t="shared" si="28"/>
        <v>8.8007782609728427</v>
      </c>
      <c r="GY9" s="59">
        <f t="shared" si="29"/>
        <v>190.27103035723181</v>
      </c>
      <c r="GZ9" s="59">
        <f ca="1">AVERAGE(OFFSET($GY$3,0,0,'Données projet'!$E$18+1,1))-AVERAGE(OFFSET($H$3,0,0,'Données projet'!$E$18+1,1))</f>
        <v>299.98377156721153</v>
      </c>
      <c r="HA9" s="59">
        <f t="shared" si="52"/>
        <v>241.36164657721102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4.0628205133333335</v>
      </c>
      <c r="N10" s="13">
        <f>IF('Données projet'!$A$36&gt;35,N9+M10-V9,IF(A10&lt;'Données projet'!$A$36,$K$205^A10,IF(A10='Données projet'!$A$36,'Données projet'!$B$36,N9+M10-V9)))</f>
        <v>3.0670538977444211</v>
      </c>
      <c r="O10" s="13">
        <f>N10*VLOOKUP('Données projet'!$B$9,Paramètres!$A$1:$I$89,3,0)*VLOOKUP('Données projet'!$B$9,Paramètres!$A$1:$I$89,5,0)</f>
        <v>2.7750703666791523</v>
      </c>
      <c r="P10" s="13">
        <f t="shared" si="33"/>
        <v>1.1356093801954581</v>
      </c>
      <c r="Q10" s="20">
        <f t="shared" si="2"/>
        <v>6.8111005591399456</v>
      </c>
      <c r="R10" s="59">
        <f t="shared" si="0"/>
        <v>190.93528149487619</v>
      </c>
      <c r="S10" s="59">
        <f ca="1">AVERAGE(OFFSET($R$3,0,0,'Données projet'!$E$9+1,1))-AVERAGE(OFFSET($H$3,0,0,'Données projet'!$E$9+1,1))</f>
        <v>567.42635821507474</v>
      </c>
      <c r="T10" s="59">
        <f t="shared" si="34"/>
        <v>299.04735309930152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4.091342237960264</v>
      </c>
      <c r="AJ10" s="13">
        <f>AI10*VLOOKUP('Données projet'!$B$10,Paramètres!$A$1:$I$89,3,0)*VLOOKUP('Données projet'!$B$10,Paramètres!$A$1:$I$89,5,0)</f>
        <v>3.510371640169907</v>
      </c>
      <c r="AK10" s="13">
        <f t="shared" si="35"/>
        <v>1.3977389309136552</v>
      </c>
      <c r="AL10" s="20">
        <f t="shared" si="4"/>
        <v>8.5482925779705372</v>
      </c>
      <c r="AM10" s="59">
        <f t="shared" si="5"/>
        <v>192.67247351370676</v>
      </c>
      <c r="AN10" s="59">
        <f ca="1">AVERAGE(OFFSET($AM$3,0,0,'Données projet'!$E$10+1,1))-AVERAGE(OFFSET($H$3,0,0,'Données projet'!$E$10+1,1))</f>
        <v>569.97793593332699</v>
      </c>
      <c r="AO10" s="59">
        <f t="shared" si="36"/>
        <v>331.25104323342907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9.6666666666666661</v>
      </c>
      <c r="BD10" s="12">
        <f>IF('Données projet'!$A$88&gt;35,BD9+BC10-BL9,IF(A10&lt;'Données projet'!$A$88,$BA$205^A10,IF(A10='Données projet'!$A$88,'Données projet'!$B$88,BD9+BC10-BL9)))</f>
        <v>16.005423146694032</v>
      </c>
      <c r="BE10" s="13">
        <f>BD10*VLOOKUP('Données projet'!$B$11,Paramètres!$A$1:$I$89,3,0)*VLOOKUP('Données projet'!$B$11,Paramètres!$A$1:$I$89,5,0)</f>
        <v>8.7389610380949421</v>
      </c>
      <c r="BF10" s="13">
        <f t="shared" si="37"/>
        <v>3.1291468639233355</v>
      </c>
      <c r="BG10" s="20">
        <f t="shared" si="7"/>
        <v>20.6702879293485</v>
      </c>
      <c r="BH10" s="59">
        <f t="shared" si="8"/>
        <v>204.79446886508472</v>
      </c>
      <c r="BI10" s="59">
        <f ca="1">AVERAGE(OFFSET($BH$3,0,0,'Données projet'!$E$11+1,1))-AVERAGE(OFFSET($H$3,0,0,'Données projet'!$E$11+1,1))</f>
        <v>215.37314197175104</v>
      </c>
      <c r="BJ10" s="59">
        <f t="shared" si="38"/>
        <v>361.17630426655978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10.169411764705883</v>
      </c>
      <c r="BY10" s="12">
        <f>IF('Données projet'!$A$114&gt;35,BY9+BX10-CG9,IF(A10&lt;'Données projet'!$A$114,$BV$205^A10,IF(A10='Données projet'!$A$114,'Données projet'!$B$114,BY9+BX10-CG9)))</f>
        <v>8.3449609820402753</v>
      </c>
      <c r="BZ10" s="13">
        <f>BY10*VLOOKUP('Données projet'!$B$12,Paramètres!$A$1:$I$89,3,0)*VLOOKUP('Données projet'!$B$12,Paramètres!$A$1:$I$89,5,0)</f>
        <v>4.6648331889605137</v>
      </c>
      <c r="CA10" s="13">
        <f t="shared" si="39"/>
        <v>1.7969486177793568</v>
      </c>
      <c r="CB10" s="20">
        <f t="shared" si="10"/>
        <v>11.254269980071941</v>
      </c>
      <c r="CC10" s="59">
        <f t="shared" si="11"/>
        <v>195.37845091580817</v>
      </c>
      <c r="CD10" s="59">
        <f ca="1">AVERAGE(OFFSET($CC$3,0,0,'Données projet'!$E$12+1,1))-AVERAGE(OFFSET($H$3,0,0,'Données projet'!$E$12+1,1))</f>
        <v>420.4890915162182</v>
      </c>
      <c r="CE10" s="59">
        <f t="shared" si="40"/>
        <v>553.48432338023565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</v>
      </c>
      <c r="CT10" s="12">
        <f>IF('Données projet'!$A$140&gt;35,CT9+CS10-DB9,IF(A10&lt;'Données projet'!$A$140,$CQ$205^A10,IF(A10='Données projet'!$A$140,'Données projet'!$B$140,CT9+CS10-DB9)))</f>
        <v>7.8546623499408135</v>
      </c>
      <c r="CU10" s="17">
        <f>CT10*VLOOKUP('Données projet'!$B$13,Paramètres!$A$1:$I$89,3,0)*VLOOKUP('Données projet'!$B$13,Paramètres!$A$1:$I$89,5,0)</f>
        <v>5.7590384349766044</v>
      </c>
      <c r="CV10" s="13">
        <f t="shared" si="41"/>
        <v>2.1646979432521807</v>
      </c>
      <c r="CW10" s="20">
        <f t="shared" si="13"/>
        <v>13.800507525415135</v>
      </c>
      <c r="CX10" s="59">
        <f t="shared" si="14"/>
        <v>197.92468846115136</v>
      </c>
      <c r="CY10" s="59">
        <f ca="1">AVERAGE(OFFSET($CX$3,0,0,'Données projet'!$E$13+1,1))-AVERAGE(OFFSET($H$3,0,0,'Données projet'!$E$13+1,1))</f>
        <v>400.48995908576177</v>
      </c>
      <c r="CZ10" s="59">
        <f t="shared" si="42"/>
        <v>384.86917865380076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1.9</v>
      </c>
      <c r="DO10" s="12">
        <f>IF('Données projet'!$A$166&gt;35,DO9+DN10-DW9,IF(A10&lt;'Données projet'!$A$166,$DL$205^A10,IF(A10='Données projet'!$A$166,'Données projet'!$B$166,DO9+DN10-DW9)))</f>
        <v>7.8546623499408135</v>
      </c>
      <c r="DP10" s="17">
        <f>DO10*VLOOKUP('Données projet'!$B$14,Paramètres!$A$1:$I$89,3,0)*VLOOKUP('Données projet'!$B$14,Paramètres!$A$1:$I$89,5,0)</f>
        <v>6.2491693656129108</v>
      </c>
      <c r="DQ10" s="13">
        <f t="shared" si="43"/>
        <v>2.326701366112224</v>
      </c>
      <c r="DR10" s="20">
        <f t="shared" si="16"/>
        <v>14.936308191087944</v>
      </c>
      <c r="DS10" s="59">
        <f t="shared" si="17"/>
        <v>199.06048912682417</v>
      </c>
      <c r="DT10" s="59">
        <f ca="1">AVERAGE(OFFSET($DS$3,0,0,'Données projet'!$E$14+1,1))-AVERAGE(OFFSET($H$3,0,0,'Données projet'!$E$14+1,1))</f>
        <v>429.30603040255431</v>
      </c>
      <c r="DU10" s="59">
        <f t="shared" si="44"/>
        <v>412.18613903804726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1.7094017094017093</v>
      </c>
      <c r="EJ10" s="12">
        <f>IF('Données projet'!$A$192&gt;35,EJ9+EI10-ER9,IF(A10&lt;'Données projet'!$A$192,$EG$205^A10,IF(A10='Données projet'!$A$192,'Données projet'!$B$192,EJ9+EI10-ER9)))</f>
        <v>4.544678684562788</v>
      </c>
      <c r="EK10" s="17">
        <f>EJ10*VLOOKUP('Données projet'!$B$15,Paramètres!$A$1:$I$89,3,0)*VLOOKUP('Données projet'!$B$15,Paramètres!$A$1:$I$89,5,0)</f>
        <v>3.5448493739589746</v>
      </c>
      <c r="EL10" s="13">
        <f t="shared" si="45"/>
        <v>1.4098622061104944</v>
      </c>
      <c r="EM10" s="20">
        <f t="shared" si="19"/>
        <v>8.6294560019543258</v>
      </c>
      <c r="EN10" s="59">
        <f t="shared" si="20"/>
        <v>192.75363693769057</v>
      </c>
      <c r="EO10" s="59">
        <f ca="1">AVERAGE(OFFSET($EN$3,0,0,'Données projet'!$E$15+1,1))-AVERAGE(OFFSET($H$3,0,0,'Données projet'!$E$15+1,1))</f>
        <v>217.53602321474159</v>
      </c>
      <c r="EP10" s="59">
        <f t="shared" si="46"/>
        <v>215.75909414893025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4.0628205133333335</v>
      </c>
      <c r="FE10" s="12">
        <f>IF('Données projet'!$A$218&gt;35,FE9+FD10-FM9,IF(A10&lt;'Données projet'!$A$218,$FB$205^A10,IF(A10='Données projet'!$A$218,'Données projet'!$B$218,FE9+FD10-FM9)))</f>
        <v>3.0670538977444211</v>
      </c>
      <c r="FF10" s="17">
        <f>FE10*VLOOKUP('Données projet'!$B$16,Paramètres!$A$1:$I$89,3,0)*VLOOKUP('Données projet'!$B$16,Paramètres!$A$1:$I$89,5,0)</f>
        <v>2.0573797546069579</v>
      </c>
      <c r="FG10" s="13">
        <f t="shared" si="47"/>
        <v>0.87175956946128585</v>
      </c>
      <c r="FH10" s="20">
        <f t="shared" si="22"/>
        <v>5.1015843227521911</v>
      </c>
      <c r="FI10" s="59">
        <f t="shared" si="23"/>
        <v>189.22576525848842</v>
      </c>
      <c r="FJ10" s="59">
        <f ca="1">AVERAGE(OFFSET($FI$3,0,0,'Données projet'!$E$16+1,1))-AVERAGE(OFFSET($H$3,0,0,'Données projet'!$E$16+1,1))</f>
        <v>441.20130048888439</v>
      </c>
      <c r="FK10" s="59">
        <f t="shared" si="48"/>
        <v>237.47732532183946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0.9</v>
      </c>
      <c r="FZ10" s="12">
        <f>IF('Données projet'!$A$244&gt;35,FZ9+FY10-GH9,IF(A10&lt;'Données projet'!$A$244,$FW$205^A10,IF(A10='Données projet'!$A$244,'Données projet'!$B$244,FZ9+FY10-GH9)))</f>
        <v>4.6555367217460804</v>
      </c>
      <c r="GA10" s="17">
        <f>FZ10*VLOOKUP('Données projet'!$B$17,Paramètres!$A$1:$I$89,3,0)*VLOOKUP('Données projet'!$B$17,Paramètres!$A$1:$I$89,5,0)</f>
        <v>3.0503076600880319</v>
      </c>
      <c r="GB10" s="13">
        <f t="shared" si="49"/>
        <v>1.2345767954654534</v>
      </c>
      <c r="GC10" s="20">
        <f t="shared" si="25"/>
        <v>7.4628404267556538</v>
      </c>
      <c r="GD10" s="59">
        <f t="shared" si="26"/>
        <v>191.5870213624919</v>
      </c>
      <c r="GE10" s="59">
        <f ca="1">AVERAGE(OFFSET($GD$3,0,0,'Données projet'!$E$17+1,1))-AVERAGE(OFFSET($H$3,0,0,'Données projet'!$E$17+1,1))</f>
        <v>257.66104339896992</v>
      </c>
      <c r="GF10" s="59">
        <f t="shared" si="50"/>
        <v>254.79488636184996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2.8</v>
      </c>
      <c r="GU10" s="12">
        <f>IF('Données projet'!$A$270&gt;35,GU9+GT10-HC9,IF(A10&lt;'Données projet'!$A$270,$GR$205^A10,IF(A10='Données projet'!$A$270,'Données projet'!$B$270,GU9+GT10-HC9)))</f>
        <v>5.7215847537218165</v>
      </c>
      <c r="GV10" s="17">
        <f>GU10*VLOOKUP('Données projet'!$B$18,Paramètres!$A$1:$I$89,3,0)*VLOOKUP('Données projet'!$B$18,Paramètres!$A$1:$I$89,5,0)</f>
        <v>4.6413495522191379</v>
      </c>
      <c r="GW10" s="13">
        <f t="shared" si="51"/>
        <v>1.7889530728912018</v>
      </c>
      <c r="GX10" s="20">
        <f t="shared" si="28"/>
        <v>11.199443738733841</v>
      </c>
      <c r="GY10" s="59">
        <f t="shared" si="29"/>
        <v>195.32362467447007</v>
      </c>
      <c r="GZ10" s="59">
        <f ca="1">AVERAGE(OFFSET($GY$3,0,0,'Données projet'!$E$18+1,1))-AVERAGE(OFFSET($H$3,0,0,'Données projet'!$E$18+1,1))</f>
        <v>299.98377156721153</v>
      </c>
      <c r="HA10" s="59">
        <f t="shared" si="52"/>
        <v>241.36164657721102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4.0628205133333335</v>
      </c>
      <c r="N11" s="13">
        <f>IF('Données projet'!$A$36&gt;35,N10+M11-V10,IF(A11&lt;'Données projet'!$A$36,$K$205^A11,IF(A11='Données projet'!$A$36,'Données projet'!$B$36,N10+M11-V10)))</f>
        <v>3.5995900086084203</v>
      </c>
      <c r="O11" s="13">
        <f>N11*VLOOKUP('Données projet'!$B$9,Paramètres!$A$1:$I$89,3,0)*VLOOKUP('Données projet'!$B$9,Paramètres!$A$1:$I$89,5,0)</f>
        <v>3.2569090397888987</v>
      </c>
      <c r="P11" s="13">
        <f t="shared" si="33"/>
        <v>1.3081788373042398</v>
      </c>
      <c r="Q11" s="20">
        <f t="shared" si="2"/>
        <v>7.9508613859372161</v>
      </c>
      <c r="R11" s="59">
        <f t="shared" si="0"/>
        <v>194.70413425215776</v>
      </c>
      <c r="S11" s="59">
        <f ca="1">AVERAGE(OFFSET($R$3,0,0,'Données projet'!$E$9+1,1))-AVERAGE(OFFSET($H$3,0,0,'Données projet'!$E$9+1,1))</f>
        <v>567.42635821507474</v>
      </c>
      <c r="T11" s="59">
        <f t="shared" si="34"/>
        <v>299.04735309930152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5.0035150542816931</v>
      </c>
      <c r="AJ11" s="13">
        <f>AI11*VLOOKUP('Données projet'!$B$10,Paramètres!$A$1:$I$89,3,0)*VLOOKUP('Données projet'!$B$10,Paramètres!$A$1:$I$89,5,0)</f>
        <v>4.293015916573693</v>
      </c>
      <c r="AK11" s="13">
        <f t="shared" si="35"/>
        <v>1.669786742833518</v>
      </c>
      <c r="AL11" s="20">
        <f t="shared" si="4"/>
        <v>10.385214631800892</v>
      </c>
      <c r="AM11" s="59">
        <f t="shared" si="5"/>
        <v>197.13848749802145</v>
      </c>
      <c r="AN11" s="59">
        <f ca="1">AVERAGE(OFFSET($AM$3,0,0,'Données projet'!$E$10+1,1))-AVERAGE(OFFSET($H$3,0,0,'Données projet'!$E$10+1,1))</f>
        <v>569.97793593332699</v>
      </c>
      <c r="AO11" s="59">
        <f t="shared" si="36"/>
        <v>331.25104323342907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9.6666666666666661</v>
      </c>
      <c r="BD11" s="12">
        <f>IF('Données projet'!$A$88&gt;35,BD10+BC11-BL10,IF(A11&lt;'Données projet'!$A$88,$BA$205^A11,IF(A11='Données projet'!$A$88,'Données projet'!$B$88,BD10+BC11-BL10)))</f>
        <v>23.785118866310182</v>
      </c>
      <c r="BE11" s="13">
        <f>BD11*VLOOKUP('Données projet'!$B$11,Paramètres!$A$1:$I$89,3,0)*VLOOKUP('Données projet'!$B$11,Paramètres!$A$1:$I$89,5,0)</f>
        <v>12.98667490100536</v>
      </c>
      <c r="BF11" s="13">
        <f t="shared" si="37"/>
        <v>4.4405715295601897</v>
      </c>
      <c r="BG11" s="20">
        <f t="shared" si="7"/>
        <v>30.352454199901668</v>
      </c>
      <c r="BH11" s="59">
        <f t="shared" si="8"/>
        <v>217.10572706612223</v>
      </c>
      <c r="BI11" s="59">
        <f ca="1">AVERAGE(OFFSET($BH$3,0,0,'Données projet'!$E$11+1,1))-AVERAGE(OFFSET($H$3,0,0,'Données projet'!$E$11+1,1))</f>
        <v>215.37314197175104</v>
      </c>
      <c r="BJ11" s="59">
        <f t="shared" si="38"/>
        <v>361.17630426655978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10.169411764705883</v>
      </c>
      <c r="BY11" s="12">
        <f>IF('Données projet'!$A$114&gt;35,BY10+BX11-CG10,IF(A11&lt;'Données projet'!$A$114,$BV$205^A11,IF(A11='Données projet'!$A$114,'Données projet'!$B$114,BY10+BX11-CG10)))</f>
        <v>11.299425283572656</v>
      </c>
      <c r="BZ11" s="13">
        <f>BY11*VLOOKUP('Données projet'!$B$12,Paramètres!$A$1:$I$89,3,0)*VLOOKUP('Données projet'!$B$12,Paramètres!$A$1:$I$89,5,0)</f>
        <v>6.3163787335171149</v>
      </c>
      <c r="CA11" s="13">
        <f t="shared" si="39"/>
        <v>2.3487983512885449</v>
      </c>
      <c r="CB11" s="20">
        <f t="shared" si="10"/>
        <v>15.091850089369855</v>
      </c>
      <c r="CC11" s="59">
        <f t="shared" si="11"/>
        <v>201.8451229555904</v>
      </c>
      <c r="CD11" s="59">
        <f ca="1">AVERAGE(OFFSET($CC$3,0,0,'Données projet'!$E$12+1,1))-AVERAGE(OFFSET($H$3,0,0,'Données projet'!$E$12+1,1))</f>
        <v>420.4890915162182</v>
      </c>
      <c r="CE11" s="59">
        <f t="shared" si="40"/>
        <v>553.48432338023565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</v>
      </c>
      <c r="CT11" s="12">
        <f>IF('Données projet'!$A$140&gt;35,CT10+CS11-DB10,IF(A11&lt;'Données projet'!$A$140,$CQ$205^A11,IF(A11='Données projet'!$A$140,'Données projet'!$B$140,CT10+CS11-DB10)))</f>
        <v>10.543938903738736</v>
      </c>
      <c r="CU11" s="17">
        <f>CT11*VLOOKUP('Données projet'!$B$13,Paramètres!$A$1:$I$89,3,0)*VLOOKUP('Données projet'!$B$13,Paramètres!$A$1:$I$89,5,0)</f>
        <v>7.730816004221241</v>
      </c>
      <c r="CV11" s="13">
        <f t="shared" si="41"/>
        <v>2.8079409641844508</v>
      </c>
      <c r="CW11" s="20">
        <f t="shared" si="13"/>
        <v>18.355001719973249</v>
      </c>
      <c r="CX11" s="59">
        <f t="shared" si="14"/>
        <v>205.1082745861938</v>
      </c>
      <c r="CY11" s="59">
        <f ca="1">AVERAGE(OFFSET($CX$3,0,0,'Données projet'!$E$13+1,1))-AVERAGE(OFFSET($H$3,0,0,'Données projet'!$E$13+1,1))</f>
        <v>400.48995908576177</v>
      </c>
      <c r="CZ11" s="59">
        <f t="shared" si="42"/>
        <v>384.86917865380076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1.9</v>
      </c>
      <c r="DO11" s="12">
        <f>IF('Données projet'!$A$166&gt;35,DO10+DN11-DW10,IF(A11&lt;'Données projet'!$A$166,$DL$205^A11,IF(A11='Données projet'!$A$166,'Données projet'!$B$166,DO10+DN11-DW10)))</f>
        <v>10.543938903738736</v>
      </c>
      <c r="DP11" s="17">
        <f>DO11*VLOOKUP('Données projet'!$B$14,Paramètres!$A$1:$I$89,3,0)*VLOOKUP('Données projet'!$B$14,Paramètres!$A$1:$I$89,5,0)</f>
        <v>8.3887577918145393</v>
      </c>
      <c r="DQ11" s="13">
        <f t="shared" si="43"/>
        <v>3.0180839306915423</v>
      </c>
      <c r="DR11" s="20">
        <f t="shared" si="16"/>
        <v>19.866916000031427</v>
      </c>
      <c r="DS11" s="59">
        <f t="shared" si="17"/>
        <v>206.62018886625199</v>
      </c>
      <c r="DT11" s="59">
        <f ca="1">AVERAGE(OFFSET($DS$3,0,0,'Données projet'!$E$14+1,1))-AVERAGE(OFFSET($H$3,0,0,'Données projet'!$E$14+1,1))</f>
        <v>429.30603040255431</v>
      </c>
      <c r="DU11" s="59">
        <f t="shared" si="44"/>
        <v>412.18613903804726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1.7094017094017093</v>
      </c>
      <c r="EJ11" s="12">
        <f>IF('Données projet'!$A$192&gt;35,EJ10+EI11-ER10,IF(A11&lt;'Données projet'!$A$192,$EG$205^A11,IF(A11='Données projet'!$A$192,'Données projet'!$B$192,EJ10+EI11-ER10)))</f>
        <v>5.6419886686647915</v>
      </c>
      <c r="EK11" s="17">
        <f>EJ11*VLOOKUP('Données projet'!$B$15,Paramètres!$A$1:$I$89,3,0)*VLOOKUP('Données projet'!$B$15,Paramètres!$A$1:$I$89,5,0)</f>
        <v>4.4007511615585377</v>
      </c>
      <c r="EL11" s="13">
        <f t="shared" si="45"/>
        <v>1.7067596074390303</v>
      </c>
      <c r="EM11" s="20">
        <f t="shared" si="19"/>
        <v>10.637247922670763</v>
      </c>
      <c r="EN11" s="59">
        <f t="shared" si="20"/>
        <v>197.39052078889131</v>
      </c>
      <c r="EO11" s="59">
        <f ca="1">AVERAGE(OFFSET($EN$3,0,0,'Données projet'!$E$15+1,1))-AVERAGE(OFFSET($H$3,0,0,'Données projet'!$E$15+1,1))</f>
        <v>217.53602321474159</v>
      </c>
      <c r="EP11" s="59">
        <f t="shared" si="46"/>
        <v>215.75909414893025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4.0628205133333335</v>
      </c>
      <c r="FE11" s="12">
        <f>IF('Données projet'!$A$218&gt;35,FE10+FD11-FM10,IF(A11&lt;'Données projet'!$A$218,$FB$205^A11,IF(A11='Données projet'!$A$218,'Données projet'!$B$218,FE10+FD11-FM10)))</f>
        <v>3.5995900086084203</v>
      </c>
      <c r="FF11" s="17">
        <f>FE11*VLOOKUP('Données projet'!$B$16,Paramètres!$A$1:$I$89,3,0)*VLOOKUP('Données projet'!$B$16,Paramètres!$A$1:$I$89,5,0)</f>
        <v>2.4146049777745282</v>
      </c>
      <c r="FG11" s="13">
        <f t="shared" si="47"/>
        <v>1.0042338852382706</v>
      </c>
      <c r="FH11" s="20">
        <f t="shared" si="22"/>
        <v>5.9544776864139584</v>
      </c>
      <c r="FI11" s="59">
        <f t="shared" si="23"/>
        <v>192.70775055263451</v>
      </c>
      <c r="FJ11" s="59">
        <f ca="1">AVERAGE(OFFSET($FI$3,0,0,'Données projet'!$E$16+1,1))-AVERAGE(OFFSET($H$3,0,0,'Données projet'!$E$16+1,1))</f>
        <v>441.20130048888439</v>
      </c>
      <c r="FK11" s="59">
        <f t="shared" si="48"/>
        <v>237.47732532183946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0.9</v>
      </c>
      <c r="FZ11" s="12">
        <f>IF('Données projet'!$A$244&gt;35,FZ10+FY11-GH10,IF(A11&lt;'Données projet'!$A$244,$FW$205^A11,IF(A11='Données projet'!$A$244,'Données projet'!$B$244,FZ10+FY11-GH10)))</f>
        <v>5.7995461347952899</v>
      </c>
      <c r="GA11" s="17">
        <f>FZ11*VLOOKUP('Données projet'!$B$17,Paramètres!$A$1:$I$89,3,0)*VLOOKUP('Données projet'!$B$17,Paramètres!$A$1:$I$89,5,0)</f>
        <v>3.7998626275178737</v>
      </c>
      <c r="GB11" s="13">
        <f t="shared" si="49"/>
        <v>1.4991150978629391</v>
      </c>
      <c r="GC11" s="20">
        <f t="shared" si="25"/>
        <v>9.2290528717049156</v>
      </c>
      <c r="GD11" s="59">
        <f t="shared" si="26"/>
        <v>195.98232573792546</v>
      </c>
      <c r="GE11" s="59">
        <f ca="1">AVERAGE(OFFSET($GD$3,0,0,'Données projet'!$E$17+1,1))-AVERAGE(OFFSET($H$3,0,0,'Données projet'!$E$17+1,1))</f>
        <v>257.66104339896992</v>
      </c>
      <c r="GF11" s="59">
        <f t="shared" si="50"/>
        <v>254.79488636184996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2.8</v>
      </c>
      <c r="GU11" s="12">
        <f>IF('Données projet'!$A$270&gt;35,GU10+GT11-HC10,IF(A11&lt;'Données projet'!$A$270,$GR$205^A11,IF(A11='Données projet'!$A$270,'Données projet'!$B$270,GU10+GT11-HC10)))</f>
        <v>7.3406235873163457</v>
      </c>
      <c r="GV11" s="17">
        <f>GU11*VLOOKUP('Données projet'!$B$18,Paramètres!$A$1:$I$89,3,0)*VLOOKUP('Données projet'!$B$18,Paramètres!$A$1:$I$89,5,0)</f>
        <v>5.95471385403102</v>
      </c>
      <c r="GW11" s="13">
        <f t="shared" si="51"/>
        <v>2.2295599442474598</v>
      </c>
      <c r="GX11" s="20">
        <f t="shared" si="28"/>
        <v>14.254276865335017</v>
      </c>
      <c r="GY11" s="59">
        <f t="shared" si="29"/>
        <v>201.00754973155557</v>
      </c>
      <c r="GZ11" s="59">
        <f ca="1">AVERAGE(OFFSET($GY$3,0,0,'Données projet'!$E$18+1,1))-AVERAGE(OFFSET($H$3,0,0,'Données projet'!$E$18+1,1))</f>
        <v>299.98377156721153</v>
      </c>
      <c r="HA11" s="59">
        <f t="shared" si="52"/>
        <v>241.36164657721102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4.0628205133333335</v>
      </c>
      <c r="N12" s="13">
        <f>IF('Données projet'!$A$36&gt;35,N11+M12-V11,IF(A12&lt;'Données projet'!$A$36,$K$205^A12,IF(A12='Données projet'!$A$36,'Données projet'!$B$36,N11+M12-V11)))</f>
        <v>4.2245909795072292</v>
      </c>
      <c r="O12" s="13">
        <f>N12*VLOOKUP('Données projet'!$B$9,Paramètres!$A$1:$I$89,3,0)*VLOOKUP('Données projet'!$B$9,Paramètres!$A$1:$I$89,5,0)</f>
        <v>3.8224099182581406</v>
      </c>
      <c r="P12" s="13">
        <f t="shared" si="33"/>
        <v>1.5069722918950548</v>
      </c>
      <c r="Q12" s="20">
        <f t="shared" si="2"/>
        <v>9.2820073493501472</v>
      </c>
      <c r="R12" s="59">
        <f t="shared" si="0"/>
        <v>198.63996610190623</v>
      </c>
      <c r="S12" s="59">
        <f ca="1">AVERAGE(OFFSET($R$3,0,0,'Données projet'!$E$9+1,1))-AVERAGE(OFFSET($H$3,0,0,'Données projet'!$E$9+1,1))</f>
        <v>567.42635821507474</v>
      </c>
      <c r="T12" s="59">
        <f t="shared" si="34"/>
        <v>299.04735309930152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6.1190585979687659</v>
      </c>
      <c r="AJ12" s="13">
        <f>AI12*VLOOKUP('Données projet'!$B$10,Paramètres!$A$1:$I$89,3,0)*VLOOKUP('Données projet'!$B$10,Paramètres!$A$1:$I$89,5,0)</f>
        <v>5.250152277057202</v>
      </c>
      <c r="AK12" s="13">
        <f t="shared" si="35"/>
        <v>1.9947843655753528</v>
      </c>
      <c r="AL12" s="20">
        <f t="shared" si="4"/>
        <v>12.618264652585031</v>
      </c>
      <c r="AM12" s="59">
        <f t="shared" si="5"/>
        <v>201.9762234051411</v>
      </c>
      <c r="AN12" s="59">
        <f ca="1">AVERAGE(OFFSET($AM$3,0,0,'Données projet'!$E$10+1,1))-AVERAGE(OFFSET($H$3,0,0,'Données projet'!$E$10+1,1))</f>
        <v>569.97793593332699</v>
      </c>
      <c r="AO12" s="59">
        <f t="shared" si="36"/>
        <v>331.25104323342907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9.6666666666666661</v>
      </c>
      <c r="BD12" s="12">
        <f>IF('Données projet'!$A$88&gt;35,BD11+BC12-BL11,IF(A12&lt;'Données projet'!$A$88,$BA$205^A12,IF(A12='Données projet'!$A$88,'Données projet'!$B$88,BD11+BC12-BL11)))</f>
        <v>35.346261970047209</v>
      </c>
      <c r="BE12" s="13">
        <f>BD12*VLOOKUP('Données projet'!$B$11,Paramètres!$A$1:$I$89,3,0)*VLOOKUP('Données projet'!$B$11,Paramètres!$A$1:$I$89,5,0)</f>
        <v>19.299059035645776</v>
      </c>
      <c r="BF12" s="13">
        <f t="shared" si="37"/>
        <v>6.301613943558138</v>
      </c>
      <c r="BG12" s="20">
        <f t="shared" si="7"/>
        <v>44.587838772113486</v>
      </c>
      <c r="BH12" s="59">
        <f t="shared" si="8"/>
        <v>233.94579752466956</v>
      </c>
      <c r="BI12" s="59">
        <f ca="1">AVERAGE(OFFSET($BH$3,0,0,'Données projet'!$E$11+1,1))-AVERAGE(OFFSET($H$3,0,0,'Données projet'!$E$11+1,1))</f>
        <v>215.37314197175104</v>
      </c>
      <c r="BJ12" s="59">
        <f t="shared" si="38"/>
        <v>361.17630426655978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10.169411764705883</v>
      </c>
      <c r="BY12" s="12">
        <f>IF('Données projet'!$A$114&gt;35,BY11+BX12-CG11,IF(A12&lt;'Données projet'!$A$114,$BV$205^A12,IF(A12='Données projet'!$A$114,'Données projet'!$B$114,BY11+BX12-CG11)))</f>
        <v>15.299893194686335</v>
      </c>
      <c r="BZ12" s="13">
        <f>BY12*VLOOKUP('Données projet'!$B$12,Paramètres!$A$1:$I$89,3,0)*VLOOKUP('Données projet'!$B$12,Paramètres!$A$1:$I$89,5,0)</f>
        <v>8.5526402958296615</v>
      </c>
      <c r="CA12" s="13">
        <f t="shared" si="39"/>
        <v>3.0701232302532038</v>
      </c>
      <c r="CB12" s="20">
        <f t="shared" si="10"/>
        <v>20.242979807927657</v>
      </c>
      <c r="CC12" s="59">
        <f t="shared" si="11"/>
        <v>209.60093856048374</v>
      </c>
      <c r="CD12" s="59">
        <f ca="1">AVERAGE(OFFSET($CC$3,0,0,'Données projet'!$E$12+1,1))-AVERAGE(OFFSET($H$3,0,0,'Données projet'!$E$12+1,1))</f>
        <v>420.4890915162182</v>
      </c>
      <c r="CE12" s="59">
        <f t="shared" si="40"/>
        <v>553.48432338023565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</v>
      </c>
      <c r="CT12" s="12">
        <f>IF('Données projet'!$A$140&gt;35,CT11+CS12-DB11,IF(A12&lt;'Données projet'!$A$140,$CQ$205^A12,IF(A12='Données projet'!$A$140,'Données projet'!$B$140,CT11+CS12-DB11)))</f>
        <v>14.153969025366564</v>
      </c>
      <c r="CU12" s="17">
        <f>CT12*VLOOKUP('Données projet'!$B$13,Paramètres!$A$1:$I$89,3,0)*VLOOKUP('Données projet'!$B$13,Paramètres!$A$1:$I$89,5,0)</f>
        <v>10.377690089398765</v>
      </c>
      <c r="CV12" s="13">
        <f t="shared" si="41"/>
        <v>3.6423245482922235</v>
      </c>
      <c r="CW12" s="20">
        <f t="shared" si="13"/>
        <v>24.418192160645134</v>
      </c>
      <c r="CX12" s="59">
        <f t="shared" si="14"/>
        <v>213.77615091320121</v>
      </c>
      <c r="CY12" s="59">
        <f ca="1">AVERAGE(OFFSET($CX$3,0,0,'Données projet'!$E$13+1,1))-AVERAGE(OFFSET($H$3,0,0,'Données projet'!$E$13+1,1))</f>
        <v>400.48995908576177</v>
      </c>
      <c r="CZ12" s="59">
        <f t="shared" si="42"/>
        <v>384.86917865380076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1.9</v>
      </c>
      <c r="DO12" s="12">
        <f>IF('Données projet'!$A$166&gt;35,DO11+DN12-DW11,IF(A12&lt;'Données projet'!$A$166,$DL$205^A12,IF(A12='Données projet'!$A$166,'Données projet'!$B$166,DO11+DN12-DW11)))</f>
        <v>14.153969025366564</v>
      </c>
      <c r="DP12" s="17">
        <f>DO12*VLOOKUP('Données projet'!$B$14,Paramètres!$A$1:$I$89,3,0)*VLOOKUP('Données projet'!$B$14,Paramètres!$A$1:$I$89,5,0)</f>
        <v>11.260897756581638</v>
      </c>
      <c r="DQ12" s="13">
        <f t="shared" si="43"/>
        <v>3.9149117911590028</v>
      </c>
      <c r="DR12" s="20">
        <f t="shared" si="16"/>
        <v>26.431201628981615</v>
      </c>
      <c r="DS12" s="59">
        <f t="shared" si="17"/>
        <v>215.7891603815377</v>
      </c>
      <c r="DT12" s="59">
        <f ca="1">AVERAGE(OFFSET($DS$3,0,0,'Données projet'!$E$14+1,1))-AVERAGE(OFFSET($H$3,0,0,'Données projet'!$E$14+1,1))</f>
        <v>429.30603040255431</v>
      </c>
      <c r="DU12" s="59">
        <f t="shared" si="44"/>
        <v>412.18613903804726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1.7094017094017093</v>
      </c>
      <c r="EJ12" s="12">
        <f>IF('Données projet'!$A$192&gt;35,EJ11+EI12-ER11,IF(A12&lt;'Données projet'!$A$192,$EG$205^A12,IF(A12='Données projet'!$A$192,'Données projet'!$B$192,EJ11+EI12-ER11)))</f>
        <v>7.0042435003090322</v>
      </c>
      <c r="EK12" s="17">
        <f>EJ12*VLOOKUP('Données projet'!$B$15,Paramètres!$A$1:$I$89,3,0)*VLOOKUP('Données projet'!$B$15,Paramètres!$A$1:$I$89,5,0)</f>
        <v>5.4633099302410457</v>
      </c>
      <c r="EL12" s="13">
        <f t="shared" si="45"/>
        <v>2.0661794783632437</v>
      </c>
      <c r="EM12" s="20">
        <f t="shared" si="19"/>
        <v>13.113860719985803</v>
      </c>
      <c r="EN12" s="59">
        <f t="shared" si="20"/>
        <v>202.47181947254188</v>
      </c>
      <c r="EO12" s="59">
        <f ca="1">AVERAGE(OFFSET($EN$3,0,0,'Données projet'!$E$15+1,1))-AVERAGE(OFFSET($H$3,0,0,'Données projet'!$E$15+1,1))</f>
        <v>217.53602321474159</v>
      </c>
      <c r="EP12" s="59">
        <f t="shared" si="46"/>
        <v>215.75909414893025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4.0628205133333335</v>
      </c>
      <c r="FE12" s="12">
        <f>IF('Données projet'!$A$218&gt;35,FE11+FD12-FM11,IF(A12&lt;'Données projet'!$A$218,$FB$205^A12,IF(A12='Données projet'!$A$218,'Données projet'!$B$218,FE11+FD12-FM11)))</f>
        <v>4.2245909795072292</v>
      </c>
      <c r="FF12" s="17">
        <f>FE12*VLOOKUP('Données projet'!$B$16,Paramètres!$A$1:$I$89,3,0)*VLOOKUP('Données projet'!$B$16,Paramètres!$A$1:$I$89,5,0)</f>
        <v>2.8338556290534496</v>
      </c>
      <c r="FG12" s="13">
        <f t="shared" si="47"/>
        <v>1.1568392611783522</v>
      </c>
      <c r="FH12" s="20">
        <f t="shared" si="22"/>
        <v>6.9504602671537219</v>
      </c>
      <c r="FI12" s="59">
        <f t="shared" si="23"/>
        <v>196.30841901970979</v>
      </c>
      <c r="FJ12" s="59">
        <f ca="1">AVERAGE(OFFSET($FI$3,0,0,'Données projet'!$E$16+1,1))-AVERAGE(OFFSET($H$3,0,0,'Données projet'!$E$16+1,1))</f>
        <v>441.20130048888439</v>
      </c>
      <c r="FK12" s="59">
        <f t="shared" si="48"/>
        <v>237.47732532183946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0.9</v>
      </c>
      <c r="FZ12" s="12">
        <f>IF('Données projet'!$A$244&gt;35,FZ11+FY12-GH11,IF(A12&lt;'Données projet'!$A$244,$FW$205^A12,IF(A12='Données projet'!$A$244,'Données projet'!$B$244,FZ11+FY12-GH11)))</f>
        <v>7.2246740558420788</v>
      </c>
      <c r="GA12" s="17">
        <f>FZ12*VLOOKUP('Données projet'!$B$17,Paramètres!$A$1:$I$89,3,0)*VLOOKUP('Données projet'!$B$17,Paramètres!$A$1:$I$89,5,0)</f>
        <v>4.7336064413877299</v>
      </c>
      <c r="GB12" s="13">
        <f t="shared" si="49"/>
        <v>1.8203372077743676</v>
      </c>
      <c r="GC12" s="20">
        <f t="shared" si="25"/>
        <v>11.414785188957319</v>
      </c>
      <c r="GD12" s="59">
        <f t="shared" si="26"/>
        <v>200.7727439415134</v>
      </c>
      <c r="GE12" s="59">
        <f ca="1">AVERAGE(OFFSET($GD$3,0,0,'Données projet'!$E$17+1,1))-AVERAGE(OFFSET($H$3,0,0,'Données projet'!$E$17+1,1))</f>
        <v>257.66104339896992</v>
      </c>
      <c r="GF12" s="59">
        <f t="shared" si="50"/>
        <v>254.79488636184996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2.8</v>
      </c>
      <c r="GU12" s="12">
        <f>IF('Données projet'!$A$270&gt;35,GU11+GT12-HC11,IF(A12&lt;'Données projet'!$A$270,$GR$205^A12,IF(A12='Données projet'!$A$270,'Données projet'!$B$270,GU11+GT12-HC11)))</f>
        <v>9.4178024044149247</v>
      </c>
      <c r="GV12" s="17">
        <f>GU12*VLOOKUP('Données projet'!$B$18,Paramètres!$A$1:$I$89,3,0)*VLOOKUP('Données projet'!$B$18,Paramètres!$A$1:$I$89,5,0)</f>
        <v>7.639721310461387</v>
      </c>
      <c r="GW12" s="13">
        <f t="shared" si="51"/>
        <v>2.7786852658795538</v>
      </c>
      <c r="GX12" s="20">
        <f t="shared" si="28"/>
        <v>18.145391453793806</v>
      </c>
      <c r="GY12" s="59">
        <f t="shared" si="29"/>
        <v>207.50335020634986</v>
      </c>
      <c r="GZ12" s="59">
        <f ca="1">AVERAGE(OFFSET($GY$3,0,0,'Données projet'!$E$18+1,1))-AVERAGE(OFFSET($H$3,0,0,'Données projet'!$E$18+1,1))</f>
        <v>299.98377156721153</v>
      </c>
      <c r="HA12" s="59">
        <f t="shared" si="52"/>
        <v>241.36164657721102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4.0628205133333335</v>
      </c>
      <c r="N13" s="13">
        <f>IF('Données projet'!$A$36&gt;35,N12+M13-V12,IF(A13&lt;'Données projet'!$A$36,$K$205^A13,IF(A13='Données projet'!$A$36,'Données projet'!$B$36,N12+M13-V12)))</f>
        <v>4.9581115908901685</v>
      </c>
      <c r="O13" s="13">
        <f>N13*VLOOKUP('Données projet'!$B$9,Paramètres!$A$1:$I$89,3,0)*VLOOKUP('Données projet'!$B$9,Paramètres!$A$1:$I$89,5,0)</f>
        <v>4.4860993674374248</v>
      </c>
      <c r="P13" s="13">
        <f t="shared" si="33"/>
        <v>1.7359747947147708</v>
      </c>
      <c r="Q13" s="20">
        <f t="shared" si="2"/>
        <v>10.836779165748409</v>
      </c>
      <c r="R13" s="59">
        <f t="shared" si="0"/>
        <v>202.77544115079328</v>
      </c>
      <c r="S13" s="59">
        <f ca="1">AVERAGE(OFFSET($R$3,0,0,'Données projet'!$E$9+1,1))-AVERAGE(OFFSET($H$3,0,0,'Données projet'!$E$9+1,1))</f>
        <v>567.42635821507474</v>
      </c>
      <c r="T13" s="59">
        <f t="shared" si="34"/>
        <v>299.04735309930152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7.4833147735478933</v>
      </c>
      <c r="AJ13" s="13">
        <f>AI13*VLOOKUP('Données projet'!$B$10,Paramètres!$A$1:$I$89,3,0)*VLOOKUP('Données projet'!$B$10,Paramètres!$A$1:$I$89,5,0)</f>
        <v>6.4206840757040933</v>
      </c>
      <c r="AK13" s="13">
        <f t="shared" si="35"/>
        <v>2.3830376437122043</v>
      </c>
      <c r="AL13" s="20">
        <f t="shared" si="4"/>
        <v>15.33314866131672</v>
      </c>
      <c r="AM13" s="59">
        <f t="shared" si="5"/>
        <v>207.27181064636162</v>
      </c>
      <c r="AN13" s="59">
        <f ca="1">AVERAGE(OFFSET($AM$3,0,0,'Données projet'!$E$10+1,1))-AVERAGE(OFFSET($H$3,0,0,'Données projet'!$E$10+1,1))</f>
        <v>569.97793593332699</v>
      </c>
      <c r="AO13" s="59">
        <f t="shared" si="36"/>
        <v>331.25104323342907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9.6666666666666661</v>
      </c>
      <c r="BD13" s="12">
        <f>IF('Données projet'!$A$88&gt;35,BD12+BC13-BL12,IF(A13&lt;'Données projet'!$A$88,$BA$205^A13,IF(A13='Données projet'!$A$88,'Données projet'!$B$88,BD12+BC13-BL12)))</f>
        <v>52.526886339207103</v>
      </c>
      <c r="BE13" s="13">
        <f>BD13*VLOOKUP('Données projet'!$B$11,Paramètres!$A$1:$I$89,3,0)*VLOOKUP('Données projet'!$B$11,Paramètres!$A$1:$I$89,5,0)</f>
        <v>28.679679941207077</v>
      </c>
      <c r="BF13" s="13">
        <f t="shared" si="37"/>
        <v>8.9426187663684367</v>
      </c>
      <c r="BG13" s="20">
        <f t="shared" si="7"/>
        <v>65.525503582360685</v>
      </c>
      <c r="BH13" s="59">
        <f t="shared" si="8"/>
        <v>257.46416556740559</v>
      </c>
      <c r="BI13" s="59">
        <f ca="1">AVERAGE(OFFSET($BH$3,0,0,'Données projet'!$E$11+1,1))-AVERAGE(OFFSET($H$3,0,0,'Données projet'!$E$11+1,1))</f>
        <v>215.37314197175104</v>
      </c>
      <c r="BJ13" s="59">
        <f t="shared" si="38"/>
        <v>361.17630426655978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10.169411764705883</v>
      </c>
      <c r="BY13" s="12">
        <f>IF('Données projet'!$A$114&gt;35,BY12+BX13-CG12,IF(A13&lt;'Données projet'!$A$114,$BV$205^A13,IF(A13='Données projet'!$A$114,'Données projet'!$B$114,BY12+BX13-CG12)))</f>
        <v>20.716693627695339</v>
      </c>
      <c r="BZ13" s="13">
        <f>BY13*VLOOKUP('Données projet'!$B$12,Paramètres!$A$1:$I$89,3,0)*VLOOKUP('Données projet'!$B$12,Paramètres!$A$1:$I$89,5,0)</f>
        <v>11.580631737881694</v>
      </c>
      <c r="CA13" s="13">
        <f t="shared" si="39"/>
        <v>4.0129697143943712</v>
      </c>
      <c r="CB13" s="20">
        <f t="shared" si="10"/>
        <v>27.158855862714148</v>
      </c>
      <c r="CC13" s="59">
        <f t="shared" si="11"/>
        <v>219.09751784775904</v>
      </c>
      <c r="CD13" s="59">
        <f ca="1">AVERAGE(OFFSET($CC$3,0,0,'Données projet'!$E$12+1,1))-AVERAGE(OFFSET($H$3,0,0,'Données projet'!$E$12+1,1))</f>
        <v>420.4890915162182</v>
      </c>
      <c r="CE13" s="59">
        <f t="shared" si="40"/>
        <v>553.48432338023565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19</v>
      </c>
      <c r="CR13" s="12">
        <f>VLOOKUP(A13,'Données projet'!$A$139:$I$159,9,0)</f>
        <v>1.9</v>
      </c>
      <c r="CS13" s="12">
        <f t="array" ref="CS13">INDEX(CR:CR,MIN(IF(ISNUMBER(CR13:CR209),ROW(CR13:CR209),"")))</f>
        <v>1.9</v>
      </c>
      <c r="CT13" s="12">
        <f>IF('Données projet'!$A$140&gt;35,CT12+CS13-DB12,IF(A13&lt;'Données projet'!$A$140,$CQ$205^A13,IF(A13='Données projet'!$A$140,'Données projet'!$B$140,CT12+CS13-DB12)))</f>
        <v>19</v>
      </c>
      <c r="CU13" s="17">
        <f>CT13*VLOOKUP('Données projet'!$B$13,Paramètres!$A$1:$I$89,3,0)*VLOOKUP('Données projet'!$B$13,Paramètres!$A$1:$I$89,5,0)</f>
        <v>13.9308</v>
      </c>
      <c r="CV13" s="13">
        <f t="shared" si="41"/>
        <v>4.7246463812124082</v>
      </c>
      <c r="CW13" s="20">
        <f t="shared" si="13"/>
        <v>32.491569113944941</v>
      </c>
      <c r="CX13" s="59">
        <f t="shared" si="14"/>
        <v>224.43023109898982</v>
      </c>
      <c r="CY13" s="59">
        <f ca="1">AVERAGE(OFFSET($CX$3,0,0,'Données projet'!$E$13+1,1))-AVERAGE(OFFSET($H$3,0,0,'Données projet'!$E$13+1,1))</f>
        <v>400.48995908576177</v>
      </c>
      <c r="CZ13" s="59">
        <f t="shared" si="42"/>
        <v>384.86917865380076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7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19</v>
      </c>
      <c r="DM13" s="12">
        <f>VLOOKUP(A13,'Données projet'!$A$165:$I$185,9,0)</f>
        <v>1.9</v>
      </c>
      <c r="DN13" s="12">
        <f t="array" ref="DN13">INDEX(DM:DM,MIN(IF(ISNUMBER(DM13:DM209),ROW(DM13:DM209),"")))</f>
        <v>1.9</v>
      </c>
      <c r="DO13" s="12">
        <f>IF('Données projet'!$A$166&gt;35,DO12+DN13-DW12,IF(A13&lt;'Données projet'!$A$166,$DL$205^A13,IF(A13='Données projet'!$A$166,'Données projet'!$B$166,DO12+DN13-DW12)))</f>
        <v>19</v>
      </c>
      <c r="DP13" s="17">
        <f>DO13*VLOOKUP('Données projet'!$B$14,Paramètres!$A$1:$I$89,3,0)*VLOOKUP('Données projet'!$B$14,Paramètres!$A$1:$I$89,5,0)</f>
        <v>15.116400000000001</v>
      </c>
      <c r="DQ13" s="13">
        <f t="shared" si="43"/>
        <v>5.0782333044806913</v>
      </c>
      <c r="DR13" s="20">
        <f t="shared" si="16"/>
        <v>35.172319671970541</v>
      </c>
      <c r="DS13" s="59">
        <f t="shared" si="17"/>
        <v>227.11098165701543</v>
      </c>
      <c r="DT13" s="59">
        <f ca="1">AVERAGE(OFFSET($DS$3,0,0,'Données projet'!$E$14+1,1))-AVERAGE(OFFSET($H$3,0,0,'Données projet'!$E$14+1,1))</f>
        <v>429.30603040255431</v>
      </c>
      <c r="DU13" s="59">
        <f t="shared" si="44"/>
        <v>412.18613903804726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7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1.7094017094017093</v>
      </c>
      <c r="EJ13" s="12">
        <f>IF('Données projet'!$A$192&gt;35,EJ12+EI13-ER12,IF(A13&lt;'Données projet'!$A$192,$EG$205^A13,IF(A13='Données projet'!$A$192,'Données projet'!$B$192,EJ12+EI13-ER12)))</f>
        <v>8.6954139564465862</v>
      </c>
      <c r="EK13" s="17">
        <f>EJ13*VLOOKUP('Données projet'!$B$15,Paramètres!$A$1:$I$89,3,0)*VLOOKUP('Données projet'!$B$15,Paramètres!$A$1:$I$89,5,0)</f>
        <v>6.7824228860283373</v>
      </c>
      <c r="EL13" s="13">
        <f t="shared" si="45"/>
        <v>2.5012881827073041</v>
      </c>
      <c r="EM13" s="20">
        <f t="shared" si="19"/>
        <v>16.169130111381239</v>
      </c>
      <c r="EN13" s="59">
        <f t="shared" si="20"/>
        <v>208.10779209642612</v>
      </c>
      <c r="EO13" s="59">
        <f ca="1">AVERAGE(OFFSET($EN$3,0,0,'Données projet'!$E$15+1,1))-AVERAGE(OFFSET($H$3,0,0,'Données projet'!$E$15+1,1))</f>
        <v>217.53602321474159</v>
      </c>
      <c r="EP13" s="59">
        <f t="shared" si="46"/>
        <v>215.75909414893025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4.0628205133333335</v>
      </c>
      <c r="FE13" s="12">
        <f>IF('Données projet'!$A$218&gt;35,FE12+FD13-FM12,IF(A13&lt;'Données projet'!$A$218,$FB$205^A13,IF(A13='Données projet'!$A$218,'Données projet'!$B$218,FE12+FD13-FM12)))</f>
        <v>4.9581115908901685</v>
      </c>
      <c r="FF13" s="17">
        <f>FE13*VLOOKUP('Données projet'!$B$16,Paramètres!$A$1:$I$89,3,0)*VLOOKUP('Données projet'!$B$16,Paramètres!$A$1:$I$89,5,0)</f>
        <v>3.3259012551691249</v>
      </c>
      <c r="FG13" s="13">
        <f t="shared" si="47"/>
        <v>1.3326348531708307</v>
      </c>
      <c r="FH13" s="20">
        <f t="shared" si="22"/>
        <v>8.1136170553587554</v>
      </c>
      <c r="FI13" s="59">
        <f t="shared" si="23"/>
        <v>200.05227904040365</v>
      </c>
      <c r="FJ13" s="59">
        <f ca="1">AVERAGE(OFFSET($FI$3,0,0,'Données projet'!$E$16+1,1))-AVERAGE(OFFSET($H$3,0,0,'Données projet'!$E$16+1,1))</f>
        <v>441.20130048888439</v>
      </c>
      <c r="FK13" s="59">
        <f t="shared" si="48"/>
        <v>237.47732532183946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>
        <f>VLOOKUP(A13,'Données projet'!$A$243:$I$263,2,0)</f>
        <v>9</v>
      </c>
      <c r="FX13" s="12">
        <f>VLOOKUP(A13,'Données projet'!$A$243:$I$263,9,0)</f>
        <v>0.9</v>
      </c>
      <c r="FY13" s="12">
        <f t="array" ref="FY13">INDEX(FX:FX,MIN(IF(ISNUMBER(FX13:FX209),ROW(FX13:FX209),"")))</f>
        <v>0.9</v>
      </c>
      <c r="FZ13" s="12">
        <f>IF('Données projet'!$A$244&gt;35,FZ12+FY13-GH12,IF(A13&lt;'Données projet'!$A$244,$FW$205^A13,IF(A13='Données projet'!$A$244,'Données projet'!$B$244,FZ12+FY13-GH12)))</f>
        <v>9</v>
      </c>
      <c r="GA13" s="17">
        <f>FZ13*VLOOKUP('Données projet'!$B$17,Paramètres!$A$1:$I$89,3,0)*VLOOKUP('Données projet'!$B$17,Paramètres!$A$1:$I$89,5,0)</f>
        <v>5.8967999999999998</v>
      </c>
      <c r="GB13" s="13">
        <f t="shared" si="49"/>
        <v>2.210389018649412</v>
      </c>
      <c r="GC13" s="20">
        <f t="shared" si="25"/>
        <v>14.120020874147725</v>
      </c>
      <c r="GD13" s="59">
        <f t="shared" si="26"/>
        <v>206.0586828591926</v>
      </c>
      <c r="GE13" s="59">
        <f ca="1">AVERAGE(OFFSET($GD$3,0,0,'Données projet'!$E$17+1,1))-AVERAGE(OFFSET($H$3,0,0,'Données projet'!$E$17+1,1))</f>
        <v>257.66104339896992</v>
      </c>
      <c r="GF13" s="59">
        <f t="shared" si="50"/>
        <v>254.79488636184996</v>
      </c>
      <c r="GG13" s="15">
        <f>IF(ISNA(VLOOKUP(A13,'Données projet'!$A$243:$I$263,3,0)),0,VLOOKUP(A13,'Données projet'!$A$243:$I$263,3,0))</f>
        <v>1</v>
      </c>
      <c r="GH13" s="15">
        <f>IF(ISNA(VLOOKUP(A13,'Données projet'!$A$243:$I$263,4,0)),0,VLOOKUP(A13,'Données projet'!$A$243:$I$263,4,0))</f>
        <v>1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2.8</v>
      </c>
      <c r="GU13" s="12">
        <f>IF('Données projet'!$A$270&gt;35,GU12+GT13-HC12,IF(A13&lt;'Données projet'!$A$270,$GR$205^A13,IF(A13='Données projet'!$A$270,'Données projet'!$B$270,GU12+GT13-HC12)))</f>
        <v>12.08276123596054</v>
      </c>
      <c r="GV13" s="17">
        <f>GU13*VLOOKUP('Données projet'!$B$18,Paramètres!$A$1:$I$89,3,0)*VLOOKUP('Données projet'!$B$18,Paramètres!$A$1:$I$89,5,0)</f>
        <v>9.8015359146111898</v>
      </c>
      <c r="GW13" s="13">
        <f t="shared" si="51"/>
        <v>3.4630563877582672</v>
      </c>
      <c r="GX13" s="20">
        <f t="shared" si="28"/>
        <v>23.102498259960139</v>
      </c>
      <c r="GY13" s="59">
        <f t="shared" si="29"/>
        <v>215.04116024500502</v>
      </c>
      <c r="GZ13" s="59">
        <f ca="1">AVERAGE(OFFSET($GY$3,0,0,'Données projet'!$E$18+1,1))-AVERAGE(OFFSET($H$3,0,0,'Données projet'!$E$18+1,1))</f>
        <v>299.98377156721153</v>
      </c>
      <c r="HA13" s="59">
        <f t="shared" si="52"/>
        <v>241.36164657721102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4.0628205133333335</v>
      </c>
      <c r="N14" s="13">
        <f>IF('Données projet'!$A$36&gt;35,N13+M14-V13,IF(A14&lt;'Données projet'!$A$36,$K$205^A14,IF(A14='Données projet'!$A$36,'Données projet'!$B$36,N13+M14-V13)))</f>
        <v>5.8189942332800397</v>
      </c>
      <c r="O14" s="13">
        <f>N14*VLOOKUP('Données projet'!$B$9,Paramètres!$A$1:$I$89,3,0)*VLOOKUP('Données projet'!$B$9,Paramètres!$A$1:$I$89,5,0)</f>
        <v>5.26502598227178</v>
      </c>
      <c r="P14" s="13">
        <f t="shared" si="33"/>
        <v>1.9997769727373709</v>
      </c>
      <c r="Q14" s="20">
        <f t="shared" si="2"/>
        <v>12.652865146640936</v>
      </c>
      <c r="R14" s="59">
        <f t="shared" si="0"/>
        <v>207.14866375575508</v>
      </c>
      <c r="S14" s="59">
        <f ca="1">AVERAGE(OFFSET($R$3,0,0,'Données projet'!$E$9+1,1))-AVERAGE(OFFSET($H$3,0,0,'Données projet'!$E$9+1,1))</f>
        <v>567.42635821507474</v>
      </c>
      <c r="T14" s="59">
        <f t="shared" si="34"/>
        <v>299.04735309930152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9.1517345525322273</v>
      </c>
      <c r="AJ14" s="13">
        <f>AI14*VLOOKUP('Données projet'!$B$10,Paramètres!$A$1:$I$89,3,0)*VLOOKUP('Données projet'!$B$10,Paramètres!$A$1:$I$89,5,0)</f>
        <v>7.8521882460726511</v>
      </c>
      <c r="AK14" s="13">
        <f t="shared" si="35"/>
        <v>2.8468582917289242</v>
      </c>
      <c r="AL14" s="20">
        <f t="shared" si="4"/>
        <v>18.634172720004408</v>
      </c>
      <c r="AM14" s="59">
        <f t="shared" si="5"/>
        <v>213.12997132911855</v>
      </c>
      <c r="AN14" s="59">
        <f ca="1">AVERAGE(OFFSET($AM$3,0,0,'Données projet'!$E$10+1,1))-AVERAGE(OFFSET($H$3,0,0,'Données projet'!$E$10+1,1))</f>
        <v>569.97793593332699</v>
      </c>
      <c r="AO14" s="59">
        <f t="shared" si="36"/>
        <v>331.25104323342907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9.6666666666666661</v>
      </c>
      <c r="BD14" s="12">
        <f>IF('Données projet'!$A$88&gt;35,BD13+BC14-BL13,IF(A14&lt;'Données projet'!$A$88,$BA$205^A14,IF(A14='Données projet'!$A$88,'Données projet'!$B$88,BD13+BC14-BL13)))</f>
        <v>78.058432057965561</v>
      </c>
      <c r="BE14" s="13">
        <f>BD14*VLOOKUP('Données projet'!$B$11,Paramètres!$A$1:$I$89,3,0)*VLOOKUP('Données projet'!$B$11,Paramètres!$A$1:$I$89,5,0)</f>
        <v>42.619903903649202</v>
      </c>
      <c r="BF14" s="13">
        <f t="shared" si="37"/>
        <v>12.690468047849112</v>
      </c>
      <c r="BG14" s="20">
        <f t="shared" si="7"/>
        <v>96.332231148859549</v>
      </c>
      <c r="BH14" s="59">
        <f t="shared" si="8"/>
        <v>290.8280297579737</v>
      </c>
      <c r="BI14" s="59">
        <f ca="1">AVERAGE(OFFSET($BH$3,0,0,'Données projet'!$E$11+1,1))-AVERAGE(OFFSET($H$3,0,0,'Données projet'!$E$11+1,1))</f>
        <v>215.37314197175104</v>
      </c>
      <c r="BJ14" s="59">
        <f t="shared" si="38"/>
        <v>361.17630426655978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10.169411764705883</v>
      </c>
      <c r="BY14" s="12">
        <f>IF('Données projet'!$A$114&gt;35,BY13+BX14-CG13,IF(A14&lt;'Données projet'!$A$114,$BV$205^A14,IF(A14='Données projet'!$A$114,'Données projet'!$B$114,BY13+BX14-CG13)))</f>
        <v>28.051267378313966</v>
      </c>
      <c r="BZ14" s="13">
        <f>BY14*VLOOKUP('Données projet'!$B$12,Paramètres!$A$1:$I$89,3,0)*VLOOKUP('Données projet'!$B$12,Paramètres!$A$1:$I$89,5,0)</f>
        <v>15.680658464477508</v>
      </c>
      <c r="CA14" s="13">
        <f t="shared" si="39"/>
        <v>5.245367928543474</v>
      </c>
      <c r="CB14" s="20">
        <f t="shared" si="10"/>
        <v>36.446162634511545</v>
      </c>
      <c r="CC14" s="59">
        <f t="shared" si="11"/>
        <v>230.94196124362568</v>
      </c>
      <c r="CD14" s="59">
        <f ca="1">AVERAGE(OFFSET($CC$3,0,0,'Données projet'!$E$12+1,1))-AVERAGE(OFFSET($H$3,0,0,'Données projet'!$E$12+1,1))</f>
        <v>420.4890915162182</v>
      </c>
      <c r="CE14" s="59">
        <f t="shared" si="40"/>
        <v>553.48432338023565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14.6</v>
      </c>
      <c r="CT14" s="12">
        <f>IF('Données projet'!$A$140&gt;35,CT13+CS14-DB13,IF(A14&lt;'Données projet'!$A$140,$CQ$205^A14,IF(A14='Données projet'!$A$140,'Données projet'!$B$140,CT13+CS14-DB13)))</f>
        <v>26.6</v>
      </c>
      <c r="CU14" s="17">
        <f>CT14*VLOOKUP('Données projet'!$B$13,Paramètres!$A$1:$I$89,3,0)*VLOOKUP('Données projet'!$B$13,Paramètres!$A$1:$I$89,5,0)</f>
        <v>19.503120000000003</v>
      </c>
      <c r="CV14" s="13">
        <f t="shared" si="41"/>
        <v>6.3604529061061674</v>
      </c>
      <c r="CW14" s="20">
        <f t="shared" si="13"/>
        <v>45.045722811468245</v>
      </c>
      <c r="CX14" s="59">
        <f t="shared" si="14"/>
        <v>239.54152142058237</v>
      </c>
      <c r="CY14" s="59">
        <f ca="1">AVERAGE(OFFSET($CX$3,0,0,'Données projet'!$E$13+1,1))-AVERAGE(OFFSET($H$3,0,0,'Données projet'!$E$13+1,1))</f>
        <v>400.48995908576177</v>
      </c>
      <c r="CZ14" s="59">
        <f t="shared" si="42"/>
        <v>384.86917865380076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14.6</v>
      </c>
      <c r="DO14" s="12">
        <f>IF('Données projet'!$A$166&gt;35,DO13+DN14-DW13,IF(A14&lt;'Données projet'!$A$166,$DL$205^A14,IF(A14='Données projet'!$A$166,'Données projet'!$B$166,DO13+DN14-DW13)))</f>
        <v>26.6</v>
      </c>
      <c r="DP14" s="17">
        <f>DO14*VLOOKUP('Données projet'!$B$14,Paramètres!$A$1:$I$89,3,0)*VLOOKUP('Données projet'!$B$14,Paramètres!$A$1:$I$89,5,0)</f>
        <v>21.162960000000002</v>
      </c>
      <c r="DQ14" s="13">
        <f t="shared" si="43"/>
        <v>6.8364616466980515</v>
      </c>
      <c r="DR14" s="20">
        <f t="shared" si="16"/>
        <v>48.765659367999113</v>
      </c>
      <c r="DS14" s="59">
        <f t="shared" si="17"/>
        <v>243.26145797711325</v>
      </c>
      <c r="DT14" s="59">
        <f ca="1">AVERAGE(OFFSET($DS$3,0,0,'Données projet'!$E$14+1,1))-AVERAGE(OFFSET($H$3,0,0,'Données projet'!$E$14+1,1))</f>
        <v>429.30603040255431</v>
      </c>
      <c r="DU14" s="59">
        <f t="shared" si="44"/>
        <v>412.18613903804726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1.7094017094017093</v>
      </c>
      <c r="EJ14" s="12">
        <f>IF('Données projet'!$A$192&gt;35,EJ13+EI14-ER13,IF(A14&lt;'Données projet'!$A$192,$EG$205^A14,IF(A14='Données projet'!$A$192,'Données projet'!$B$192,EJ13+EI14-ER13)))</f>
        <v>10.794916520339433</v>
      </c>
      <c r="EK14" s="17">
        <f>EJ14*VLOOKUP('Données projet'!$B$15,Paramètres!$A$1:$I$89,3,0)*VLOOKUP('Données projet'!$B$15,Paramètres!$A$1:$I$89,5,0)</f>
        <v>8.4200348858647569</v>
      </c>
      <c r="EL14" s="13">
        <f t="shared" si="45"/>
        <v>3.0280247376705862</v>
      </c>
      <c r="EM14" s="20">
        <f t="shared" si="19"/>
        <v>19.938703844324056</v>
      </c>
      <c r="EN14" s="59">
        <f t="shared" si="20"/>
        <v>214.4345024534382</v>
      </c>
      <c r="EO14" s="59">
        <f ca="1">AVERAGE(OFFSET($EN$3,0,0,'Données projet'!$E$15+1,1))-AVERAGE(OFFSET($H$3,0,0,'Données projet'!$E$15+1,1))</f>
        <v>217.53602321474159</v>
      </c>
      <c r="EP14" s="59">
        <f t="shared" si="46"/>
        <v>215.75909414893025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4.0628205133333335</v>
      </c>
      <c r="FE14" s="12">
        <f>IF('Données projet'!$A$218&gt;35,FE13+FD14-FM13,IF(A14&lt;'Données projet'!$A$218,$FB$205^A14,IF(A14='Données projet'!$A$218,'Données projet'!$B$218,FE13+FD14-FM13)))</f>
        <v>5.8189942332800397</v>
      </c>
      <c r="FF14" s="17">
        <f>FE14*VLOOKUP('Données projet'!$B$16,Paramètres!$A$1:$I$89,3,0)*VLOOKUP('Données projet'!$B$16,Paramètres!$A$1:$I$89,5,0)</f>
        <v>3.9033813316842507</v>
      </c>
      <c r="FG14" s="13">
        <f t="shared" si="47"/>
        <v>1.5351446925104364</v>
      </c>
      <c r="FH14" s="20">
        <f t="shared" si="22"/>
        <v>9.4720994921390798</v>
      </c>
      <c r="FI14" s="59">
        <f t="shared" si="23"/>
        <v>203.96789810125321</v>
      </c>
      <c r="FJ14" s="59">
        <f ca="1">AVERAGE(OFFSET($FI$3,0,0,'Données projet'!$E$16+1,1))-AVERAGE(OFFSET($H$3,0,0,'Données projet'!$E$16+1,1))</f>
        <v>441.20130048888439</v>
      </c>
      <c r="FK14" s="59">
        <f t="shared" si="48"/>
        <v>237.47732532183946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5.6</v>
      </c>
      <c r="FZ14" s="12">
        <f>IF('Données projet'!$A$244&gt;35,FZ13+FY14-GH13,IF(A14&lt;'Données projet'!$A$244,$FW$205^A14,IF(A14='Données projet'!$A$244,'Données projet'!$B$244,FZ13+FY14-GH13)))</f>
        <v>13.6</v>
      </c>
      <c r="GA14" s="17">
        <f>FZ14*VLOOKUP('Données projet'!$B$17,Paramètres!$A$1:$I$89,3,0)*VLOOKUP('Données projet'!$B$17,Paramètres!$A$1:$I$89,5,0)</f>
        <v>8.9107199999999995</v>
      </c>
      <c r="GB14" s="13">
        <f t="shared" si="49"/>
        <v>3.1834278577240251</v>
      </c>
      <c r="GC14" s="20">
        <f t="shared" si="25"/>
        <v>21.063974185536008</v>
      </c>
      <c r="GD14" s="59">
        <f t="shared" si="26"/>
        <v>215.55977279465014</v>
      </c>
      <c r="GE14" s="59">
        <f ca="1">AVERAGE(OFFSET($GD$3,0,0,'Données projet'!$E$17+1,1))-AVERAGE(OFFSET($H$3,0,0,'Données projet'!$E$17+1,1))</f>
        <v>257.66104339896992</v>
      </c>
      <c r="GF14" s="59">
        <f t="shared" si="50"/>
        <v>254.79488636184996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2.8</v>
      </c>
      <c r="GU14" s="12">
        <f>IF('Données projet'!$A$270&gt;35,GU13+GT14-HC13,IF(A14&lt;'Données projet'!$A$270,$GR$205^A14,IF(A14='Données projet'!$A$270,'Données projet'!$B$270,GU13+GT14-HC13)))</f>
        <v>15.501824397673841</v>
      </c>
      <c r="GV14" s="17">
        <f>GU14*VLOOKUP('Données projet'!$B$18,Paramètres!$A$1:$I$89,3,0)*VLOOKUP('Données projet'!$B$18,Paramètres!$A$1:$I$89,5,0)</f>
        <v>12.575079951393022</v>
      </c>
      <c r="GW14" s="13">
        <f t="shared" si="51"/>
        <v>4.3159834228282739</v>
      </c>
      <c r="GX14" s="20">
        <f t="shared" si="28"/>
        <v>29.418602043435424</v>
      </c>
      <c r="GY14" s="59">
        <f t="shared" si="29"/>
        <v>223.91440065254955</v>
      </c>
      <c r="GZ14" s="59">
        <f ca="1">AVERAGE(OFFSET($GY$3,0,0,'Données projet'!$E$18+1,1))-AVERAGE(OFFSET($H$3,0,0,'Données projet'!$E$18+1,1))</f>
        <v>299.98377156721153</v>
      </c>
      <c r="HA14" s="59">
        <f t="shared" si="52"/>
        <v>241.36164657721102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4.0628205133333335</v>
      </c>
      <c r="N15" s="13">
        <f>IF('Données projet'!$A$36&gt;35,N14+M15-V14,IF(A15&lt;'Données projet'!$A$36,$K$205^A15,IF(A15='Données projet'!$A$36,'Données projet'!$B$36,N14+M15-V14)))</f>
        <v>6.8293529232300063</v>
      </c>
      <c r="O15" s="13">
        <f>N15*VLOOKUP('Données projet'!$B$9,Paramètres!$A$1:$I$89,3,0)*VLOOKUP('Données projet'!$B$9,Paramètres!$A$1:$I$89,5,0)</f>
        <v>6.17919852493851</v>
      </c>
      <c r="P15" s="13">
        <f t="shared" si="33"/>
        <v>2.3036670537303023</v>
      </c>
      <c r="Q15" s="20">
        <f t="shared" si="2"/>
        <v>14.774324216181517</v>
      </c>
      <c r="R15" s="59">
        <f t="shared" si="0"/>
        <v>211.8041016689144</v>
      </c>
      <c r="S15" s="59">
        <f ca="1">AVERAGE(OFFSET($R$3,0,0,'Données projet'!$E$9+1,1))-AVERAGE(OFFSET($H$3,0,0,'Données projet'!$E$9+1,1))</f>
        <v>567.42635821507474</v>
      </c>
      <c r="T15" s="59">
        <f t="shared" si="34"/>
        <v>299.04735309930152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11.19213180983215</v>
      </c>
      <c r="AJ15" s="13">
        <f>AI15*VLOOKUP('Données projet'!$B$10,Paramètres!$A$1:$I$89,3,0)*VLOOKUP('Données projet'!$B$10,Paramètres!$A$1:$I$89,5,0)</f>
        <v>9.6028490928359851</v>
      </c>
      <c r="AK15" s="13">
        <f t="shared" si="35"/>
        <v>3.4009543049268385</v>
      </c>
      <c r="AL15" s="20">
        <f t="shared" si="4"/>
        <v>22.64829091777025</v>
      </c>
      <c r="AM15" s="59">
        <f t="shared" si="5"/>
        <v>219.67806837050313</v>
      </c>
      <c r="AN15" s="59">
        <f ca="1">AVERAGE(OFFSET($AM$3,0,0,'Données projet'!$E$10+1,1))-AVERAGE(OFFSET($H$3,0,0,'Données projet'!$E$10+1,1))</f>
        <v>569.97793593332699</v>
      </c>
      <c r="AO15" s="59">
        <f t="shared" si="36"/>
        <v>331.25104323342907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116</v>
      </c>
      <c r="BB15" s="12">
        <f>VLOOKUP(A15,'Données projet'!$A$87:$I$107,9,0)</f>
        <v>9.6666666666666661</v>
      </c>
      <c r="BC15" s="12">
        <f t="array" ref="BC15">INDEX(BB:BB,MIN(IF(ISNUMBER(BB15:BB211),ROW(BB15:BB211),"")))</f>
        <v>9.6666666666666661</v>
      </c>
      <c r="BD15" s="12">
        <f>IF('Données projet'!$A$88&gt;35,BD14+BC15-BL14,IF(A15&lt;'Données projet'!$A$88,$BA$205^A15,IF(A15='Données projet'!$A$88,'Données projet'!$B$88,BD14+BC15-BL14)))</f>
        <v>116</v>
      </c>
      <c r="BE15" s="13">
        <f>BD15*VLOOKUP('Données projet'!$B$11,Paramètres!$A$1:$I$89,3,0)*VLOOKUP('Données projet'!$B$11,Paramètres!$A$1:$I$89,5,0)</f>
        <v>63.335999999999999</v>
      </c>
      <c r="BF15" s="13">
        <f t="shared" si="37"/>
        <v>18.009040022946227</v>
      </c>
      <c r="BG15" s="20">
        <f t="shared" si="7"/>
        <v>141.67594470663133</v>
      </c>
      <c r="BH15" s="59">
        <f t="shared" si="8"/>
        <v>338.7057221593642</v>
      </c>
      <c r="BI15" s="59">
        <f ca="1">AVERAGE(OFFSET($BH$3,0,0,'Données projet'!$E$11+1,1))-AVERAGE(OFFSET($H$3,0,0,'Données projet'!$E$11+1,1))</f>
        <v>215.37314197175104</v>
      </c>
      <c r="BJ15" s="59">
        <f t="shared" si="38"/>
        <v>361.17630426655978</v>
      </c>
      <c r="BK15" s="15">
        <f>IF(ISNA(VLOOKUP(A15,'Données projet'!$A$87:$I$107,3,0)),0,VLOOKUP(A15,'Données projet'!$A$87:$I$107,3,0))</f>
        <v>1</v>
      </c>
      <c r="BL15" s="15">
        <f>IF(ISNA(VLOOKUP(A15,'Données projet'!$A$87:$I$107,4,0)),0,VLOOKUP(A15,'Données projet'!$A$87:$I$107,4,0))</f>
        <v>21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1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12.982175523438457</v>
      </c>
      <c r="BS15" s="22">
        <f t="shared" si="9"/>
        <v>12.982175523438457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10.169411764705883</v>
      </c>
      <c r="BY15" s="12">
        <f>IF('Données projet'!$A$114&gt;35,BY14+BX15-CG14,IF(A15&lt;'Données projet'!$A$114,$BV$205^A15,IF(A15='Données projet'!$A$114,'Données projet'!$B$114,BY14+BX15-CG14)))</f>
        <v>37.982586201773081</v>
      </c>
      <c r="BZ15" s="13">
        <f>BY15*VLOOKUP('Données projet'!$B$12,Paramètres!$A$1:$I$89,3,0)*VLOOKUP('Données projet'!$B$12,Paramètres!$A$1:$I$89,5,0)</f>
        <v>21.232265686791155</v>
      </c>
      <c r="CA15" s="13">
        <f t="shared" si="39"/>
        <v>6.8562403067985267</v>
      </c>
      <c r="CB15" s="20">
        <f t="shared" si="10"/>
        <v>48.920814605502024</v>
      </c>
      <c r="CC15" s="59">
        <f t="shared" si="11"/>
        <v>245.95059205823489</v>
      </c>
      <c r="CD15" s="59">
        <f ca="1">AVERAGE(OFFSET($CC$3,0,0,'Données projet'!$E$12+1,1))-AVERAGE(OFFSET($H$3,0,0,'Données projet'!$E$12+1,1))</f>
        <v>420.4890915162182</v>
      </c>
      <c r="CE15" s="59">
        <f t="shared" si="40"/>
        <v>553.48432338023565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14.6</v>
      </c>
      <c r="CT15" s="12">
        <f>IF('Données projet'!$A$140&gt;35,CT14+CS15-DB14,IF(A15&lt;'Données projet'!$A$140,$CQ$205^A15,IF(A15='Données projet'!$A$140,'Données projet'!$B$140,CT14+CS15-DB14)))</f>
        <v>41.2</v>
      </c>
      <c r="CU15" s="17">
        <f>CT15*VLOOKUP('Données projet'!$B$13,Paramètres!$A$1:$I$89,3,0)*VLOOKUP('Données projet'!$B$13,Paramètres!$A$1:$I$89,5,0)</f>
        <v>30.207840000000001</v>
      </c>
      <c r="CV15" s="13">
        <f t="shared" si="41"/>
        <v>9.3623701493068516</v>
      </c>
      <c r="CW15" s="20">
        <f t="shared" si="13"/>
        <v>68.918116010042766</v>
      </c>
      <c r="CX15" s="59">
        <f t="shared" si="14"/>
        <v>265.94789346277565</v>
      </c>
      <c r="CY15" s="59">
        <f ca="1">AVERAGE(OFFSET($CX$3,0,0,'Données projet'!$E$13+1,1))-AVERAGE(OFFSET($H$3,0,0,'Données projet'!$E$13+1,1))</f>
        <v>400.48995908576177</v>
      </c>
      <c r="CZ15" s="59">
        <f t="shared" si="42"/>
        <v>384.86917865380076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14.6</v>
      </c>
      <c r="DO15" s="12">
        <f>IF('Données projet'!$A$166&gt;35,DO14+DN15-DW14,IF(A15&lt;'Données projet'!$A$166,$DL$205^A15,IF(A15='Données projet'!$A$166,'Données projet'!$B$166,DO14+DN15-DW14)))</f>
        <v>41.2</v>
      </c>
      <c r="DP15" s="17">
        <f>DO15*VLOOKUP('Données projet'!$B$14,Paramètres!$A$1:$I$89,3,0)*VLOOKUP('Données projet'!$B$14,Paramètres!$A$1:$I$89,5,0)</f>
        <v>32.77872</v>
      </c>
      <c r="DQ15" s="13">
        <f t="shared" si="43"/>
        <v>10.063038810723747</v>
      </c>
      <c r="DR15" s="20">
        <f t="shared" si="16"/>
        <v>74.616063262010528</v>
      </c>
      <c r="DS15" s="59">
        <f t="shared" si="17"/>
        <v>271.64584071474337</v>
      </c>
      <c r="DT15" s="59">
        <f ca="1">AVERAGE(OFFSET($DS$3,0,0,'Données projet'!$E$14+1,1))-AVERAGE(OFFSET($H$3,0,0,'Données projet'!$E$14+1,1))</f>
        <v>429.30603040255431</v>
      </c>
      <c r="DU15" s="59">
        <f t="shared" si="44"/>
        <v>412.18613903804726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1.7094017094017093</v>
      </c>
      <c r="EJ15" s="12">
        <f>IF('Données projet'!$A$192&gt;35,EJ14+EI15-ER14,IF(A15&lt;'Données projet'!$A$192,$EG$205^A15,IF(A15='Données projet'!$A$192,'Données projet'!$B$192,EJ14+EI15-ER14)))</f>
        <v>13.401342738226315</v>
      </c>
      <c r="EK15" s="17">
        <f>EJ15*VLOOKUP('Données projet'!$B$15,Paramètres!$A$1:$I$89,3,0)*VLOOKUP('Données projet'!$B$15,Paramètres!$A$1:$I$89,5,0)</f>
        <v>10.453047335816526</v>
      </c>
      <c r="EL15" s="13">
        <f t="shared" si="45"/>
        <v>3.6656846961236176</v>
      </c>
      <c r="EM15" s="20">
        <f t="shared" si="19"/>
        <v>24.590124955629083</v>
      </c>
      <c r="EN15" s="59">
        <f t="shared" si="20"/>
        <v>221.61990240836195</v>
      </c>
      <c r="EO15" s="59">
        <f ca="1">AVERAGE(OFFSET($EN$3,0,0,'Données projet'!$E$15+1,1))-AVERAGE(OFFSET($H$3,0,0,'Données projet'!$E$15+1,1))</f>
        <v>217.53602321474159</v>
      </c>
      <c r="EP15" s="59">
        <f t="shared" si="46"/>
        <v>215.75909414893025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4.0628205133333335</v>
      </c>
      <c r="FE15" s="12">
        <f>IF('Données projet'!$A$218&gt;35,FE14+FD15-FM14,IF(A15&lt;'Données projet'!$A$218,$FB$205^A15,IF(A15='Données projet'!$A$218,'Données projet'!$B$218,FE14+FD15-FM14)))</f>
        <v>6.8293529232300063</v>
      </c>
      <c r="FF15" s="17">
        <f>FE15*VLOOKUP('Données projet'!$B$16,Paramètres!$A$1:$I$89,3,0)*VLOOKUP('Données projet'!$B$16,Paramètres!$A$1:$I$89,5,0)</f>
        <v>4.5811299409026889</v>
      </c>
      <c r="FG15" s="13">
        <f t="shared" si="47"/>
        <v>1.7684283292873324</v>
      </c>
      <c r="FH15" s="20">
        <f t="shared" si="22"/>
        <v>11.058813987247619</v>
      </c>
      <c r="FI15" s="59">
        <f t="shared" si="23"/>
        <v>208.08859143998049</v>
      </c>
      <c r="FJ15" s="59">
        <f ca="1">AVERAGE(OFFSET($FI$3,0,0,'Données projet'!$E$16+1,1))-AVERAGE(OFFSET($H$3,0,0,'Données projet'!$E$16+1,1))</f>
        <v>441.20130048888439</v>
      </c>
      <c r="FK15" s="59">
        <f t="shared" si="48"/>
        <v>237.47732532183946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5.6</v>
      </c>
      <c r="FZ15" s="12">
        <f>IF('Données projet'!$A$244&gt;35,FZ14+FY15-GH14,IF(A15&lt;'Données projet'!$A$244,$FW$205^A15,IF(A15='Données projet'!$A$244,'Données projet'!$B$244,FZ14+FY15-GH14)))</f>
        <v>19.2</v>
      </c>
      <c r="GA15" s="17">
        <f>FZ15*VLOOKUP('Données projet'!$B$17,Paramètres!$A$1:$I$89,3,0)*VLOOKUP('Données projet'!$B$17,Paramètres!$A$1:$I$89,5,0)</f>
        <v>12.579840000000001</v>
      </c>
      <c r="GB15" s="13">
        <f t="shared" si="49"/>
        <v>4.3174269552455735</v>
      </c>
      <c r="GC15" s="20">
        <f t="shared" si="25"/>
        <v>29.429406613719376</v>
      </c>
      <c r="GD15" s="59">
        <f t="shared" si="26"/>
        <v>226.45918406645225</v>
      </c>
      <c r="GE15" s="59">
        <f ca="1">AVERAGE(OFFSET($GD$3,0,0,'Données projet'!$E$17+1,1))-AVERAGE(OFFSET($H$3,0,0,'Données projet'!$E$17+1,1))</f>
        <v>257.66104339896992</v>
      </c>
      <c r="GF15" s="59">
        <f t="shared" si="50"/>
        <v>254.79488636184996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2.8</v>
      </c>
      <c r="GU15" s="12">
        <f>IF('Données projet'!$A$270&gt;35,GU14+GT15-HC14,IF(A15&lt;'Données projet'!$A$270,$GR$205^A15,IF(A15='Données projet'!$A$270,'Données projet'!$B$270,GU14+GT15-HC14)))</f>
        <v>19.888381054913101</v>
      </c>
      <c r="GV15" s="17">
        <f>GU15*VLOOKUP('Données projet'!$B$18,Paramètres!$A$1:$I$89,3,0)*VLOOKUP('Données projet'!$B$18,Paramètres!$A$1:$I$89,5,0)</f>
        <v>16.133454711745507</v>
      </c>
      <c r="GW15" s="13">
        <f t="shared" si="51"/>
        <v>5.3789805363772061</v>
      </c>
      <c r="GX15" s="20">
        <f t="shared" si="28"/>
        <v>37.46749139048039</v>
      </c>
      <c r="GY15" s="59">
        <f t="shared" si="29"/>
        <v>234.49726884321325</v>
      </c>
      <c r="GZ15" s="59">
        <f ca="1">AVERAGE(OFFSET($GY$3,0,0,'Données projet'!$E$18+1,1))-AVERAGE(OFFSET($H$3,0,0,'Données projet'!$E$18+1,1))</f>
        <v>299.98377156721153</v>
      </c>
      <c r="HA15" s="59">
        <f t="shared" si="52"/>
        <v>241.36164657721102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4.0628205133333335</v>
      </c>
      <c r="N16" s="13">
        <f>IF('Données projet'!$A$36&gt;35,N15+M16-V15,IF(A16&lt;'Données projet'!$A$36,$K$205^A16,IF(A16='Données projet'!$A$36,'Données projet'!$B$36,N15+M16-V15)))</f>
        <v>8.0151413595301424</v>
      </c>
      <c r="O16" s="13">
        <f>N16*VLOOKUP('Données projet'!$B$9,Paramètres!$A$1:$I$89,3,0)*VLOOKUP('Données projet'!$B$9,Paramètres!$A$1:$I$89,5,0)</f>
        <v>7.2520999021028727</v>
      </c>
      <c r="P16" s="13">
        <f t="shared" si="33"/>
        <v>2.6537368750567167</v>
      </c>
      <c r="Q16" s="20">
        <f t="shared" si="2"/>
        <v>17.252665720219614</v>
      </c>
      <c r="R16" s="59">
        <f t="shared" si="0"/>
        <v>216.79366597183844</v>
      </c>
      <c r="S16" s="59">
        <f ca="1">AVERAGE(OFFSET($R$3,0,0,'Données projet'!$E$9+1,1))-AVERAGE(OFFSET($H$3,0,0,'Données projet'!$E$9+1,1))</f>
        <v>567.42635821507474</v>
      </c>
      <c r="T16" s="59">
        <f t="shared" si="34"/>
        <v>299.04735309930152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13.687439657435972</v>
      </c>
      <c r="AJ16" s="13">
        <f>AI16*VLOOKUP('Données projet'!$B$10,Paramètres!$A$1:$I$89,3,0)*VLOOKUP('Données projet'!$B$10,Paramètres!$A$1:$I$89,5,0)</f>
        <v>11.743823226080066</v>
      </c>
      <c r="AK16" s="13">
        <f t="shared" si="35"/>
        <v>4.0628963576462231</v>
      </c>
      <c r="AL16" s="20">
        <f t="shared" si="4"/>
        <v>27.530036608323286</v>
      </c>
      <c r="AM16" s="59">
        <f t="shared" si="5"/>
        <v>227.0710368599421</v>
      </c>
      <c r="AN16" s="59">
        <f ca="1">AVERAGE(OFFSET($AM$3,0,0,'Données projet'!$E$10+1,1))-AVERAGE(OFFSET($H$3,0,0,'Données projet'!$E$10+1,1))</f>
        <v>569.97793593332699</v>
      </c>
      <c r="AO16" s="59">
        <f t="shared" si="36"/>
        <v>331.25104323342907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24.333333333333332</v>
      </c>
      <c r="BD16" s="12">
        <f>IF('Données projet'!$A$88&gt;35,BD15+BC16-BL15,IF(A16&lt;'Données projet'!$A$88,$BA$205^A16,IF(A16='Données projet'!$A$88,'Données projet'!$B$88,BD15+BC16-BL15)))</f>
        <v>119.33333333333334</v>
      </c>
      <c r="BE16" s="13">
        <f>BD16*VLOOKUP('Données projet'!$B$11,Paramètres!$A$1:$I$89,3,0)*VLOOKUP('Données projet'!$B$11,Paramètres!$A$1:$I$89,5,0)</f>
        <v>65.156000000000006</v>
      </c>
      <c r="BF16" s="13">
        <f t="shared" si="37"/>
        <v>18.465547360043153</v>
      </c>
      <c r="BG16" s="20">
        <f t="shared" si="7"/>
        <v>145.64086165207519</v>
      </c>
      <c r="BH16" s="59">
        <f t="shared" si="8"/>
        <v>345.18186190369397</v>
      </c>
      <c r="BI16" s="59">
        <f ca="1">AVERAGE(OFFSET($BH$3,0,0,'Données projet'!$E$11+1,1))-AVERAGE(OFFSET($H$3,0,0,'Données projet'!$E$11+1,1))</f>
        <v>215.37314197175104</v>
      </c>
      <c r="BJ16" s="59">
        <f t="shared" si="38"/>
        <v>361.17630426655978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9.1797843471773497</v>
      </c>
      <c r="BS16" s="22">
        <f t="shared" si="9"/>
        <v>9.1797843471773497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10.169411764705883</v>
      </c>
      <c r="BY16" s="12">
        <f>IF('Données projet'!$A$114&gt;35,BY15+BX16-CG15,IF(A16&lt;'Données projet'!$A$114,$BV$205^A16,IF(A16='Données projet'!$A$114,'Données projet'!$B$114,BY15+BX16-CG15)))</f>
        <v>51.430006178274702</v>
      </c>
      <c r="BZ16" s="13">
        <f>BY16*VLOOKUP('Données projet'!$B$12,Paramètres!$A$1:$I$89,3,0)*VLOOKUP('Données projet'!$B$12,Paramètres!$A$1:$I$89,5,0)</f>
        <v>28.749373453655558</v>
      </c>
      <c r="CA16" s="13">
        <f t="shared" si="39"/>
        <v>8.9618176999114372</v>
      </c>
      <c r="CB16" s="20">
        <f t="shared" si="10"/>
        <v>65.680324592462512</v>
      </c>
      <c r="CC16" s="59">
        <f t="shared" si="11"/>
        <v>265.22132484408132</v>
      </c>
      <c r="CD16" s="59">
        <f ca="1">AVERAGE(OFFSET($CC$3,0,0,'Données projet'!$E$12+1,1))-AVERAGE(OFFSET($H$3,0,0,'Données projet'!$E$12+1,1))</f>
        <v>420.4890915162182</v>
      </c>
      <c r="CE16" s="59">
        <f t="shared" si="40"/>
        <v>553.48432338023565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14.6</v>
      </c>
      <c r="CT16" s="12">
        <f>IF('Données projet'!$A$140&gt;35,CT15+CS16-DB15,IF(A16&lt;'Données projet'!$A$140,$CQ$205^A16,IF(A16='Données projet'!$A$140,'Données projet'!$B$140,CT15+CS16-DB15)))</f>
        <v>55.800000000000004</v>
      </c>
      <c r="CU16" s="17">
        <f>CT16*VLOOKUP('Données projet'!$B$13,Paramètres!$A$1:$I$89,3,0)*VLOOKUP('Données projet'!$B$13,Paramètres!$A$1:$I$89,5,0)</f>
        <v>40.912559999999999</v>
      </c>
      <c r="CV16" s="13">
        <f t="shared" si="41"/>
        <v>12.240202574960914</v>
      </c>
      <c r="CW16" s="20">
        <f t="shared" si="13"/>
        <v>92.57439481805693</v>
      </c>
      <c r="CX16" s="59">
        <f t="shared" si="14"/>
        <v>292.11539506967574</v>
      </c>
      <c r="CY16" s="59">
        <f ca="1">AVERAGE(OFFSET($CX$3,0,0,'Données projet'!$E$13+1,1))-AVERAGE(OFFSET($H$3,0,0,'Données projet'!$E$13+1,1))</f>
        <v>400.48995908576177</v>
      </c>
      <c r="CZ16" s="59">
        <f t="shared" si="42"/>
        <v>384.86917865380076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14.6</v>
      </c>
      <c r="DO16" s="12">
        <f>IF('Données projet'!$A$166&gt;35,DO15+DN16-DW15,IF(A16&lt;'Données projet'!$A$166,$DL$205^A16,IF(A16='Données projet'!$A$166,'Données projet'!$B$166,DO15+DN16-DW15)))</f>
        <v>55.800000000000004</v>
      </c>
      <c r="DP16" s="17">
        <f>DO16*VLOOKUP('Données projet'!$B$14,Paramètres!$A$1:$I$89,3,0)*VLOOKUP('Données projet'!$B$14,Paramètres!$A$1:$I$89,5,0)</f>
        <v>44.394480000000001</v>
      </c>
      <c r="DQ16" s="13">
        <f t="shared" si="43"/>
        <v>13.1562447968447</v>
      </c>
      <c r="DR16" s="20">
        <f t="shared" si="16"/>
        <v>100.2341790211712</v>
      </c>
      <c r="DS16" s="59">
        <f t="shared" si="17"/>
        <v>299.77517927279001</v>
      </c>
      <c r="DT16" s="59">
        <f ca="1">AVERAGE(OFFSET($DS$3,0,0,'Données projet'!$E$14+1,1))-AVERAGE(OFFSET($H$3,0,0,'Données projet'!$E$14+1,1))</f>
        <v>429.30603040255431</v>
      </c>
      <c r="DU16" s="59">
        <f t="shared" si="44"/>
        <v>412.18613903804726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1.7094017094017093</v>
      </c>
      <c r="EJ16" s="12">
        <f>IF('Données projet'!$A$192&gt;35,EJ15+EI16-ER15,IF(A16&lt;'Données projet'!$A$192,$EG$205^A16,IF(A16='Données projet'!$A$192,'Données projet'!$B$192,EJ15+EI16-ER15)))</f>
        <v>16.637089026952847</v>
      </c>
      <c r="EK16" s="17">
        <f>EJ16*VLOOKUP('Données projet'!$B$15,Paramètres!$A$1:$I$89,3,0)*VLOOKUP('Données projet'!$B$15,Paramètres!$A$1:$I$89,5,0)</f>
        <v>12.976929441023222</v>
      </c>
      <c r="EL16" s="13">
        <f t="shared" si="45"/>
        <v>4.4376269864069782</v>
      </c>
      <c r="EM16" s="20">
        <f t="shared" si="19"/>
        <v>30.33035244444093</v>
      </c>
      <c r="EN16" s="59">
        <f t="shared" si="20"/>
        <v>229.87135269605974</v>
      </c>
      <c r="EO16" s="59">
        <f ca="1">AVERAGE(OFFSET($EN$3,0,0,'Données projet'!$E$15+1,1))-AVERAGE(OFFSET($H$3,0,0,'Données projet'!$E$15+1,1))</f>
        <v>217.53602321474159</v>
      </c>
      <c r="EP16" s="59">
        <f t="shared" si="46"/>
        <v>215.75909414893025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4.0628205133333335</v>
      </c>
      <c r="FE16" s="12">
        <f>IF('Données projet'!$A$218&gt;35,FE15+FD16-FM15,IF(A16&lt;'Données projet'!$A$218,$FB$205^A16,IF(A16='Données projet'!$A$218,'Données projet'!$B$218,FE15+FD16-FM15)))</f>
        <v>8.0151413595301424</v>
      </c>
      <c r="FF16" s="17">
        <f>FE16*VLOOKUP('Données projet'!$B$16,Paramètres!$A$1:$I$89,3,0)*VLOOKUP('Données projet'!$B$16,Paramètres!$A$1:$I$89,5,0)</f>
        <v>5.3765568239728196</v>
      </c>
      <c r="FG16" s="13">
        <f t="shared" si="47"/>
        <v>2.0371622108869878</v>
      </c>
      <c r="FH16" s="20">
        <f t="shared" si="22"/>
        <v>12.912227319047497</v>
      </c>
      <c r="FI16" s="59">
        <f t="shared" si="23"/>
        <v>212.45322757066631</v>
      </c>
      <c r="FJ16" s="59">
        <f ca="1">AVERAGE(OFFSET($FI$3,0,0,'Données projet'!$E$16+1,1))-AVERAGE(OFFSET($H$3,0,0,'Données projet'!$E$16+1,1))</f>
        <v>441.20130048888439</v>
      </c>
      <c r="FK16" s="59">
        <f t="shared" si="48"/>
        <v>237.47732532183946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5.6</v>
      </c>
      <c r="FZ16" s="12">
        <f>IF('Données projet'!$A$244&gt;35,FZ15+FY16-GH15,IF(A16&lt;'Données projet'!$A$244,$FW$205^A16,IF(A16='Données projet'!$A$244,'Données projet'!$B$244,FZ15+FY16-GH15)))</f>
        <v>24.799999999999997</v>
      </c>
      <c r="GA16" s="17">
        <f>FZ16*VLOOKUP('Données projet'!$B$17,Paramètres!$A$1:$I$89,3,0)*VLOOKUP('Données projet'!$B$17,Paramètres!$A$1:$I$89,5,0)</f>
        <v>16.248959999999997</v>
      </c>
      <c r="GB16" s="13">
        <f t="shared" si="49"/>
        <v>5.4129939058841172</v>
      </c>
      <c r="GC16" s="20">
        <f t="shared" si="25"/>
        <v>37.727903052748168</v>
      </c>
      <c r="GD16" s="59">
        <f t="shared" si="26"/>
        <v>237.26890330436697</v>
      </c>
      <c r="GE16" s="59">
        <f ca="1">AVERAGE(OFFSET($GD$3,0,0,'Données projet'!$E$17+1,1))-AVERAGE(OFFSET($H$3,0,0,'Données projet'!$E$17+1,1))</f>
        <v>257.66104339896992</v>
      </c>
      <c r="GF16" s="59">
        <f t="shared" si="50"/>
        <v>254.79488636184996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2.8</v>
      </c>
      <c r="GU16" s="12">
        <f>IF('Données projet'!$A$270&gt;35,GU15+GT16-HC15,IF(A16&lt;'Données projet'!$A$270,$GR$205^A16,IF(A16='Données projet'!$A$270,'Données projet'!$B$270,GU15+GT16-HC15)))</f>
        <v>25.51620317959356</v>
      </c>
      <c r="GV16" s="17">
        <f>GU16*VLOOKUP('Données projet'!$B$18,Paramètres!$A$1:$I$89,3,0)*VLOOKUP('Données projet'!$B$18,Paramètres!$A$1:$I$89,5,0)</f>
        <v>20.698744019286298</v>
      </c>
      <c r="GW16" s="13">
        <f t="shared" si="51"/>
        <v>6.7037865478557999</v>
      </c>
      <c r="GX16" s="20">
        <f t="shared" si="28"/>
        <v>47.72607407110582</v>
      </c>
      <c r="GY16" s="59">
        <f t="shared" si="29"/>
        <v>247.26707432272462</v>
      </c>
      <c r="GZ16" s="59">
        <f ca="1">AVERAGE(OFFSET($GY$3,0,0,'Données projet'!$E$18+1,1))-AVERAGE(OFFSET($H$3,0,0,'Données projet'!$E$18+1,1))</f>
        <v>299.98377156721153</v>
      </c>
      <c r="HA16" s="59">
        <f t="shared" si="52"/>
        <v>241.36164657721102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4.0628205133333335</v>
      </c>
      <c r="N17" s="13">
        <f>IF('Données projet'!$A$36&gt;35,N16+M17-V16,IF(A17&lt;'Données projet'!$A$36,$K$205^A17,IF(A17='Données projet'!$A$36,'Données projet'!$B$36,N16+M17-V16)))</f>
        <v>9.4068196116692437</v>
      </c>
      <c r="O17" s="13">
        <f>N17*VLOOKUP('Données projet'!$B$9,Paramètres!$A$1:$I$89,3,0)*VLOOKUP('Données projet'!$B$9,Paramètres!$A$1:$I$89,5,0)</f>
        <v>8.5112903846383308</v>
      </c>
      <c r="P17" s="13">
        <f t="shared" si="33"/>
        <v>3.0570040017858653</v>
      </c>
      <c r="Q17" s="20">
        <f t="shared" si="2"/>
        <v>20.148112723022138</v>
      </c>
      <c r="R17" s="59">
        <f t="shared" si="0"/>
        <v>222.17797449529533</v>
      </c>
      <c r="S17" s="59">
        <f ca="1">AVERAGE(OFFSET($R$3,0,0,'Données projet'!$E$9+1,1))-AVERAGE(OFFSET($H$3,0,0,'Données projet'!$E$9+1,1))</f>
        <v>567.42635821507474</v>
      </c>
      <c r="T17" s="59">
        <f t="shared" si="34"/>
        <v>299.04735309930152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16.739081308117708</v>
      </c>
      <c r="AJ17" s="13">
        <f>AI17*VLOOKUP('Données projet'!$B$10,Paramètres!$A$1:$I$89,3,0)*VLOOKUP('Données projet'!$B$10,Paramètres!$A$1:$I$89,5,0)</f>
        <v>14.362131762364994</v>
      </c>
      <c r="AK17" s="13">
        <f t="shared" si="35"/>
        <v>4.8536749785381312</v>
      </c>
      <c r="AL17" s="20">
        <f t="shared" si="4"/>
        <v>33.46753007373961</v>
      </c>
      <c r="AM17" s="59">
        <f t="shared" si="5"/>
        <v>235.49739184601282</v>
      </c>
      <c r="AN17" s="59">
        <f ca="1">AVERAGE(OFFSET($AM$3,0,0,'Données projet'!$E$10+1,1))-AVERAGE(OFFSET($H$3,0,0,'Données projet'!$E$10+1,1))</f>
        <v>569.97793593332699</v>
      </c>
      <c r="AO17" s="59">
        <f t="shared" si="36"/>
        <v>331.25104323342907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24.333333333333332</v>
      </c>
      <c r="BD17" s="12">
        <f>IF('Données projet'!$A$88&gt;35,BD16+BC17-BL16,IF(A17&lt;'Données projet'!$A$88,$BA$205^A17,IF(A17='Données projet'!$A$88,'Données projet'!$B$88,BD16+BC17-BL16)))</f>
        <v>143.66666666666669</v>
      </c>
      <c r="BE17" s="13">
        <f>BD17*VLOOKUP('Données projet'!$B$11,Paramètres!$A$1:$I$89,3,0)*VLOOKUP('Données projet'!$B$11,Paramètres!$A$1:$I$89,5,0)</f>
        <v>78.442000000000007</v>
      </c>
      <c r="BF17" s="13">
        <f t="shared" si="37"/>
        <v>21.755810093736013</v>
      </c>
      <c r="BG17" s="20">
        <f t="shared" si="7"/>
        <v>174.5111859132569</v>
      </c>
      <c r="BH17" s="59">
        <f t="shared" si="8"/>
        <v>376.54104768553009</v>
      </c>
      <c r="BI17" s="59">
        <f ca="1">AVERAGE(OFFSET($BH$3,0,0,'Données projet'!$E$11+1,1))-AVERAGE(OFFSET($H$3,0,0,'Données projet'!$E$11+1,1))</f>
        <v>215.37314197175104</v>
      </c>
      <c r="BJ17" s="59">
        <f t="shared" si="38"/>
        <v>361.17630426655978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6.4910877617192284</v>
      </c>
      <c r="BS17" s="22">
        <f t="shared" si="9"/>
        <v>6.4910877617192284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10.169411764705883</v>
      </c>
      <c r="BY17" s="12">
        <f>IF('Données projet'!$A$114&gt;35,BY16+BX17-CG16,IF(A17&lt;'Données projet'!$A$114,$BV$205^A17,IF(A17='Données projet'!$A$114,'Données projet'!$B$114,BY16+BX17-CG16)))</f>
        <v>69.638373791774598</v>
      </c>
      <c r="BZ17" s="13">
        <f>BY17*VLOOKUP('Données projet'!$B$12,Paramètres!$A$1:$I$89,3,0)*VLOOKUP('Données projet'!$B$12,Paramètres!$A$1:$I$89,5,0)</f>
        <v>38.927850949602004</v>
      </c>
      <c r="CA17" s="13">
        <f t="shared" si="39"/>
        <v>11.71402589358018</v>
      </c>
      <c r="CB17" s="20">
        <f t="shared" si="10"/>
        <v>88.201268835208964</v>
      </c>
      <c r="CC17" s="59">
        <f t="shared" si="11"/>
        <v>290.23113060748216</v>
      </c>
      <c r="CD17" s="59">
        <f ca="1">AVERAGE(OFFSET($CC$3,0,0,'Données projet'!$E$12+1,1))-AVERAGE(OFFSET($H$3,0,0,'Données projet'!$E$12+1,1))</f>
        <v>420.4890915162182</v>
      </c>
      <c r="CE17" s="59">
        <f t="shared" si="40"/>
        <v>553.48432338023565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14.6</v>
      </c>
      <c r="CT17" s="12">
        <f>IF('Données projet'!$A$140&gt;35,CT16+CS17-DB16,IF(A17&lt;'Données projet'!$A$140,$CQ$205^A17,IF(A17='Données projet'!$A$140,'Données projet'!$B$140,CT16+CS17-DB16)))</f>
        <v>70.400000000000006</v>
      </c>
      <c r="CU17" s="17">
        <f>CT17*VLOOKUP('Données projet'!$B$13,Paramètres!$A$1:$I$89,3,0)*VLOOKUP('Données projet'!$B$13,Paramètres!$A$1:$I$89,5,0)</f>
        <v>51.617280000000001</v>
      </c>
      <c r="CV17" s="13">
        <f t="shared" si="41"/>
        <v>15.030652312628483</v>
      </c>
      <c r="CW17" s="20">
        <f t="shared" si="13"/>
        <v>116.07848211116128</v>
      </c>
      <c r="CX17" s="59">
        <f t="shared" si="14"/>
        <v>318.10834388343449</v>
      </c>
      <c r="CY17" s="59">
        <f ca="1">AVERAGE(OFFSET($CX$3,0,0,'Données projet'!$E$13+1,1))-AVERAGE(OFFSET($H$3,0,0,'Données projet'!$E$13+1,1))</f>
        <v>400.48995908576177</v>
      </c>
      <c r="CZ17" s="59">
        <f t="shared" si="42"/>
        <v>384.86917865380076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14.6</v>
      </c>
      <c r="DO17" s="12">
        <f>IF('Données projet'!$A$166&gt;35,DO16+DN17-DW16,IF(A17&lt;'Données projet'!$A$166,$DL$205^A17,IF(A17='Données projet'!$A$166,'Données projet'!$B$166,DO16+DN17-DW16)))</f>
        <v>70.400000000000006</v>
      </c>
      <c r="DP17" s="17">
        <f>DO17*VLOOKUP('Données projet'!$B$14,Paramètres!$A$1:$I$89,3,0)*VLOOKUP('Données projet'!$B$14,Paramètres!$A$1:$I$89,5,0)</f>
        <v>56.01024000000001</v>
      </c>
      <c r="DQ17" s="13">
        <f t="shared" si="43"/>
        <v>16.155528478402793</v>
      </c>
      <c r="DR17" s="20">
        <f t="shared" si="16"/>
        <v>125.68871343321821</v>
      </c>
      <c r="DS17" s="59">
        <f t="shared" si="17"/>
        <v>327.71857520549139</v>
      </c>
      <c r="DT17" s="59">
        <f ca="1">AVERAGE(OFFSET($DS$3,0,0,'Données projet'!$E$14+1,1))-AVERAGE(OFFSET($H$3,0,0,'Données projet'!$E$14+1,1))</f>
        <v>429.30603040255431</v>
      </c>
      <c r="DU17" s="59">
        <f t="shared" si="44"/>
        <v>412.18613903804726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1.7094017094017093</v>
      </c>
      <c r="EJ17" s="12">
        <f>IF('Données projet'!$A$192&gt;35,EJ16+EI17-ER16,IF(A17&lt;'Données projet'!$A$192,$EG$205^A17,IF(A17='Données projet'!$A$192,'Données projet'!$B$192,EJ16+EI17-ER16)))</f>
        <v>20.65410434591935</v>
      </c>
      <c r="EK17" s="17">
        <f>EJ17*VLOOKUP('Données projet'!$B$15,Paramètres!$A$1:$I$89,3,0)*VLOOKUP('Données projet'!$B$15,Paramètres!$A$1:$I$89,5,0)</f>
        <v>16.110201389817092</v>
      </c>
      <c r="EL17" s="13">
        <f t="shared" si="45"/>
        <v>5.3721296027756829</v>
      </c>
      <c r="EM17" s="20">
        <f t="shared" si="19"/>
        <v>37.415059812099081</v>
      </c>
      <c r="EN17" s="59">
        <f t="shared" si="20"/>
        <v>239.44492158437228</v>
      </c>
      <c r="EO17" s="59">
        <f ca="1">AVERAGE(OFFSET($EN$3,0,0,'Données projet'!$E$15+1,1))-AVERAGE(OFFSET($H$3,0,0,'Données projet'!$E$15+1,1))</f>
        <v>217.53602321474159</v>
      </c>
      <c r="EP17" s="59">
        <f t="shared" si="46"/>
        <v>215.75909414893025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4.0628205133333335</v>
      </c>
      <c r="FE17" s="12">
        <f>IF('Données projet'!$A$218&gt;35,FE16+FD17-FM16,IF(A17&lt;'Données projet'!$A$218,$FB$205^A17,IF(A17='Données projet'!$A$218,'Données projet'!$B$218,FE16+FD17-FM16)))</f>
        <v>9.4068196116692437</v>
      </c>
      <c r="FF17" s="17">
        <f>FE17*VLOOKUP('Données projet'!$B$16,Paramètres!$A$1:$I$89,3,0)*VLOOKUP('Données projet'!$B$16,Paramètres!$A$1:$I$89,5,0)</f>
        <v>6.3100945955077288</v>
      </c>
      <c r="FG17" s="13">
        <f t="shared" si="47"/>
        <v>2.3467334269285325</v>
      </c>
      <c r="FH17" s="20">
        <f t="shared" si="22"/>
        <v>15.077308805743156</v>
      </c>
      <c r="FI17" s="59">
        <f t="shared" si="23"/>
        <v>217.10717057801634</v>
      </c>
      <c r="FJ17" s="59">
        <f ca="1">AVERAGE(OFFSET($FI$3,0,0,'Données projet'!$E$16+1,1))-AVERAGE(OFFSET($H$3,0,0,'Données projet'!$E$16+1,1))</f>
        <v>441.20130048888439</v>
      </c>
      <c r="FK17" s="59">
        <f t="shared" si="48"/>
        <v>237.47732532183946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5.6</v>
      </c>
      <c r="FZ17" s="12">
        <f>IF('Données projet'!$A$244&gt;35,FZ16+FY17-GH16,IF(A17&lt;'Données projet'!$A$244,$FW$205^A17,IF(A17='Données projet'!$A$244,'Données projet'!$B$244,FZ16+FY17-GH16)))</f>
        <v>30.4</v>
      </c>
      <c r="GA17" s="17">
        <f>FZ17*VLOOKUP('Données projet'!$B$17,Paramètres!$A$1:$I$89,3,0)*VLOOKUP('Données projet'!$B$17,Paramètres!$A$1:$I$89,5,0)</f>
        <v>19.91808</v>
      </c>
      <c r="GB17" s="13">
        <f t="shared" si="49"/>
        <v>6.4798825087607046</v>
      </c>
      <c r="GC17" s="20">
        <f t="shared" si="25"/>
        <v>45.976451369424893</v>
      </c>
      <c r="GD17" s="59">
        <f t="shared" si="26"/>
        <v>248.00631314169809</v>
      </c>
      <c r="GE17" s="59">
        <f ca="1">AVERAGE(OFFSET($GD$3,0,0,'Données projet'!$E$17+1,1))-AVERAGE(OFFSET($H$3,0,0,'Données projet'!$E$17+1,1))</f>
        <v>257.66104339896992</v>
      </c>
      <c r="GF17" s="59">
        <f t="shared" si="50"/>
        <v>254.79488636184996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2.8</v>
      </c>
      <c r="GU17" s="12">
        <f>IF('Données projet'!$A$270&gt;35,GU16+GT17-HC16,IF(A17&lt;'Données projet'!$A$270,$GR$205^A17,IF(A17='Données projet'!$A$270,'Données projet'!$B$270,GU16+GT17-HC16)))</f>
        <v>32.736532094021939</v>
      </c>
      <c r="GV17" s="17">
        <f>GU17*VLOOKUP('Données projet'!$B$18,Paramètres!$A$1:$I$89,3,0)*VLOOKUP('Données projet'!$B$18,Paramètres!$A$1:$I$89,5,0)</f>
        <v>26.5558748346706</v>
      </c>
      <c r="GW17" s="13">
        <f t="shared" si="51"/>
        <v>8.3548831930669891</v>
      </c>
      <c r="GX17" s="20">
        <f t="shared" si="28"/>
        <v>60.802903564976283</v>
      </c>
      <c r="GY17" s="59">
        <f t="shared" si="29"/>
        <v>262.8327653372495</v>
      </c>
      <c r="GZ17" s="59">
        <f ca="1">AVERAGE(OFFSET($GY$3,0,0,'Données projet'!$E$18+1,1))-AVERAGE(OFFSET($H$3,0,0,'Données projet'!$E$18+1,1))</f>
        <v>299.98377156721153</v>
      </c>
      <c r="HA17" s="59">
        <f t="shared" si="52"/>
        <v>241.36164657721102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4.0628205133333335</v>
      </c>
      <c r="N18" s="13">
        <f>IF('Données projet'!$A$36&gt;35,N17+M18-V17,IF(A18&lt;'Données projet'!$A$36,$K$205^A18,IF(A18='Données projet'!$A$36,'Données projet'!$B$36,N17+M18-V17)))</f>
        <v>11.04013656618433</v>
      </c>
      <c r="O18" s="13">
        <f>N18*VLOOKUP('Données projet'!$B$9,Paramètres!$A$1:$I$89,3,0)*VLOOKUP('Données projet'!$B$9,Paramètres!$A$1:$I$89,5,0)</f>
        <v>9.9891155650835817</v>
      </c>
      <c r="P18" s="13">
        <f t="shared" si="33"/>
        <v>3.52155240211412</v>
      </c>
      <c r="Q18" s="20">
        <f t="shared" si="2"/>
        <v>23.531080042869331</v>
      </c>
      <c r="R18" s="59">
        <f t="shared" si="0"/>
        <v>228.02782997575036</v>
      </c>
      <c r="S18" s="59">
        <f ca="1">AVERAGE(OFFSET($R$3,0,0,'Données projet'!$E$9+1,1))-AVERAGE(OFFSET($H$3,0,0,'Données projet'!$E$9+1,1))</f>
        <v>567.42635821507474</v>
      </c>
      <c r="T18" s="59">
        <f t="shared" si="34"/>
        <v>299.04735309930152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20.471092479852732</v>
      </c>
      <c r="AJ18" s="13">
        <f>AI18*VLOOKUP('Données projet'!$B$10,Paramètres!$A$1:$I$89,3,0)*VLOOKUP('Données projet'!$B$10,Paramètres!$A$1:$I$89,5,0)</f>
        <v>17.564197347713648</v>
      </c>
      <c r="AK18" s="13">
        <f t="shared" si="35"/>
        <v>5.7983661712048189</v>
      </c>
      <c r="AL18" s="20">
        <f t="shared" si="4"/>
        <v>40.689798128782996</v>
      </c>
      <c r="AM18" s="59">
        <f t="shared" si="5"/>
        <v>245.18654806166404</v>
      </c>
      <c r="AN18" s="59">
        <f ca="1">AVERAGE(OFFSET($AM$3,0,0,'Données projet'!$E$10+1,1))-AVERAGE(OFFSET($H$3,0,0,'Données projet'!$E$10+1,1))</f>
        <v>569.97793593332699</v>
      </c>
      <c r="AO18" s="59">
        <f t="shared" si="36"/>
        <v>331.25104323342907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168</v>
      </c>
      <c r="BB18" s="12">
        <f>VLOOKUP(A18,'Données projet'!$A$87:$I$107,9,0)</f>
        <v>24.333333333333332</v>
      </c>
      <c r="BC18" s="12">
        <f t="array" ref="BC18">INDEX(BB:BB,MIN(IF(ISNUMBER(BB18:BB214),ROW(BB18:BB214),"")))</f>
        <v>24.333333333333332</v>
      </c>
      <c r="BD18" s="12">
        <f>IF('Données projet'!$A$88&gt;35,BD17+BC18-BL17,IF(A18&lt;'Données projet'!$A$88,$BA$205^A18,IF(A18='Données projet'!$A$88,'Données projet'!$B$88,BD17+BC18-BL17)))</f>
        <v>168.00000000000003</v>
      </c>
      <c r="BE18" s="13">
        <f>BD18*VLOOKUP('Données projet'!$B$11,Paramètres!$A$1:$I$89,3,0)*VLOOKUP('Données projet'!$B$11,Paramètres!$A$1:$I$89,5,0)</f>
        <v>91.728000000000009</v>
      </c>
      <c r="BF18" s="13">
        <f t="shared" si="37"/>
        <v>24.981514582386563</v>
      </c>
      <c r="BG18" s="20">
        <f t="shared" si="7"/>
        <v>203.26907123098991</v>
      </c>
      <c r="BH18" s="59">
        <f t="shared" si="8"/>
        <v>407.76582116387095</v>
      </c>
      <c r="BI18" s="59">
        <f ca="1">AVERAGE(OFFSET($BH$3,0,0,'Données projet'!$E$11+1,1))-AVERAGE(OFFSET($H$3,0,0,'Données projet'!$E$11+1,1))</f>
        <v>215.37314197175104</v>
      </c>
      <c r="BJ18" s="59">
        <f t="shared" si="38"/>
        <v>361.17630426655978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47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0.6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20.344955736509949</v>
      </c>
      <c r="BR18" s="21">
        <f>EXP(-LN(2)/2)*BR17+(1-EXP(-LN(2)/2))/(LN(2)/2)*BL18*BO18*VLOOKUP('Données projet'!$B$11,Paramètres!$A$1:$I$89,3,0)*0.475*44/12</f>
        <v>4.5898921735886749</v>
      </c>
      <c r="BS18" s="22">
        <f t="shared" si="9"/>
        <v>24.934847910098625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10.169411764705883</v>
      </c>
      <c r="BY18" s="12">
        <f>IF('Données projet'!$A$114&gt;35,BY17+BX18-CG17,IF(A18&lt;'Données projet'!$A$114,$BV$205^A18,IF(A18='Données projet'!$A$114,'Données projet'!$B$114,BY17+BX18-CG17)))</f>
        <v>94.293263110893193</v>
      </c>
      <c r="BZ18" s="13">
        <f>BY18*VLOOKUP('Données projet'!$B$12,Paramètres!$A$1:$I$89,3,0)*VLOOKUP('Données projet'!$B$12,Paramètres!$A$1:$I$89,5,0)</f>
        <v>52.709934078989292</v>
      </c>
      <c r="CA18" s="13">
        <f t="shared" si="39"/>
        <v>15.311447658305164</v>
      </c>
      <c r="CB18" s="20">
        <f t="shared" si="10"/>
        <v>118.47057319245452</v>
      </c>
      <c r="CC18" s="59">
        <f t="shared" si="11"/>
        <v>322.96732312533555</v>
      </c>
      <c r="CD18" s="59">
        <f ca="1">AVERAGE(OFFSET($CC$3,0,0,'Données projet'!$E$12+1,1))-AVERAGE(OFFSET($H$3,0,0,'Données projet'!$E$12+1,1))</f>
        <v>420.4890915162182</v>
      </c>
      <c r="CE18" s="59">
        <f t="shared" si="40"/>
        <v>553.48432338023565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85</v>
      </c>
      <c r="CR18" s="12">
        <f>VLOOKUP(A18,'Données projet'!$A$139:$I$159,9,0)</f>
        <v>14.6</v>
      </c>
      <c r="CS18" s="12">
        <f t="array" ref="CS18">INDEX(CR:CR,MIN(IF(ISNUMBER(CR18:CR214),ROW(CR18:CR214),"")))</f>
        <v>14.6</v>
      </c>
      <c r="CT18" s="12">
        <f>IF('Données projet'!$A$140&gt;35,CT17+CS18-DB17,IF(A18&lt;'Données projet'!$A$140,$CQ$205^A18,IF(A18='Données projet'!$A$140,'Données projet'!$B$140,CT17+CS18-DB17)))</f>
        <v>85</v>
      </c>
      <c r="CU18" s="17">
        <f>CT18*VLOOKUP('Données projet'!$B$13,Paramètres!$A$1:$I$89,3,0)*VLOOKUP('Données projet'!$B$13,Paramètres!$A$1:$I$89,5,0)</f>
        <v>62.321999999999996</v>
      </c>
      <c r="CV18" s="13">
        <f t="shared" si="41"/>
        <v>17.754039836243702</v>
      </c>
      <c r="CW18" s="20">
        <f t="shared" si="13"/>
        <v>139.46576938145776</v>
      </c>
      <c r="CX18" s="59">
        <f t="shared" si="14"/>
        <v>343.96251931433881</v>
      </c>
      <c r="CY18" s="59">
        <f ca="1">AVERAGE(OFFSET($CX$3,0,0,'Données projet'!$E$13+1,1))-AVERAGE(OFFSET($H$3,0,0,'Données projet'!$E$13+1,1))</f>
        <v>400.48995908576177</v>
      </c>
      <c r="CZ18" s="59">
        <f t="shared" si="42"/>
        <v>384.86917865380076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85</v>
      </c>
      <c r="DM18" s="12">
        <f>VLOOKUP(A18,'Données projet'!$A$165:$I$185,9,0)</f>
        <v>14.6</v>
      </c>
      <c r="DN18" s="12">
        <f t="array" ref="DN18">INDEX(DM:DM,MIN(IF(ISNUMBER(DM18:DM214),ROW(DM18:DM214),"")))</f>
        <v>14.6</v>
      </c>
      <c r="DO18" s="12">
        <f>IF('Données projet'!$A$166&gt;35,DO17+DN18-DW17,IF(A18&lt;'Données projet'!$A$166,$DL$205^A18,IF(A18='Données projet'!$A$166,'Données projet'!$B$166,DO17+DN18-DW17)))</f>
        <v>85</v>
      </c>
      <c r="DP18" s="17">
        <f>DO18*VLOOKUP('Données projet'!$B$14,Paramètres!$A$1:$I$89,3,0)*VLOOKUP('Données projet'!$B$14,Paramètres!$A$1:$I$89,5,0)</f>
        <v>67.626000000000005</v>
      </c>
      <c r="DQ18" s="13">
        <f t="shared" si="43"/>
        <v>19.082731089464875</v>
      </c>
      <c r="DR18" s="20">
        <f t="shared" si="16"/>
        <v>151.01770664748466</v>
      </c>
      <c r="DS18" s="59">
        <f t="shared" si="17"/>
        <v>355.51445658036573</v>
      </c>
      <c r="DT18" s="59">
        <f ca="1">AVERAGE(OFFSET($DS$3,0,0,'Données projet'!$E$14+1,1))-AVERAGE(OFFSET($H$3,0,0,'Données projet'!$E$14+1,1))</f>
        <v>429.30603040255431</v>
      </c>
      <c r="DU18" s="59">
        <f t="shared" si="44"/>
        <v>412.18613903804726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42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25.641025641025639</v>
      </c>
      <c r="EH18" s="12">
        <f>VLOOKUP(A18,'Données projet'!$A$191:$I$211,9,0)</f>
        <v>1.7094017094017093</v>
      </c>
      <c r="EI18" s="12">
        <f t="array" ref="EI18">INDEX(EH:EH,MIN(IF(ISNUMBER(EH18:EH214),ROW(EH18:EH214),"")))</f>
        <v>1.7094017094017093</v>
      </c>
      <c r="EJ18" s="12">
        <f>IF('Données projet'!$A$192&gt;35,EJ17+EI18-ER17,IF(A18&lt;'Données projet'!$A$192,$EG$205^A18,IF(A18='Données projet'!$A$192,'Données projet'!$B$192,EJ17+EI18-ER17)))</f>
        <v>25.641025641025639</v>
      </c>
      <c r="EK18" s="17">
        <f>EJ18*VLOOKUP('Données projet'!$B$15,Paramètres!$A$1:$I$89,3,0)*VLOOKUP('Données projet'!$B$15,Paramètres!$A$1:$I$89,5,0)</f>
        <v>20</v>
      </c>
      <c r="EL18" s="13">
        <f t="shared" si="45"/>
        <v>6.5034254923678825</v>
      </c>
      <c r="EM18" s="20">
        <f t="shared" si="19"/>
        <v>46.160132732540724</v>
      </c>
      <c r="EN18" s="59">
        <f t="shared" si="20"/>
        <v>250.65688266542176</v>
      </c>
      <c r="EO18" s="59">
        <f ca="1">AVERAGE(OFFSET($EN$3,0,0,'Données projet'!$E$15+1,1))-AVERAGE(OFFSET($H$3,0,0,'Données projet'!$E$15+1,1))</f>
        <v>217.53602321474159</v>
      </c>
      <c r="EP18" s="59">
        <f t="shared" si="46"/>
        <v>215.75909414893025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1.9230769230769229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4.0628205133333335</v>
      </c>
      <c r="FE18" s="12">
        <f>IF('Données projet'!$A$218&gt;35,FE17+FD18-FM17,IF(A18&lt;'Données projet'!$A$218,$FB$205^A18,IF(A18='Données projet'!$A$218,'Données projet'!$B$218,FE17+FD18-FM17)))</f>
        <v>11.04013656618433</v>
      </c>
      <c r="FF18" s="17">
        <f>FE18*VLOOKUP('Données projet'!$B$16,Paramètres!$A$1:$I$89,3,0)*VLOOKUP('Données projet'!$B$16,Paramètres!$A$1:$I$89,5,0)</f>
        <v>7.4057236085964488</v>
      </c>
      <c r="FG18" s="13">
        <f t="shared" si="47"/>
        <v>2.7033476998701533</v>
      </c>
      <c r="FH18" s="20">
        <f t="shared" si="22"/>
        <v>17.606632528912666</v>
      </c>
      <c r="FI18" s="59">
        <f t="shared" si="23"/>
        <v>222.1033824617937</v>
      </c>
      <c r="FJ18" s="59">
        <f ca="1">AVERAGE(OFFSET($FI$3,0,0,'Données projet'!$E$16+1,1))-AVERAGE(OFFSET($H$3,0,0,'Données projet'!$E$16+1,1))</f>
        <v>441.20130048888439</v>
      </c>
      <c r="FK18" s="59">
        <f t="shared" si="48"/>
        <v>237.47732532183946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36</v>
      </c>
      <c r="FX18" s="12">
        <f>VLOOKUP(A18,'Données projet'!$A$243:$I$263,9,0)</f>
        <v>5.6</v>
      </c>
      <c r="FY18" s="12">
        <f t="array" ref="FY18">INDEX(FX:FX,MIN(IF(ISNUMBER(FX18:FX214),ROW(FX18:FX214),"")))</f>
        <v>5.6</v>
      </c>
      <c r="FZ18" s="12">
        <f>IF('Données projet'!$A$244&gt;35,FZ17+FY18-GH17,IF(A18&lt;'Données projet'!$A$244,$FW$205^A18,IF(A18='Données projet'!$A$244,'Données projet'!$B$244,FZ17+FY18-GH17)))</f>
        <v>36</v>
      </c>
      <c r="GA18" s="17">
        <f>FZ18*VLOOKUP('Données projet'!$B$17,Paramètres!$A$1:$I$89,3,0)*VLOOKUP('Données projet'!$B$17,Paramètres!$A$1:$I$89,5,0)</f>
        <v>23.587199999999999</v>
      </c>
      <c r="GB18" s="13">
        <f t="shared" si="49"/>
        <v>7.5240023521815003</v>
      </c>
      <c r="GC18" s="20">
        <f t="shared" si="25"/>
        <v>54.185344096716108</v>
      </c>
      <c r="GD18" s="59">
        <f t="shared" si="26"/>
        <v>258.68209402959712</v>
      </c>
      <c r="GE18" s="59">
        <f ca="1">AVERAGE(OFFSET($GD$3,0,0,'Données projet'!$E$17+1,1))-AVERAGE(OFFSET($H$3,0,0,'Données projet'!$E$17+1,1))</f>
        <v>257.66104339896992</v>
      </c>
      <c r="GF18" s="59">
        <f t="shared" si="50"/>
        <v>254.79488636184996</v>
      </c>
      <c r="GG18" s="15">
        <f>IF(ISNA(VLOOKUP(A18,'Données projet'!$A$243:$I$263,3,0)),0,VLOOKUP(A18,'Données projet'!$A$243:$I$263,3,0))</f>
        <v>2</v>
      </c>
      <c r="GH18" s="15">
        <f>IF(ISNA(VLOOKUP(A18,'Données projet'!$A$243:$I$263,4,0)),0,VLOOKUP(A18,'Données projet'!$A$243:$I$263,4,0))</f>
        <v>3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42</v>
      </c>
      <c r="GS18" s="12">
        <f>VLOOKUP(A18,'Données projet'!$A$269:$I$289,9,0)</f>
        <v>2.8</v>
      </c>
      <c r="GT18" s="12">
        <f t="array" ref="GT18">INDEX(GS:GS,MIN(IF(ISNUMBER(GS18:GS214),ROW(GS18:GS214),"")))</f>
        <v>2.8</v>
      </c>
      <c r="GU18" s="12">
        <f>IF('Données projet'!$A$270&gt;35,GU17+GT18-HC17,IF(A18&lt;'Données projet'!$A$270,$GR$205^A18,IF(A18='Données projet'!$A$270,'Données projet'!$B$270,GU17+GT18-HC17)))</f>
        <v>42</v>
      </c>
      <c r="GV18" s="17">
        <f>GU18*VLOOKUP('Données projet'!$B$18,Paramètres!$A$1:$I$89,3,0)*VLOOKUP('Données projet'!$B$18,Paramètres!$A$1:$I$89,5,0)</f>
        <v>34.070399999999999</v>
      </c>
      <c r="GW18" s="13">
        <f t="shared" si="51"/>
        <v>10.412633617059315</v>
      </c>
      <c r="GX18" s="20">
        <f t="shared" si="28"/>
        <v>77.474616883044959</v>
      </c>
      <c r="GY18" s="59">
        <f t="shared" si="29"/>
        <v>281.97136681592599</v>
      </c>
      <c r="GZ18" s="59">
        <f ca="1">AVERAGE(OFFSET($GY$3,0,0,'Données projet'!$E$18+1,1))-AVERAGE(OFFSET($H$3,0,0,'Données projet'!$E$18+1,1))</f>
        <v>299.98377156721153</v>
      </c>
      <c r="HA18" s="59">
        <f t="shared" si="52"/>
        <v>241.36164657721102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4.0628205133333335</v>
      </c>
      <c r="N19" s="13">
        <f>IF('Données projet'!$A$36&gt;35,N18+M19-V18,IF(A19&lt;'Données projet'!$A$36,$K$205^A19,IF(A19='Données projet'!$A$36,'Données projet'!$B$36,N18+M19-V18)))</f>
        <v>12.957048230073568</v>
      </c>
      <c r="O19" s="13">
        <f>N19*VLOOKUP('Données projet'!$B$9,Paramètres!$A$1:$I$89,3,0)*VLOOKUP('Données projet'!$B$9,Paramètres!$A$1:$I$89,5,0)</f>
        <v>11.723537238570565</v>
      </c>
      <c r="P19" s="13">
        <f t="shared" si="33"/>
        <v>4.0566945001023926</v>
      </c>
      <c r="Q19" s="20">
        <f t="shared" si="2"/>
        <v>27.483903611522063</v>
      </c>
      <c r="R19" s="59">
        <f t="shared" si="0"/>
        <v>234.42594953363613</v>
      </c>
      <c r="S19" s="59">
        <f ca="1">AVERAGE(OFFSET($R$3,0,0,'Données projet'!$E$9+1,1))-AVERAGE(OFFSET($H$3,0,0,'Données projet'!$E$9+1,1))</f>
        <v>567.42635821507474</v>
      </c>
      <c r="T19" s="59">
        <f t="shared" si="34"/>
        <v>299.04735309930152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25.035162898423533</v>
      </c>
      <c r="AJ19" s="13">
        <f>AI19*VLOOKUP('Données projet'!$B$10,Paramètres!$A$1:$I$89,3,0)*VLOOKUP('Données projet'!$B$10,Paramètres!$A$1:$I$89,5,0)</f>
        <v>21.480169766847393</v>
      </c>
      <c r="AK19" s="13">
        <f t="shared" si="35"/>
        <v>6.9269265873873334</v>
      </c>
      <c r="AL19" s="20">
        <f t="shared" si="4"/>
        <v>49.475692816958805</v>
      </c>
      <c r="AM19" s="59">
        <f t="shared" si="5"/>
        <v>256.41773873907289</v>
      </c>
      <c r="AN19" s="59">
        <f ca="1">AVERAGE(OFFSET($AM$3,0,0,'Données projet'!$E$10+1,1))-AVERAGE(OFFSET($H$3,0,0,'Données projet'!$E$10+1,1))</f>
        <v>569.97793593332699</v>
      </c>
      <c r="AO19" s="59">
        <f t="shared" si="36"/>
        <v>331.25104323342907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21.333333333333332</v>
      </c>
      <c r="BD19" s="12">
        <f>IF('Données projet'!$A$88&gt;35,BD18+BC19-BL18,IF(A19&lt;'Données projet'!$A$88,$BA$205^A19,IF(A19='Données projet'!$A$88,'Données projet'!$B$88,BD18+BC19-BL18)))</f>
        <v>142.33333333333337</v>
      </c>
      <c r="BE19" s="13">
        <f>BD19*VLOOKUP('Données projet'!$B$11,Paramètres!$A$1:$I$89,3,0)*VLOOKUP('Données projet'!$B$11,Paramètres!$A$1:$I$89,5,0)</f>
        <v>77.714000000000027</v>
      </c>
      <c r="BF19" s="13">
        <f t="shared" si="37"/>
        <v>21.577305655991772</v>
      </c>
      <c r="BG19" s="20">
        <f t="shared" si="7"/>
        <v>172.93235735085239</v>
      </c>
      <c r="BH19" s="59">
        <f t="shared" si="8"/>
        <v>379.87440327296645</v>
      </c>
      <c r="BI19" s="59">
        <f ca="1">AVERAGE(OFFSET($BH$3,0,0,'Données projet'!$E$11+1,1))-AVERAGE(OFFSET($H$3,0,0,'Données projet'!$E$11+1,1))</f>
        <v>215.37314197175104</v>
      </c>
      <c r="BJ19" s="59">
        <f t="shared" si="38"/>
        <v>361.17630426655978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19.788621852000361</v>
      </c>
      <c r="BR19" s="21">
        <f>EXP(-LN(2)/2)*BR18+(1-EXP(-LN(2)/2))/(LN(2)/2)*BL19*BO19*VLOOKUP('Données projet'!$B$11,Paramètres!$A$1:$I$89,3,0)*0.475*44/12</f>
        <v>3.2455438808596142</v>
      </c>
      <c r="BS19" s="22">
        <f t="shared" si="9"/>
        <v>23.034165732859975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10.169411764705883</v>
      </c>
      <c r="BY19" s="12">
        <f>IF('Données projet'!$A$114&gt;35,BY18+BX19-CG18,IF(A19&lt;'Données projet'!$A$114,$BV$205^A19,IF(A19='Données projet'!$A$114,'Données projet'!$B$114,BY18+BX19-CG18)))</f>
        <v>127.67701173904101</v>
      </c>
      <c r="BZ19" s="13">
        <f>BY19*VLOOKUP('Données projet'!$B$12,Paramètres!$A$1:$I$89,3,0)*VLOOKUP('Données projet'!$B$12,Paramètres!$A$1:$I$89,5,0)</f>
        <v>71.371449562123928</v>
      </c>
      <c r="CA19" s="13">
        <f t="shared" si="39"/>
        <v>20.013651286318474</v>
      </c>
      <c r="CB19" s="20">
        <f t="shared" si="10"/>
        <v>159.16238397770385</v>
      </c>
      <c r="CC19" s="59">
        <f t="shared" si="11"/>
        <v>366.10442989981789</v>
      </c>
      <c r="CD19" s="59">
        <f ca="1">AVERAGE(OFFSET($CC$3,0,0,'Données projet'!$E$12+1,1))-AVERAGE(OFFSET($H$3,0,0,'Données projet'!$E$12+1,1))</f>
        <v>420.4890915162182</v>
      </c>
      <c r="CE19" s="59">
        <f t="shared" si="40"/>
        <v>553.48432338023565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16</v>
      </c>
      <c r="CT19" s="12">
        <f>IF('Données projet'!$A$140&gt;35,CT18+CS19-DB18,IF(A19&lt;'Données projet'!$A$140,$CQ$205^A19,IF(A19='Données projet'!$A$140,'Données projet'!$B$140,CT18+CS19-DB18)))</f>
        <v>59</v>
      </c>
      <c r="CU19" s="17">
        <f>CT19*VLOOKUP('Données projet'!$B$13,Paramètres!$A$1:$I$89,3,0)*VLOOKUP('Données projet'!$B$13,Paramètres!$A$1:$I$89,5,0)</f>
        <v>43.258799999999994</v>
      </c>
      <c r="CV19" s="13">
        <f t="shared" si="41"/>
        <v>12.858415781906348</v>
      </c>
      <c r="CW19" s="20">
        <f t="shared" si="13"/>
        <v>97.737484153486875</v>
      </c>
      <c r="CX19" s="59">
        <f t="shared" si="14"/>
        <v>304.67953007560095</v>
      </c>
      <c r="CY19" s="59">
        <f ca="1">AVERAGE(OFFSET($CX$3,0,0,'Données projet'!$E$13+1,1))-AVERAGE(OFFSET($H$3,0,0,'Données projet'!$E$13+1,1))</f>
        <v>400.48995908576177</v>
      </c>
      <c r="CZ19" s="59">
        <f t="shared" si="42"/>
        <v>384.86917865380076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16</v>
      </c>
      <c r="DO19" s="12">
        <f>IF('Données projet'!$A$166&gt;35,DO18+DN19-DW18,IF(A19&lt;'Données projet'!$A$166,$DL$205^A19,IF(A19='Données projet'!$A$166,'Données projet'!$B$166,DO18+DN19-DW18)))</f>
        <v>59</v>
      </c>
      <c r="DP19" s="17">
        <f>DO19*VLOOKUP('Données projet'!$B$14,Paramètres!$A$1:$I$89,3,0)*VLOOKUP('Données projet'!$B$14,Paramètres!$A$1:$I$89,5,0)</f>
        <v>46.940400000000004</v>
      </c>
      <c r="DQ19" s="13">
        <f t="shared" si="43"/>
        <v>13.82072434588865</v>
      </c>
      <c r="DR19" s="20">
        <f t="shared" si="16"/>
        <v>105.82562490242275</v>
      </c>
      <c r="DS19" s="59">
        <f t="shared" si="17"/>
        <v>312.76767082453682</v>
      </c>
      <c r="DT19" s="59">
        <f ca="1">AVERAGE(OFFSET($DS$3,0,0,'Données projet'!$E$14+1,1))-AVERAGE(OFFSET($H$3,0,0,'Données projet'!$E$14+1,1))</f>
        <v>429.30603040255431</v>
      </c>
      <c r="DU19" s="59">
        <f t="shared" si="44"/>
        <v>412.18613903804726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6.1538461538461533</v>
      </c>
      <c r="EJ19" s="12">
        <f>IF('Données projet'!$A$192&gt;35,EJ18+EI19-ER18,IF(A19&lt;'Données projet'!$A$192,$EG$205^A19,IF(A19='Données projet'!$A$192,'Données projet'!$B$192,EJ18+EI19-ER18)))</f>
        <v>29.871794871794869</v>
      </c>
      <c r="EK19" s="17">
        <f>EJ19*VLOOKUP('Données projet'!$B$15,Paramètres!$A$1:$I$89,3,0)*VLOOKUP('Données projet'!$B$15,Paramètres!$A$1:$I$89,5,0)</f>
        <v>23.299999999999997</v>
      </c>
      <c r="EL19" s="13">
        <f t="shared" si="45"/>
        <v>7.4429955046030809</v>
      </c>
      <c r="EM19" s="20">
        <f t="shared" si="19"/>
        <v>53.544050503850364</v>
      </c>
      <c r="EN19" s="59">
        <f t="shared" si="20"/>
        <v>260.48609642596443</v>
      </c>
      <c r="EO19" s="59">
        <f ca="1">AVERAGE(OFFSET($EN$3,0,0,'Données projet'!$E$15+1,1))-AVERAGE(OFFSET($H$3,0,0,'Données projet'!$E$15+1,1))</f>
        <v>217.53602321474159</v>
      </c>
      <c r="EP19" s="59">
        <f t="shared" si="46"/>
        <v>215.75909414893025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4.0628205133333335</v>
      </c>
      <c r="FE19" s="12">
        <f>IF('Données projet'!$A$218&gt;35,FE18+FD19-FM18,IF(A19&lt;'Données projet'!$A$218,$FB$205^A19,IF(A19='Données projet'!$A$218,'Données projet'!$B$218,FE18+FD19-FM18)))</f>
        <v>12.957048230073568</v>
      </c>
      <c r="FF19" s="17">
        <f>FE19*VLOOKUP('Données projet'!$B$16,Paramètres!$A$1:$I$89,3,0)*VLOOKUP('Données projet'!$B$16,Paramètres!$A$1:$I$89,5,0)</f>
        <v>8.6915879527333502</v>
      </c>
      <c r="FG19" s="13">
        <f t="shared" si="47"/>
        <v>3.1141537860813906</v>
      </c>
      <c r="FH19" s="20">
        <f t="shared" si="22"/>
        <v>20.561666861769005</v>
      </c>
      <c r="FI19" s="59">
        <f t="shared" si="23"/>
        <v>227.50371278388306</v>
      </c>
      <c r="FJ19" s="59">
        <f ca="1">AVERAGE(OFFSET($FI$3,0,0,'Données projet'!$E$16+1,1))-AVERAGE(OFFSET($H$3,0,0,'Données projet'!$E$16+1,1))</f>
        <v>441.20130048888439</v>
      </c>
      <c r="FK19" s="59">
        <f t="shared" si="48"/>
        <v>237.47732532183946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10.199999999999999</v>
      </c>
      <c r="FZ19" s="12">
        <f>IF('Données projet'!$A$244&gt;35,FZ18+FY19-GH18,IF(A19&lt;'Données projet'!$A$244,$FW$205^A19,IF(A19='Données projet'!$A$244,'Données projet'!$B$244,FZ18+FY19-GH18)))</f>
        <v>43.2</v>
      </c>
      <c r="GA19" s="17">
        <f>FZ19*VLOOKUP('Données projet'!$B$17,Paramètres!$A$1:$I$89,3,0)*VLOOKUP('Données projet'!$B$17,Paramètres!$A$1:$I$89,5,0)</f>
        <v>28.304640000000003</v>
      </c>
      <c r="GB19" s="13">
        <f t="shared" si="49"/>
        <v>8.8392104022316804</v>
      </c>
      <c r="GC19" s="20">
        <f t="shared" si="25"/>
        <v>64.692206117220181</v>
      </c>
      <c r="GD19" s="59">
        <f t="shared" si="26"/>
        <v>271.63425203933423</v>
      </c>
      <c r="GE19" s="59">
        <f ca="1">AVERAGE(OFFSET($GD$3,0,0,'Données projet'!$E$17+1,1))-AVERAGE(OFFSET($H$3,0,0,'Données projet'!$E$17+1,1))</f>
        <v>257.66104339896992</v>
      </c>
      <c r="GF19" s="59">
        <f t="shared" si="50"/>
        <v>254.79488636184996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5.4</v>
      </c>
      <c r="GU19" s="12">
        <f>IF('Données projet'!$A$270&gt;35,GU18+GT19-HC18,IF(A19&lt;'Données projet'!$A$270,$GR$205^A19,IF(A19='Données projet'!$A$270,'Données projet'!$B$270,GU18+GT19-HC18)))</f>
        <v>47.4</v>
      </c>
      <c r="GV19" s="17">
        <f>GU19*VLOOKUP('Données projet'!$B$18,Paramètres!$A$1:$I$89,3,0)*VLOOKUP('Données projet'!$B$18,Paramètres!$A$1:$I$89,5,0)</f>
        <v>38.450879999999998</v>
      </c>
      <c r="GW19" s="13">
        <f t="shared" si="51"/>
        <v>11.587113394776683</v>
      </c>
      <c r="GX19" s="20">
        <f t="shared" si="28"/>
        <v>87.149505162569383</v>
      </c>
      <c r="GY19" s="59">
        <f t="shared" si="29"/>
        <v>294.09155108468343</v>
      </c>
      <c r="GZ19" s="59">
        <f ca="1">AVERAGE(OFFSET($GY$3,0,0,'Données projet'!$E$18+1,1))-AVERAGE(OFFSET($H$3,0,0,'Données projet'!$E$18+1,1))</f>
        <v>299.98377156721153</v>
      </c>
      <c r="HA19" s="59">
        <f t="shared" si="52"/>
        <v>241.36164657721102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4.0628205133333335</v>
      </c>
      <c r="N20" s="13">
        <f>IF('Données projet'!$A$36&gt;35,N19+M20-V19,IF(A20&lt;'Données projet'!$A$36,$K$205^A20,IF(A20='Données projet'!$A$36,'Données projet'!$B$36,N19+M20-V19)))</f>
        <v>15.206795480291483</v>
      </c>
      <c r="O20" s="13">
        <f>N20*VLOOKUP('Données projet'!$B$9,Paramètres!$A$1:$I$89,3,0)*VLOOKUP('Données projet'!$B$9,Paramètres!$A$1:$I$89,5,0)</f>
        <v>13.759108550567733</v>
      </c>
      <c r="P20" s="13">
        <f t="shared" si="33"/>
        <v>4.6731578542694354</v>
      </c>
      <c r="Q20" s="20">
        <f t="shared" si="2"/>
        <v>32.10286398842473</v>
      </c>
      <c r="R20" s="59">
        <f t="shared" si="0"/>
        <v>241.46898830429745</v>
      </c>
      <c r="S20" s="59">
        <f ca="1">AVERAGE(OFFSET($R$3,0,0,'Données projet'!$E$9+1,1))-AVERAGE(OFFSET($H$3,0,0,'Données projet'!$E$9+1,1))</f>
        <v>567.42635821507474</v>
      </c>
      <c r="T20" s="59">
        <f t="shared" si="34"/>
        <v>299.04735309930152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30.61680181296855</v>
      </c>
      <c r="AJ20" s="13">
        <f>AI20*VLOOKUP('Données projet'!$B$10,Paramètres!$A$1:$I$89,3,0)*VLOOKUP('Données projet'!$B$10,Paramètres!$A$1:$I$89,5,0)</f>
        <v>26.26921595552702</v>
      </c>
      <c r="AK20" s="13">
        <f t="shared" si="35"/>
        <v>8.2751434680579159</v>
      </c>
      <c r="AL20" s="20">
        <f t="shared" si="4"/>
        <v>60.164759329410423</v>
      </c>
      <c r="AM20" s="59">
        <f t="shared" si="5"/>
        <v>269.53088364528315</v>
      </c>
      <c r="AN20" s="59">
        <f ca="1">AVERAGE(OFFSET($AM$3,0,0,'Données projet'!$E$10+1,1))-AVERAGE(OFFSET($H$3,0,0,'Données projet'!$E$10+1,1))</f>
        <v>569.97793593332699</v>
      </c>
      <c r="AO20" s="59">
        <f t="shared" si="36"/>
        <v>331.25104323342907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21.333333333333332</v>
      </c>
      <c r="BD20" s="12">
        <f>IF('Données projet'!$A$88&gt;35,BD19+BC20-BL19,IF(A20&lt;'Données projet'!$A$88,$BA$205^A20,IF(A20='Données projet'!$A$88,'Données projet'!$B$88,BD19+BC20-BL19)))</f>
        <v>163.66666666666671</v>
      </c>
      <c r="BE20" s="13">
        <f>BD20*VLOOKUP('Données projet'!$B$11,Paramètres!$A$1:$I$89,3,0)*VLOOKUP('Données projet'!$B$11,Paramètres!$A$1:$I$89,5,0)</f>
        <v>89.362000000000037</v>
      </c>
      <c r="BF20" s="13">
        <f t="shared" si="37"/>
        <v>24.411291106060958</v>
      </c>
      <c r="BG20" s="20">
        <f t="shared" si="7"/>
        <v>198.15514867638956</v>
      </c>
      <c r="BH20" s="59">
        <f t="shared" si="8"/>
        <v>407.52127299226231</v>
      </c>
      <c r="BI20" s="59">
        <f ca="1">AVERAGE(OFFSET($BH$3,0,0,'Données projet'!$E$11+1,1))-AVERAGE(OFFSET($H$3,0,0,'Données projet'!$E$11+1,1))</f>
        <v>215.37314197175104</v>
      </c>
      <c r="BJ20" s="59">
        <f t="shared" si="38"/>
        <v>361.17630426655978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19.247500946819017</v>
      </c>
      <c r="BR20" s="21">
        <f>EXP(-LN(2)/2)*BR19+(1-EXP(-LN(2)/2))/(LN(2)/2)*BL20*BO20*VLOOKUP('Données projet'!$B$11,Paramètres!$A$1:$I$89,3,0)*0.475*44/12</f>
        <v>2.2949460867943374</v>
      </c>
      <c r="BS20" s="22">
        <f t="shared" si="9"/>
        <v>21.542447033613353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>
        <f>VLOOKUP(A20,'Données projet'!$A$113:$I$133,2,0)</f>
        <v>172.88</v>
      </c>
      <c r="BW20" s="12">
        <f>VLOOKUP(A20,'Données projet'!$A$113:$I$133,9,0)</f>
        <v>10.169411764705883</v>
      </c>
      <c r="BX20" s="12">
        <f t="array" ref="BX20">INDEX(BW:BW,MIN(IF(ISNUMBER(BW20:BW216),ROW(BW20:BW216),"")))</f>
        <v>10.169411764705883</v>
      </c>
      <c r="BY20" s="12">
        <f>IF('Données projet'!$A$114&gt;35,BY19+BX20-CG19,IF(A20&lt;'Données projet'!$A$114,$BV$205^A20,IF(A20='Données projet'!$A$114,'Données projet'!$B$114,BY19+BX20-CG19)))</f>
        <v>172.88</v>
      </c>
      <c r="BZ20" s="13">
        <f>BY20*VLOOKUP('Données projet'!$B$12,Paramètres!$A$1:$I$89,3,0)*VLOOKUP('Données projet'!$B$12,Paramètres!$A$1:$I$89,5,0)</f>
        <v>96.639919999999989</v>
      </c>
      <c r="CA20" s="13">
        <f t="shared" si="39"/>
        <v>26.159919476529339</v>
      </c>
      <c r="CB20" s="20">
        <f t="shared" si="10"/>
        <v>213.87638708828857</v>
      </c>
      <c r="CC20" s="59">
        <f t="shared" si="11"/>
        <v>423.24251140416129</v>
      </c>
      <c r="CD20" s="59">
        <f ca="1">AVERAGE(OFFSET($CC$3,0,0,'Données projet'!$E$12+1,1))-AVERAGE(OFFSET($H$3,0,0,'Données projet'!$E$12+1,1))</f>
        <v>420.4890915162182</v>
      </c>
      <c r="CE20" s="59">
        <f t="shared" si="40"/>
        <v>553.48432338023565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16</v>
      </c>
      <c r="CT20" s="12">
        <f>IF('Données projet'!$A$140&gt;35,CT19+CS20-DB19,IF(A20&lt;'Données projet'!$A$140,$CQ$205^A20,IF(A20='Données projet'!$A$140,'Données projet'!$B$140,CT19+CS20-DB19)))</f>
        <v>75</v>
      </c>
      <c r="CU20" s="17">
        <f>CT20*VLOOKUP('Données projet'!$B$13,Paramètres!$A$1:$I$89,3,0)*VLOOKUP('Données projet'!$B$13,Paramètres!$A$1:$I$89,5,0)</f>
        <v>54.99</v>
      </c>
      <c r="CV20" s="13">
        <f t="shared" si="41"/>
        <v>15.895227919347008</v>
      </c>
      <c r="CW20" s="20">
        <f t="shared" si="13"/>
        <v>123.45843862619604</v>
      </c>
      <c r="CX20" s="59">
        <f t="shared" si="14"/>
        <v>332.82456294206878</v>
      </c>
      <c r="CY20" s="59">
        <f ca="1">AVERAGE(OFFSET($CX$3,0,0,'Données projet'!$E$13+1,1))-AVERAGE(OFFSET($H$3,0,0,'Données projet'!$E$13+1,1))</f>
        <v>400.48995908576177</v>
      </c>
      <c r="CZ20" s="59">
        <f t="shared" si="42"/>
        <v>384.86917865380076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16</v>
      </c>
      <c r="DO20" s="12">
        <f>IF('Données projet'!$A$166&gt;35,DO19+DN20-DW19,IF(A20&lt;'Données projet'!$A$166,$DL$205^A20,IF(A20='Données projet'!$A$166,'Données projet'!$B$166,DO19+DN20-DW19)))</f>
        <v>75</v>
      </c>
      <c r="DP20" s="17">
        <f>DO20*VLOOKUP('Données projet'!$B$14,Paramètres!$A$1:$I$89,3,0)*VLOOKUP('Données projet'!$B$14,Paramètres!$A$1:$I$89,5,0)</f>
        <v>59.67</v>
      </c>
      <c r="DQ20" s="13">
        <f t="shared" si="43"/>
        <v>17.084807896591332</v>
      </c>
      <c r="DR20" s="20">
        <f t="shared" si="16"/>
        <v>133.68129041989656</v>
      </c>
      <c r="DS20" s="59">
        <f t="shared" si="17"/>
        <v>343.04741473576928</v>
      </c>
      <c r="DT20" s="59">
        <f ca="1">AVERAGE(OFFSET($DS$3,0,0,'Données projet'!$E$14+1,1))-AVERAGE(OFFSET($H$3,0,0,'Données projet'!$E$14+1,1))</f>
        <v>429.30603040255431</v>
      </c>
      <c r="DU20" s="59">
        <f t="shared" si="44"/>
        <v>412.18613903804726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6.1538461538461533</v>
      </c>
      <c r="EJ20" s="12">
        <f>IF('Données projet'!$A$192&gt;35,EJ19+EI20-ER19,IF(A20&lt;'Données projet'!$A$192,$EG$205^A20,IF(A20='Données projet'!$A$192,'Données projet'!$B$192,EJ19+EI20-ER19)))</f>
        <v>36.025641025641022</v>
      </c>
      <c r="EK20" s="17">
        <f>EJ20*VLOOKUP('Données projet'!$B$15,Paramètres!$A$1:$I$89,3,0)*VLOOKUP('Données projet'!$B$15,Paramètres!$A$1:$I$89,5,0)</f>
        <v>28.099999999999998</v>
      </c>
      <c r="EL20" s="13">
        <f t="shared" si="45"/>
        <v>8.7827186210663637</v>
      </c>
      <c r="EM20" s="20">
        <f t="shared" si="19"/>
        <v>64.237401598357238</v>
      </c>
      <c r="EN20" s="59">
        <f t="shared" si="20"/>
        <v>273.60352591422998</v>
      </c>
      <c r="EO20" s="59">
        <f ca="1">AVERAGE(OFFSET($EN$3,0,0,'Données projet'!$E$15+1,1))-AVERAGE(OFFSET($H$3,0,0,'Données projet'!$E$15+1,1))</f>
        <v>217.53602321474159</v>
      </c>
      <c r="EP20" s="59">
        <f t="shared" si="46"/>
        <v>215.75909414893025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4.0628205133333335</v>
      </c>
      <c r="FE20" s="12">
        <f>IF('Données projet'!$A$218&gt;35,FE19+FD20-FM19,IF(A20&lt;'Données projet'!$A$218,$FB$205^A20,IF(A20='Données projet'!$A$218,'Données projet'!$B$218,FE19+FD20-FM19)))</f>
        <v>15.206795480291483</v>
      </c>
      <c r="FF20" s="17">
        <f>FE20*VLOOKUP('Données projet'!$B$16,Paramètres!$A$1:$I$89,3,0)*VLOOKUP('Données projet'!$B$16,Paramètres!$A$1:$I$89,5,0)</f>
        <v>10.200718408179528</v>
      </c>
      <c r="FG20" s="13">
        <f t="shared" si="47"/>
        <v>3.5873867811494882</v>
      </c>
      <c r="FH20" s="20">
        <f t="shared" si="22"/>
        <v>24.014283204748036</v>
      </c>
      <c r="FI20" s="59">
        <f t="shared" si="23"/>
        <v>233.38040752062076</v>
      </c>
      <c r="FJ20" s="59">
        <f ca="1">AVERAGE(OFFSET($FI$3,0,0,'Données projet'!$E$16+1,1))-AVERAGE(OFFSET($H$3,0,0,'Données projet'!$E$16+1,1))</f>
        <v>441.20130048888439</v>
      </c>
      <c r="FK20" s="59">
        <f t="shared" si="48"/>
        <v>237.47732532183946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10.199999999999999</v>
      </c>
      <c r="FZ20" s="12">
        <f>IF('Données projet'!$A$244&gt;35,FZ19+FY20-GH19,IF(A20&lt;'Données projet'!$A$244,$FW$205^A20,IF(A20='Données projet'!$A$244,'Données projet'!$B$244,FZ19+FY20-GH19)))</f>
        <v>53.400000000000006</v>
      </c>
      <c r="GA20" s="17">
        <f>FZ20*VLOOKUP('Données projet'!$B$17,Paramètres!$A$1:$I$89,3,0)*VLOOKUP('Données projet'!$B$17,Paramètres!$A$1:$I$89,5,0)</f>
        <v>34.987680000000005</v>
      </c>
      <c r="GB20" s="13">
        <f t="shared" si="49"/>
        <v>10.65995785514129</v>
      </c>
      <c r="GC20" s="20">
        <f t="shared" si="25"/>
        <v>79.502969264371089</v>
      </c>
      <c r="GD20" s="59">
        <f t="shared" si="26"/>
        <v>288.86909358024383</v>
      </c>
      <c r="GE20" s="59">
        <f ca="1">AVERAGE(OFFSET($GD$3,0,0,'Données projet'!$E$17+1,1))-AVERAGE(OFFSET($H$3,0,0,'Données projet'!$E$17+1,1))</f>
        <v>257.66104339896992</v>
      </c>
      <c r="GF20" s="59">
        <f t="shared" si="50"/>
        <v>254.79488636184996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5.4</v>
      </c>
      <c r="GU20" s="12">
        <f>IF('Données projet'!$A$270&gt;35,GU19+GT20-HC19,IF(A20&lt;'Données projet'!$A$270,$GR$205^A20,IF(A20='Données projet'!$A$270,'Données projet'!$B$270,GU19+GT20-HC19)))</f>
        <v>52.8</v>
      </c>
      <c r="GV20" s="17">
        <f>GU20*VLOOKUP('Données projet'!$B$18,Paramètres!$A$1:$I$89,3,0)*VLOOKUP('Données projet'!$B$18,Paramètres!$A$1:$I$89,5,0)</f>
        <v>42.831360000000004</v>
      </c>
      <c r="GW20" s="13">
        <f t="shared" si="51"/>
        <v>12.746086115928794</v>
      </c>
      <c r="GX20" s="20">
        <f t="shared" si="28"/>
        <v>96.797385318575991</v>
      </c>
      <c r="GY20" s="59">
        <f t="shared" si="29"/>
        <v>306.1635096344487</v>
      </c>
      <c r="GZ20" s="59">
        <f ca="1">AVERAGE(OFFSET($GY$3,0,0,'Données projet'!$E$18+1,1))-AVERAGE(OFFSET($H$3,0,0,'Données projet'!$E$18+1,1))</f>
        <v>299.98377156721153</v>
      </c>
      <c r="HA20" s="59">
        <f t="shared" si="52"/>
        <v>241.36164657721102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4.0628205133333335</v>
      </c>
      <c r="N21" s="13">
        <f>IF('Données projet'!$A$36&gt;35,N20+M21-V20,IF(A21&lt;'Données projet'!$A$36,$K$205^A21,IF(A21='Données projet'!$A$36,'Données projet'!$B$36,N20+M21-V20)))</f>
        <v>17.847168944133852</v>
      </c>
      <c r="O21" s="13">
        <f>N21*VLOOKUP('Données projet'!$B$9,Paramètres!$A$1:$I$89,3,0)*VLOOKUP('Données projet'!$B$9,Paramètres!$A$1:$I$89,5,0)</f>
        <v>16.148118460652309</v>
      </c>
      <c r="P21" s="13">
        <f t="shared" si="33"/>
        <v>5.3833002042349793</v>
      </c>
      <c r="Q21" s="20">
        <f t="shared" si="2"/>
        <v>37.500554174678697</v>
      </c>
      <c r="R21" s="59">
        <f t="shared" si="0"/>
        <v>249.26990736668182</v>
      </c>
      <c r="S21" s="59">
        <f ca="1">AVERAGE(OFFSET($R$3,0,0,'Données projet'!$E$9+1,1))-AVERAGE(OFFSET($H$3,0,0,'Données projet'!$E$9+1,1))</f>
        <v>567.42635821507474</v>
      </c>
      <c r="T21" s="59">
        <f t="shared" si="34"/>
        <v>299.04735309930152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37.442878125375486</v>
      </c>
      <c r="AJ21" s="13">
        <f>AI21*VLOOKUP('Données projet'!$B$10,Paramètres!$A$1:$I$89,3,0)*VLOOKUP('Données projet'!$B$10,Paramètres!$A$1:$I$89,5,0)</f>
        <v>32.125989431572172</v>
      </c>
      <c r="AK21" s="13">
        <f t="shared" si="35"/>
        <v>9.8857694755459775</v>
      </c>
      <c r="AL21" s="20">
        <f t="shared" si="4"/>
        <v>73.170480096564106</v>
      </c>
      <c r="AM21" s="59">
        <f t="shared" si="5"/>
        <v>284.93983328856723</v>
      </c>
      <c r="AN21" s="59">
        <f ca="1">AVERAGE(OFFSET($AM$3,0,0,'Données projet'!$E$10+1,1))-AVERAGE(OFFSET($H$3,0,0,'Données projet'!$E$10+1,1))</f>
        <v>569.97793593332699</v>
      </c>
      <c r="AO21" s="59">
        <f t="shared" si="36"/>
        <v>331.25104323342907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185</v>
      </c>
      <c r="BB21" s="12">
        <f>VLOOKUP(A21,'Données projet'!$A$87:$I$107,9,0)</f>
        <v>21.333333333333332</v>
      </c>
      <c r="BC21" s="12">
        <f t="array" ref="BC21">INDEX(BB:BB,MIN(IF(ISNUMBER(BB21:BB217),ROW(BB21:BB217),"")))</f>
        <v>21.333333333333332</v>
      </c>
      <c r="BD21" s="12">
        <f>IF('Données projet'!$A$88&gt;35,BD20+BC21-BL20,IF(A21&lt;'Données projet'!$A$88,$BA$205^A21,IF(A21='Données projet'!$A$88,'Données projet'!$B$88,BD20+BC21-BL20)))</f>
        <v>185.00000000000006</v>
      </c>
      <c r="BE21" s="13">
        <f>BD21*VLOOKUP('Données projet'!$B$11,Paramètres!$A$1:$I$89,3,0)*VLOOKUP('Données projet'!$B$11,Paramètres!$A$1:$I$89,5,0)</f>
        <v>101.01000000000002</v>
      </c>
      <c r="BF21" s="13">
        <f t="shared" si="37"/>
        <v>27.202475209169602</v>
      </c>
      <c r="BG21" s="20">
        <f t="shared" si="7"/>
        <v>223.30339432263705</v>
      </c>
      <c r="BH21" s="59">
        <f t="shared" si="8"/>
        <v>435.07274751464013</v>
      </c>
      <c r="BI21" s="59">
        <f ca="1">AVERAGE(OFFSET($BH$3,0,0,'Données projet'!$E$11+1,1))-AVERAGE(OFFSET($H$3,0,0,'Données projet'!$E$11+1,1))</f>
        <v>215.37314197175104</v>
      </c>
      <c r="BJ21" s="59">
        <f t="shared" si="38"/>
        <v>361.17630426655978</v>
      </c>
      <c r="BK21" s="15">
        <f>IF(ISNA(VLOOKUP(A21,'Données projet'!$A$87:$I$107,3,0)),0,VLOOKUP(A21,'Données projet'!$A$87:$I$107,3,0))</f>
        <v>3</v>
      </c>
      <c r="BL21" s="15">
        <f>IF(ISNA(VLOOKUP(A21,'Données projet'!$A$87:$I$107,4,0)),0,VLOOKUP(A21,'Données projet'!$A$87:$I$107,4,0))</f>
        <v>61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0.6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45.126332338844186</v>
      </c>
      <c r="BR21" s="21">
        <f>EXP(-LN(2)/2)*BR20+(1-EXP(-LN(2)/2))/(LN(2)/2)*BL21*BO21*VLOOKUP('Données projet'!$B$11,Paramètres!$A$1:$I$89,3,0)*0.475*44/12</f>
        <v>1.6227719404298071</v>
      </c>
      <c r="BS21" s="22">
        <f t="shared" si="9"/>
        <v>46.749104279273993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>
        <f>VLOOKUP(A21,'Données projet'!$A$113:$I$133,2,0)</f>
        <v>202.42</v>
      </c>
      <c r="BW21" s="12">
        <f>VLOOKUP(A21,'Données projet'!$A$113:$I$133,9,0)</f>
        <v>29.539999999999992</v>
      </c>
      <c r="BX21" s="12">
        <f t="array" ref="BX21">INDEX(BW:BW,MIN(IF(ISNUMBER(BW21:BW217),ROW(BW21:BW217),"")))</f>
        <v>29.539999999999992</v>
      </c>
      <c r="BY21" s="12">
        <f>IF('Données projet'!$A$114&gt;35,BY20+BX21-CG20,IF(A21&lt;'Données projet'!$A$114,$BV$205^A21,IF(A21='Données projet'!$A$114,'Données projet'!$B$114,BY20+BX21-CG20)))</f>
        <v>202.42</v>
      </c>
      <c r="BZ21" s="13">
        <f>BY21*VLOOKUP('Données projet'!$B$12,Paramètres!$A$1:$I$89,3,0)*VLOOKUP('Données projet'!$B$12,Paramètres!$A$1:$I$89,5,0)</f>
        <v>113.15278000000001</v>
      </c>
      <c r="CA21" s="13">
        <f t="shared" si="39"/>
        <v>30.072578047950454</v>
      </c>
      <c r="CB21" s="20">
        <f t="shared" si="10"/>
        <v>249.45083193351374</v>
      </c>
      <c r="CC21" s="59">
        <f t="shared" si="11"/>
        <v>461.22018512551688</v>
      </c>
      <c r="CD21" s="59">
        <f ca="1">AVERAGE(OFFSET($CC$3,0,0,'Données projet'!$E$12+1,1))-AVERAGE(OFFSET($H$3,0,0,'Données projet'!$E$12+1,1))</f>
        <v>420.4890915162182</v>
      </c>
      <c r="CE21" s="59">
        <f t="shared" si="40"/>
        <v>553.48432338023565</v>
      </c>
      <c r="CF21" s="15">
        <f>IF(ISNA(VLOOKUP(A21,'Données projet'!$A$113:$I$133,3,0)),0,VLOOKUP(A21,'Données projet'!$A$113:$I$133,3,0))</f>
        <v>1</v>
      </c>
      <c r="CG21" s="15">
        <f>IF(ISNA(VLOOKUP(A21,'Données projet'!$A$113:$I$133,4,0)),0,VLOOKUP(A21,'Données projet'!$A$113:$I$133,4,0))</f>
        <v>74.819999999999993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1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47.354913860019963</v>
      </c>
      <c r="CN21" s="22">
        <f t="shared" si="12"/>
        <v>47.354913860019963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16</v>
      </c>
      <c r="CT21" s="12">
        <f>IF('Données projet'!$A$140&gt;35,CT20+CS21-DB20,IF(A21&lt;'Données projet'!$A$140,$CQ$205^A21,IF(A21='Données projet'!$A$140,'Données projet'!$B$140,CT20+CS21-DB20)))</f>
        <v>91</v>
      </c>
      <c r="CU21" s="17">
        <f>CT21*VLOOKUP('Données projet'!$B$13,Paramètres!$A$1:$I$89,3,0)*VLOOKUP('Données projet'!$B$13,Paramètres!$A$1:$I$89,5,0)</f>
        <v>66.721199999999996</v>
      </c>
      <c r="CV21" s="13">
        <f t="shared" si="41"/>
        <v>18.856956599005905</v>
      </c>
      <c r="CW21" s="20">
        <f t="shared" si="13"/>
        <v>149.0486227432686</v>
      </c>
      <c r="CX21" s="59">
        <f t="shared" si="14"/>
        <v>360.8179759352717</v>
      </c>
      <c r="CY21" s="59">
        <f ca="1">AVERAGE(OFFSET($CX$3,0,0,'Données projet'!$E$13+1,1))-AVERAGE(OFFSET($H$3,0,0,'Données projet'!$E$13+1,1))</f>
        <v>400.48995908576177</v>
      </c>
      <c r="CZ21" s="59">
        <f t="shared" si="42"/>
        <v>384.86917865380076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16</v>
      </c>
      <c r="DO21" s="12">
        <f>IF('Données projet'!$A$166&gt;35,DO20+DN21-DW20,IF(A21&lt;'Données projet'!$A$166,$DL$205^A21,IF(A21='Données projet'!$A$166,'Données projet'!$B$166,DO20+DN21-DW20)))</f>
        <v>91</v>
      </c>
      <c r="DP21" s="17">
        <f>DO21*VLOOKUP('Données projet'!$B$14,Paramètres!$A$1:$I$89,3,0)*VLOOKUP('Données projet'!$B$14,Paramètres!$A$1:$I$89,5,0)</f>
        <v>72.399600000000007</v>
      </c>
      <c r="DQ21" s="13">
        <f t="shared" si="43"/>
        <v>20.268188832715463</v>
      </c>
      <c r="DR21" s="20">
        <f t="shared" si="16"/>
        <v>161.39639888364613</v>
      </c>
      <c r="DS21" s="59">
        <f t="shared" si="17"/>
        <v>373.16575207564927</v>
      </c>
      <c r="DT21" s="59">
        <f ca="1">AVERAGE(OFFSET($DS$3,0,0,'Données projet'!$E$14+1,1))-AVERAGE(OFFSET($H$3,0,0,'Données projet'!$E$14+1,1))</f>
        <v>429.30603040255431</v>
      </c>
      <c r="DU21" s="59">
        <f t="shared" si="44"/>
        <v>412.18613903804726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6.1538461538461533</v>
      </c>
      <c r="EJ21" s="12">
        <f>IF('Données projet'!$A$192&gt;35,EJ20+EI21-ER20,IF(A21&lt;'Données projet'!$A$192,$EG$205^A21,IF(A21='Données projet'!$A$192,'Données projet'!$B$192,EJ20+EI21-ER20)))</f>
        <v>42.179487179487175</v>
      </c>
      <c r="EK21" s="17">
        <f>EJ21*VLOOKUP('Données projet'!$B$15,Paramètres!$A$1:$I$89,3,0)*VLOOKUP('Données projet'!$B$15,Paramètres!$A$1:$I$89,5,0)</f>
        <v>32.9</v>
      </c>
      <c r="EL21" s="13">
        <f t="shared" si="45"/>
        <v>10.09593068723915</v>
      </c>
      <c r="EM21" s="20">
        <f t="shared" si="19"/>
        <v>74.884579280274849</v>
      </c>
      <c r="EN21" s="59">
        <f t="shared" si="20"/>
        <v>286.65393247227797</v>
      </c>
      <c r="EO21" s="59">
        <f ca="1">AVERAGE(OFFSET($EN$3,0,0,'Données projet'!$E$15+1,1))-AVERAGE(OFFSET($H$3,0,0,'Données projet'!$E$15+1,1))</f>
        <v>217.53602321474159</v>
      </c>
      <c r="EP21" s="59">
        <f t="shared" si="46"/>
        <v>215.75909414893025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4.0628205133333335</v>
      </c>
      <c r="FE21" s="12">
        <f>IF('Données projet'!$A$218&gt;35,FE20+FD21-FM20,IF(A21&lt;'Données projet'!$A$218,$FB$205^A21,IF(A21='Données projet'!$A$218,'Données projet'!$B$218,FE20+FD21-FM20)))</f>
        <v>17.847168944133852</v>
      </c>
      <c r="FF21" s="17">
        <f>FE21*VLOOKUP('Données projet'!$B$16,Paramètres!$A$1:$I$89,3,0)*VLOOKUP('Données projet'!$B$16,Paramètres!$A$1:$I$89,5,0)</f>
        <v>11.971880927724989</v>
      </c>
      <c r="FG21" s="13">
        <f t="shared" si="47"/>
        <v>4.132533202144737</v>
      </c>
      <c r="FH21" s="20">
        <f t="shared" si="22"/>
        <v>28.048521276189771</v>
      </c>
      <c r="FI21" s="59">
        <f t="shared" si="23"/>
        <v>239.81787446819288</v>
      </c>
      <c r="FJ21" s="59">
        <f ca="1">AVERAGE(OFFSET($FI$3,0,0,'Données projet'!$E$16+1,1))-AVERAGE(OFFSET($H$3,0,0,'Données projet'!$E$16+1,1))</f>
        <v>441.20130048888439</v>
      </c>
      <c r="FK21" s="59">
        <f t="shared" si="48"/>
        <v>237.47732532183946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10.199999999999999</v>
      </c>
      <c r="FZ21" s="12">
        <f>IF('Données projet'!$A$244&gt;35,FZ20+FY21-GH20,IF(A21&lt;'Données projet'!$A$244,$FW$205^A21,IF(A21='Données projet'!$A$244,'Données projet'!$B$244,FZ20+FY21-GH20)))</f>
        <v>63.600000000000009</v>
      </c>
      <c r="GA21" s="17">
        <f>FZ21*VLOOKUP('Données projet'!$B$17,Paramètres!$A$1:$I$89,3,0)*VLOOKUP('Données projet'!$B$17,Paramètres!$A$1:$I$89,5,0)</f>
        <v>41.67072000000001</v>
      </c>
      <c r="GB21" s="13">
        <f t="shared" si="49"/>
        <v>12.440411337011152</v>
      </c>
      <c r="GC21" s="20">
        <f t="shared" si="25"/>
        <v>94.243553745294435</v>
      </c>
      <c r="GD21" s="59">
        <f t="shared" si="26"/>
        <v>306.01290693729754</v>
      </c>
      <c r="GE21" s="59">
        <f ca="1">AVERAGE(OFFSET($GD$3,0,0,'Données projet'!$E$17+1,1))-AVERAGE(OFFSET($H$3,0,0,'Données projet'!$E$17+1,1))</f>
        <v>257.66104339896992</v>
      </c>
      <c r="GF21" s="59">
        <f t="shared" si="50"/>
        <v>254.79488636184996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5.4</v>
      </c>
      <c r="GU21" s="12">
        <f>IF('Données projet'!$A$270&gt;35,GU20+GT21-HC20,IF(A21&lt;'Données projet'!$A$270,$GR$205^A21,IF(A21='Données projet'!$A$270,'Données projet'!$B$270,GU20+GT21-HC20)))</f>
        <v>58.199999999999996</v>
      </c>
      <c r="GV21" s="17">
        <f>GU21*VLOOKUP('Données projet'!$B$18,Paramètres!$A$1:$I$89,3,0)*VLOOKUP('Données projet'!$B$18,Paramètres!$A$1:$I$89,5,0)</f>
        <v>47.211840000000002</v>
      </c>
      <c r="GW21" s="13">
        <f t="shared" si="51"/>
        <v>13.891318331147987</v>
      </c>
      <c r="GX21" s="20">
        <f t="shared" si="28"/>
        <v>106.42133409341606</v>
      </c>
      <c r="GY21" s="59">
        <f t="shared" si="29"/>
        <v>318.19068728541919</v>
      </c>
      <c r="GZ21" s="59">
        <f ca="1">AVERAGE(OFFSET($GY$3,0,0,'Données projet'!$E$18+1,1))-AVERAGE(OFFSET($H$3,0,0,'Données projet'!$E$18+1,1))</f>
        <v>299.98377156721153</v>
      </c>
      <c r="HA21" s="59">
        <f t="shared" si="52"/>
        <v>241.36164657721102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4.0628205133333335</v>
      </c>
      <c r="N22" s="13">
        <f>IF('Données projet'!$A$36&gt;35,N21+M22-V21,IF(A22&lt;'Données projet'!$A$36,$K$205^A22,IF(A22='Données projet'!$A$36,'Données projet'!$B$36,N21+M22-V21)))</f>
        <v>20.945993502264844</v>
      </c>
      <c r="O22" s="13">
        <f>N22*VLOOKUP('Données projet'!$B$9,Paramètres!$A$1:$I$89,3,0)*VLOOKUP('Données projet'!$B$9,Paramètres!$A$1:$I$89,5,0)</f>
        <v>18.951934920849229</v>
      </c>
      <c r="P22" s="13">
        <f t="shared" si="33"/>
        <v>6.2013571962778977</v>
      </c>
      <c r="Q22" s="20">
        <f t="shared" si="2"/>
        <v>43.808650437329739</v>
      </c>
      <c r="R22" s="59">
        <f t="shared" si="0"/>
        <v>257.96074468035329</v>
      </c>
      <c r="S22" s="59">
        <f ca="1">AVERAGE(OFFSET($R$3,0,0,'Données projet'!$E$9+1,1))-AVERAGE(OFFSET($H$3,0,0,'Données projet'!$E$9+1,1))</f>
        <v>567.42635821507474</v>
      </c>
      <c r="T22" s="59">
        <f t="shared" si="34"/>
        <v>299.04735309930152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45.79084160638493</v>
      </c>
      <c r="AJ22" s="13">
        <f>AI22*VLOOKUP('Données projet'!$B$10,Paramètres!$A$1:$I$89,3,0)*VLOOKUP('Données projet'!$B$10,Paramètres!$A$1:$I$89,5,0)</f>
        <v>39.28854209827827</v>
      </c>
      <c r="AK22" s="13">
        <f t="shared" si="35"/>
        <v>11.809878402817876</v>
      </c>
      <c r="AL22" s="20">
        <f t="shared" si="4"/>
        <v>88.99641570607578</v>
      </c>
      <c r="AM22" s="59">
        <f t="shared" si="5"/>
        <v>303.14850994909932</v>
      </c>
      <c r="AN22" s="59">
        <f ca="1">AVERAGE(OFFSET($AM$3,0,0,'Données projet'!$E$10+1,1))-AVERAGE(OFFSET($H$3,0,0,'Données projet'!$E$10+1,1))</f>
        <v>569.97793593332699</v>
      </c>
      <c r="AO22" s="59">
        <f t="shared" si="36"/>
        <v>331.25104323342907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19.166666666666668</v>
      </c>
      <c r="BD22" s="12">
        <f>IF('Données projet'!$A$88&gt;35,BD21+BC22-BL21,IF(A22&lt;'Données projet'!$A$88,$BA$205^A22,IF(A22='Données projet'!$A$88,'Données projet'!$B$88,BD21+BC22-BL21)))</f>
        <v>143.16666666666671</v>
      </c>
      <c r="BE22" s="13">
        <f>BD22*VLOOKUP('Données projet'!$B$11,Paramètres!$A$1:$I$89,3,0)*VLOOKUP('Données projet'!$B$11,Paramètres!$A$1:$I$89,5,0)</f>
        <v>78.169000000000025</v>
      </c>
      <c r="BF22" s="13">
        <f t="shared" si="37"/>
        <v>21.688893622970639</v>
      </c>
      <c r="BG22" s="20">
        <f t="shared" si="7"/>
        <v>173.9191647266739</v>
      </c>
      <c r="BH22" s="59">
        <f t="shared" si="8"/>
        <v>388.0712589696974</v>
      </c>
      <c r="BI22" s="59">
        <f ca="1">AVERAGE(OFFSET($BH$3,0,0,'Données projet'!$E$11+1,1))-AVERAGE(OFFSET($H$3,0,0,'Données projet'!$E$11+1,1))</f>
        <v>215.37314197175104</v>
      </c>
      <c r="BJ22" s="59">
        <f t="shared" si="38"/>
        <v>361.17630426655978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43.892350407947809</v>
      </c>
      <c r="BR22" s="21">
        <f>EXP(-LN(2)/2)*BR21+(1-EXP(-LN(2)/2))/(LN(2)/2)*BL22*BO22*VLOOKUP('Données projet'!$B$11,Paramètres!$A$1:$I$89,3,0)*0.475*44/12</f>
        <v>1.1474730433971687</v>
      </c>
      <c r="BS22" s="22">
        <f t="shared" si="9"/>
        <v>45.039823451344979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26.926666666666673</v>
      </c>
      <c r="BY22" s="12">
        <f>IF('Données projet'!$A$114&gt;35,BY21+BX22-CG21,IF(A22&lt;'Données projet'!$A$114,$BV$205^A22,IF(A22='Données projet'!$A$114,'Données projet'!$B$114,BY21+BX22-CG21)))</f>
        <v>154.52666666666667</v>
      </c>
      <c r="BZ22" s="13">
        <f>BY22*VLOOKUP('Données projet'!$B$12,Paramètres!$A$1:$I$89,3,0)*VLOOKUP('Données projet'!$B$12,Paramètres!$A$1:$I$89,5,0)</f>
        <v>86.380406666666673</v>
      </c>
      <c r="CA22" s="13">
        <f t="shared" si="39"/>
        <v>23.690191684477199</v>
      </c>
      <c r="CB22" s="20">
        <f t="shared" si="10"/>
        <v>191.70629212824224</v>
      </c>
      <c r="CC22" s="59">
        <f t="shared" si="11"/>
        <v>405.85838637126574</v>
      </c>
      <c r="CD22" s="59">
        <f ca="1">AVERAGE(OFFSET($CC$3,0,0,'Données projet'!$E$12+1,1))-AVERAGE(OFFSET($H$3,0,0,'Données projet'!$E$12+1,1))</f>
        <v>420.4890915162182</v>
      </c>
      <c r="CE22" s="59">
        <f t="shared" si="40"/>
        <v>553.48432338023565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33.484980712924944</v>
      </c>
      <c r="CN22" s="22">
        <f t="shared" si="12"/>
        <v>33.484980712924944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16</v>
      </c>
      <c r="CT22" s="12">
        <f>IF('Données projet'!$A$140&gt;35,CT21+CS22-DB21,IF(A22&lt;'Données projet'!$A$140,$CQ$205^A22,IF(A22='Données projet'!$A$140,'Données projet'!$B$140,CT21+CS22-DB21)))</f>
        <v>107</v>
      </c>
      <c r="CU22" s="17">
        <f>CT22*VLOOKUP('Données projet'!$B$13,Paramètres!$A$1:$I$89,3,0)*VLOOKUP('Données projet'!$B$13,Paramètres!$A$1:$I$89,5,0)</f>
        <v>78.452399999999997</v>
      </c>
      <c r="CV22" s="13">
        <f t="shared" si="41"/>
        <v>21.75835875604599</v>
      </c>
      <c r="CW22" s="20">
        <f t="shared" si="13"/>
        <v>174.53373816678013</v>
      </c>
      <c r="CX22" s="59">
        <f t="shared" si="14"/>
        <v>388.68583240980365</v>
      </c>
      <c r="CY22" s="59">
        <f ca="1">AVERAGE(OFFSET($CX$3,0,0,'Données projet'!$E$13+1,1))-AVERAGE(OFFSET($H$3,0,0,'Données projet'!$E$13+1,1))</f>
        <v>400.48995908576177</v>
      </c>
      <c r="CZ22" s="59">
        <f t="shared" si="42"/>
        <v>384.86917865380076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16</v>
      </c>
      <c r="DO22" s="12">
        <f>IF('Données projet'!$A$166&gt;35,DO21+DN22-DW21,IF(A22&lt;'Données projet'!$A$166,$DL$205^A22,IF(A22='Données projet'!$A$166,'Données projet'!$B$166,DO21+DN22-DW21)))</f>
        <v>107</v>
      </c>
      <c r="DP22" s="17">
        <f>DO22*VLOOKUP('Données projet'!$B$14,Paramètres!$A$1:$I$89,3,0)*VLOOKUP('Données projet'!$B$14,Paramètres!$A$1:$I$89,5,0)</f>
        <v>85.129199999999997</v>
      </c>
      <c r="DQ22" s="13">
        <f t="shared" si="43"/>
        <v>23.386728480923388</v>
      </c>
      <c r="DR22" s="20">
        <f t="shared" si="16"/>
        <v>188.99857543760822</v>
      </c>
      <c r="DS22" s="59">
        <f t="shared" si="17"/>
        <v>403.15066968063172</v>
      </c>
      <c r="DT22" s="59">
        <f ca="1">AVERAGE(OFFSET($DS$3,0,0,'Données projet'!$E$14+1,1))-AVERAGE(OFFSET($H$3,0,0,'Données projet'!$E$14+1,1))</f>
        <v>429.30603040255431</v>
      </c>
      <c r="DU22" s="59">
        <f t="shared" si="44"/>
        <v>412.18613903804726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6.1538461538461533</v>
      </c>
      <c r="EJ22" s="12">
        <f>IF('Données projet'!$A$192&gt;35,EJ21+EI22-ER21,IF(A22&lt;'Données projet'!$A$192,$EG$205^A22,IF(A22='Données projet'!$A$192,'Données projet'!$B$192,EJ21+EI22-ER21)))</f>
        <v>48.333333333333329</v>
      </c>
      <c r="EK22" s="17">
        <f>EJ22*VLOOKUP('Données projet'!$B$15,Paramètres!$A$1:$I$89,3,0)*VLOOKUP('Données projet'!$B$15,Paramètres!$A$1:$I$89,5,0)</f>
        <v>37.699999999999996</v>
      </c>
      <c r="EL22" s="13">
        <f t="shared" si="45"/>
        <v>11.386946545346296</v>
      </c>
      <c r="EM22" s="20">
        <f t="shared" si="19"/>
        <v>85.493098566478125</v>
      </c>
      <c r="EN22" s="59">
        <f t="shared" si="20"/>
        <v>299.64519280950162</v>
      </c>
      <c r="EO22" s="59">
        <f ca="1">AVERAGE(OFFSET($EN$3,0,0,'Données projet'!$E$15+1,1))-AVERAGE(OFFSET($H$3,0,0,'Données projet'!$E$15+1,1))</f>
        <v>217.53602321474159</v>
      </c>
      <c r="EP22" s="59">
        <f t="shared" si="46"/>
        <v>215.75909414893025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4.0628205133333335</v>
      </c>
      <c r="FE22" s="12">
        <f>IF('Données projet'!$A$218&gt;35,FE21+FD22-FM21,IF(A22&lt;'Données projet'!$A$218,$FB$205^A22,IF(A22='Données projet'!$A$218,'Données projet'!$B$218,FE21+FD22-FM21)))</f>
        <v>20.945993502264844</v>
      </c>
      <c r="FF22" s="17">
        <f>FE22*VLOOKUP('Données projet'!$B$16,Paramètres!$A$1:$I$89,3,0)*VLOOKUP('Données projet'!$B$16,Paramètres!$A$1:$I$89,5,0)</f>
        <v>14.050572441319257</v>
      </c>
      <c r="FG22" s="13">
        <f t="shared" si="47"/>
        <v>4.7605211561147769</v>
      </c>
      <c r="FH22" s="20">
        <f t="shared" si="22"/>
        <v>32.762654682197606</v>
      </c>
      <c r="FI22" s="59">
        <f t="shared" si="23"/>
        <v>246.91474892522115</v>
      </c>
      <c r="FJ22" s="59">
        <f ca="1">AVERAGE(OFFSET($FI$3,0,0,'Données projet'!$E$16+1,1))-AVERAGE(OFFSET($H$3,0,0,'Données projet'!$E$16+1,1))</f>
        <v>441.20130048888439</v>
      </c>
      <c r="FK22" s="59">
        <f t="shared" si="48"/>
        <v>237.47732532183946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10.199999999999999</v>
      </c>
      <c r="FZ22" s="12">
        <f>IF('Données projet'!$A$244&gt;35,FZ21+FY22-GH21,IF(A22&lt;'Données projet'!$A$244,$FW$205^A22,IF(A22='Données projet'!$A$244,'Données projet'!$B$244,FZ21+FY22-GH21)))</f>
        <v>73.800000000000011</v>
      </c>
      <c r="GA22" s="17">
        <f>FZ22*VLOOKUP('Données projet'!$B$17,Paramètres!$A$1:$I$89,3,0)*VLOOKUP('Données projet'!$B$17,Paramètres!$A$1:$I$89,5,0)</f>
        <v>48.353760000000008</v>
      </c>
      <c r="GB22" s="13">
        <f t="shared" si="49"/>
        <v>14.187786165449609</v>
      </c>
      <c r="GC22" s="20">
        <f t="shared" si="25"/>
        <v>108.92652623815808</v>
      </c>
      <c r="GD22" s="59">
        <f t="shared" si="26"/>
        <v>323.07862048118159</v>
      </c>
      <c r="GE22" s="59">
        <f ca="1">AVERAGE(OFFSET($GD$3,0,0,'Données projet'!$E$17+1,1))-AVERAGE(OFFSET($H$3,0,0,'Données projet'!$E$17+1,1))</f>
        <v>257.66104339896992</v>
      </c>
      <c r="GF22" s="59">
        <f t="shared" si="50"/>
        <v>254.79488636184996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5.4</v>
      </c>
      <c r="GU22" s="12">
        <f>IF('Données projet'!$A$270&gt;35,GU21+GT22-HC21,IF(A22&lt;'Données projet'!$A$270,$GR$205^A22,IF(A22='Données projet'!$A$270,'Données projet'!$B$270,GU21+GT22-HC21)))</f>
        <v>63.599999999999994</v>
      </c>
      <c r="GV22" s="17">
        <f>GU22*VLOOKUP('Données projet'!$B$18,Paramètres!$A$1:$I$89,3,0)*VLOOKUP('Données projet'!$B$18,Paramètres!$A$1:$I$89,5,0)</f>
        <v>51.592319999999994</v>
      </c>
      <c r="GW22" s="13">
        <f t="shared" si="51"/>
        <v>15.024229944049157</v>
      </c>
      <c r="GX22" s="20">
        <f t="shared" si="28"/>
        <v>116.0238244858856</v>
      </c>
      <c r="GY22" s="59">
        <f t="shared" si="29"/>
        <v>330.1759187289091</v>
      </c>
      <c r="GZ22" s="59">
        <f ca="1">AVERAGE(OFFSET($GY$3,0,0,'Données projet'!$E$18+1,1))-AVERAGE(OFFSET($H$3,0,0,'Données projet'!$E$18+1,1))</f>
        <v>299.98377156721153</v>
      </c>
      <c r="HA22" s="59">
        <f t="shared" si="52"/>
        <v>241.36164657721102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4.0628205133333335</v>
      </c>
      <c r="N23" s="13">
        <f>IF('Données projet'!$A$36&gt;35,N22+M23-V22,IF(A23&lt;'Données projet'!$A$36,$K$205^A23,IF(A23='Données projet'!$A$36,'Données projet'!$B$36,N22+M23-V22)))</f>
        <v>24.582870547719438</v>
      </c>
      <c r="O23" s="13">
        <f>N23*VLOOKUP('Données projet'!$B$9,Paramètres!$A$1:$I$89,3,0)*VLOOKUP('Données projet'!$B$9,Paramètres!$A$1:$I$89,5,0)</f>
        <v>22.242581271576544</v>
      </c>
      <c r="P23" s="13">
        <f t="shared" si="33"/>
        <v>7.1437277537623007</v>
      </c>
      <c r="Q23" s="20">
        <f t="shared" si="2"/>
        <v>51.181154885798492</v>
      </c>
      <c r="R23" s="59">
        <f t="shared" si="0"/>
        <v>267.69585777269424</v>
      </c>
      <c r="S23" s="59">
        <f ca="1">AVERAGE(OFFSET($R$3,0,0,'Données projet'!$E$9+1,1))-AVERAGE(OFFSET($H$3,0,0,'Données projet'!$E$9+1,1))</f>
        <v>567.42635821507474</v>
      </c>
      <c r="T23" s="59">
        <f t="shared" si="34"/>
        <v>299.04735309930152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56</v>
      </c>
      <c r="AG23" s="12">
        <f>VLOOKUP(A23,'Données projet'!$A$61:$I$81,9,0)</f>
        <v>2.8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56</v>
      </c>
      <c r="AJ23" s="13">
        <f>AI23*VLOOKUP('Données projet'!$B$10,Paramètres!$A$1:$I$89,3,0)*VLOOKUP('Données projet'!$B$10,Paramètres!$A$1:$I$89,5,0)</f>
        <v>48.048000000000009</v>
      </c>
      <c r="AK23" s="13">
        <f t="shared" si="35"/>
        <v>14.108484750160622</v>
      </c>
      <c r="AL23" s="20">
        <f t="shared" si="4"/>
        <v>108.25587760652975</v>
      </c>
      <c r="AM23" s="59">
        <f t="shared" si="5"/>
        <v>324.77058049342548</v>
      </c>
      <c r="AN23" s="59">
        <f ca="1">AVERAGE(OFFSET($AM$3,0,0,'Données projet'!$E$10+1,1))-AVERAGE(OFFSET($H$3,0,0,'Données projet'!$E$10+1,1))</f>
        <v>569.97793593332699</v>
      </c>
      <c r="AO23" s="59">
        <f t="shared" si="36"/>
        <v>331.25104323342907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19.166666666666668</v>
      </c>
      <c r="BD23" s="12">
        <f>IF('Données projet'!$A$88&gt;35,BD22+BC23-BL22,IF(A23&lt;'Données projet'!$A$88,$BA$205^A23,IF(A23='Données projet'!$A$88,'Données projet'!$B$88,BD22+BC23-BL22)))</f>
        <v>162.33333333333337</v>
      </c>
      <c r="BE23" s="13">
        <f>BD23*VLOOKUP('Données projet'!$B$11,Paramètres!$A$1:$I$89,3,0)*VLOOKUP('Données projet'!$B$11,Paramètres!$A$1:$I$89,5,0)</f>
        <v>88.634000000000015</v>
      </c>
      <c r="BF23" s="13">
        <f t="shared" si="37"/>
        <v>24.235486014796273</v>
      </c>
      <c r="BG23" s="20">
        <f t="shared" si="7"/>
        <v>196.58102147577017</v>
      </c>
      <c r="BH23" s="59">
        <f t="shared" si="8"/>
        <v>413.09572436266592</v>
      </c>
      <c r="BI23" s="59">
        <f ca="1">AVERAGE(OFFSET($BH$3,0,0,'Données projet'!$E$11+1,1))-AVERAGE(OFFSET($H$3,0,0,'Données projet'!$E$11+1,1))</f>
        <v>215.37314197175104</v>
      </c>
      <c r="BJ23" s="59">
        <f t="shared" si="38"/>
        <v>361.17630426655978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42.692111777844083</v>
      </c>
      <c r="BR23" s="21">
        <f>EXP(-LN(2)/2)*BR22+(1-EXP(-LN(2)/2))/(LN(2)/2)*BL23*BO23*VLOOKUP('Données projet'!$B$11,Paramètres!$A$1:$I$89,3,0)*0.475*44/12</f>
        <v>0.81138597021490355</v>
      </c>
      <c r="BS23" s="22">
        <f t="shared" si="9"/>
        <v>43.50349774805899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26.926666666666673</v>
      </c>
      <c r="BY23" s="12">
        <f>IF('Données projet'!$A$114&gt;35,BY22+BX23-CG22,IF(A23&lt;'Données projet'!$A$114,$BV$205^A23,IF(A23='Données projet'!$A$114,'Données projet'!$B$114,BY22+BX23-CG22)))</f>
        <v>181.45333333333335</v>
      </c>
      <c r="BZ23" s="13">
        <f>BY23*VLOOKUP('Données projet'!$B$12,Paramètres!$A$1:$I$89,3,0)*VLOOKUP('Données projet'!$B$12,Paramètres!$A$1:$I$89,5,0)</f>
        <v>101.43241333333334</v>
      </c>
      <c r="CA23" s="13">
        <f t="shared" si="39"/>
        <v>27.302967287299122</v>
      </c>
      <c r="CB23" s="20">
        <f t="shared" si="10"/>
        <v>224.21412124760153</v>
      </c>
      <c r="CC23" s="59">
        <f t="shared" si="11"/>
        <v>440.72882413449724</v>
      </c>
      <c r="CD23" s="59">
        <f ca="1">AVERAGE(OFFSET($CC$3,0,0,'Données projet'!$E$12+1,1))-AVERAGE(OFFSET($H$3,0,0,'Données projet'!$E$12+1,1))</f>
        <v>420.4890915162182</v>
      </c>
      <c r="CE23" s="59">
        <f t="shared" si="40"/>
        <v>553.48432338023565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23.677456930009985</v>
      </c>
      <c r="CN23" s="22">
        <f t="shared" si="12"/>
        <v>23.677456930009985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123</v>
      </c>
      <c r="CR23" s="12">
        <f>VLOOKUP(A23,'Données projet'!$A$139:$I$159,9,0)</f>
        <v>16</v>
      </c>
      <c r="CS23" s="12">
        <f t="array" ref="CS23">INDEX(CR:CR,MIN(IF(ISNUMBER(CR23:CR219),ROW(CR23:CR219),"")))</f>
        <v>16</v>
      </c>
      <c r="CT23" s="12">
        <f>IF('Données projet'!$A$140&gt;35,CT22+CS23-DB22,IF(A23&lt;'Données projet'!$A$140,$CQ$205^A23,IF(A23='Données projet'!$A$140,'Données projet'!$B$140,CT22+CS23-DB22)))</f>
        <v>123</v>
      </c>
      <c r="CU23" s="17">
        <f>CT23*VLOOKUP('Données projet'!$B$13,Paramètres!$A$1:$I$89,3,0)*VLOOKUP('Données projet'!$B$13,Paramètres!$A$1:$I$89,5,0)</f>
        <v>90.183599999999998</v>
      </c>
      <c r="CV23" s="13">
        <f t="shared" si="41"/>
        <v>24.609499639553789</v>
      </c>
      <c r="CW23" s="20">
        <f t="shared" si="13"/>
        <v>199.93131520555619</v>
      </c>
      <c r="CX23" s="59">
        <f t="shared" si="14"/>
        <v>416.44601809245194</v>
      </c>
      <c r="CY23" s="59">
        <f ca="1">AVERAGE(OFFSET($CX$3,0,0,'Données projet'!$E$13+1,1))-AVERAGE(OFFSET($H$3,0,0,'Données projet'!$E$13+1,1))</f>
        <v>400.48995908576177</v>
      </c>
      <c r="CZ23" s="59">
        <f t="shared" si="42"/>
        <v>384.86917865380076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42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123</v>
      </c>
      <c r="DM23" s="12">
        <f>VLOOKUP(A23,'Données projet'!$A$165:$I$185,9,0)</f>
        <v>16</v>
      </c>
      <c r="DN23" s="12">
        <f t="array" ref="DN23">INDEX(DM:DM,MIN(IF(ISNUMBER(DM23:DM219),ROW(DM23:DM219),"")))</f>
        <v>16</v>
      </c>
      <c r="DO23" s="12">
        <f>IF('Données projet'!$A$166&gt;35,DO22+DN23-DW22,IF(A23&lt;'Données projet'!$A$166,$DL$205^A23,IF(A23='Données projet'!$A$166,'Données projet'!$B$166,DO22+DN23-DW22)))</f>
        <v>123</v>
      </c>
      <c r="DP23" s="17">
        <f>DO23*VLOOKUP('Données projet'!$B$14,Paramètres!$A$1:$I$89,3,0)*VLOOKUP('Données projet'!$B$14,Paramètres!$A$1:$I$89,5,0)</f>
        <v>97.858800000000016</v>
      </c>
      <c r="DQ23" s="13">
        <f t="shared" si="43"/>
        <v>26.45124536158788</v>
      </c>
      <c r="DR23" s="20">
        <f t="shared" si="16"/>
        <v>216.50666233809889</v>
      </c>
      <c r="DS23" s="59">
        <f t="shared" si="17"/>
        <v>433.02136522499461</v>
      </c>
      <c r="DT23" s="59">
        <f ca="1">AVERAGE(OFFSET($DS$3,0,0,'Données projet'!$E$14+1,1))-AVERAGE(OFFSET($H$3,0,0,'Données projet'!$E$14+1,1))</f>
        <v>429.30603040255431</v>
      </c>
      <c r="DU23" s="59">
        <f t="shared" si="44"/>
        <v>412.18613903804726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42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54.487179487179482</v>
      </c>
      <c r="EH23" s="12">
        <f>VLOOKUP(A23,'Données projet'!$A$191:$I$211,9,0)</f>
        <v>6.1538461538461533</v>
      </c>
      <c r="EI23" s="12">
        <f t="array" ref="EI23">INDEX(EH:EH,MIN(IF(ISNUMBER(EH23:EH219),ROW(EH23:EH219),"")))</f>
        <v>6.1538461538461533</v>
      </c>
      <c r="EJ23" s="12">
        <f>IF('Données projet'!$A$192&gt;35,EJ22+EI23-ER22,IF(A23&lt;'Données projet'!$A$192,$EG$205^A23,IF(A23='Données projet'!$A$192,'Données projet'!$B$192,EJ22+EI23-ER22)))</f>
        <v>54.487179487179482</v>
      </c>
      <c r="EK23" s="17">
        <f>EJ23*VLOOKUP('Données projet'!$B$15,Paramètres!$A$1:$I$89,3,0)*VLOOKUP('Données projet'!$B$15,Paramètres!$A$1:$I$89,5,0)</f>
        <v>42.5</v>
      </c>
      <c r="EL23" s="13">
        <f t="shared" si="45"/>
        <v>12.658916157662103</v>
      </c>
      <c r="EM23" s="20">
        <f t="shared" si="19"/>
        <v>96.068445641261476</v>
      </c>
      <c r="EN23" s="59">
        <f t="shared" si="20"/>
        <v>312.58314852815721</v>
      </c>
      <c r="EO23" s="59">
        <f ca="1">AVERAGE(OFFSET($EN$3,0,0,'Données projet'!$E$15+1,1))-AVERAGE(OFFSET($H$3,0,0,'Données projet'!$E$15+1,1))</f>
        <v>217.53602321474159</v>
      </c>
      <c r="EP23" s="59">
        <f t="shared" si="46"/>
        <v>215.75909414893025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16.025641025641026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4.0628205133333335</v>
      </c>
      <c r="FE23" s="12">
        <f>IF('Données projet'!$A$218&gt;35,FE22+FD23-FM22,IF(A23&lt;'Données projet'!$A$218,$FB$205^A23,IF(A23='Données projet'!$A$218,'Données projet'!$B$218,FE22+FD23-FM22)))</f>
        <v>24.582870547719438</v>
      </c>
      <c r="FF23" s="17">
        <f>FE23*VLOOKUP('Données projet'!$B$16,Paramètres!$A$1:$I$89,3,0)*VLOOKUP('Données projet'!$B$16,Paramètres!$A$1:$I$89,5,0)</f>
        <v>16.490189563410198</v>
      </c>
      <c r="FG23" s="13">
        <f t="shared" si="47"/>
        <v>5.4839394069610297</v>
      </c>
      <c r="FH23" s="20">
        <f t="shared" si="22"/>
        <v>38.271607956729881</v>
      </c>
      <c r="FI23" s="59">
        <f t="shared" si="23"/>
        <v>254.78631084362559</v>
      </c>
      <c r="FJ23" s="59">
        <f ca="1">AVERAGE(OFFSET($FI$3,0,0,'Données projet'!$E$16+1,1))-AVERAGE(OFFSET($H$3,0,0,'Données projet'!$E$16+1,1))</f>
        <v>441.20130048888439</v>
      </c>
      <c r="FK23" s="59">
        <f t="shared" si="48"/>
        <v>237.47732532183946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84</v>
      </c>
      <c r="FX23" s="12">
        <f>VLOOKUP(A23,'Données projet'!$A$243:$I$263,9,0)</f>
        <v>10.199999999999999</v>
      </c>
      <c r="FY23" s="12">
        <f t="array" ref="FY23">INDEX(FX:FX,MIN(IF(ISNUMBER(FX23:FX219),ROW(FX23:FX219),"")))</f>
        <v>10.199999999999999</v>
      </c>
      <c r="FZ23" s="12">
        <f>IF('Données projet'!$A$244&gt;35,FZ22+FY23-GH22,IF(A23&lt;'Données projet'!$A$244,$FW$205^A23,IF(A23='Données projet'!$A$244,'Données projet'!$B$244,FZ22+FY23-GH22)))</f>
        <v>84.000000000000014</v>
      </c>
      <c r="GA23" s="17">
        <f>FZ23*VLOOKUP('Données projet'!$B$17,Paramètres!$A$1:$I$89,3,0)*VLOOKUP('Données projet'!$B$17,Paramètres!$A$1:$I$89,5,0)</f>
        <v>55.036800000000007</v>
      </c>
      <c r="GB23" s="13">
        <f t="shared" si="49"/>
        <v>15.907180538864345</v>
      </c>
      <c r="GC23" s="20">
        <f t="shared" si="25"/>
        <v>123.56076610518875</v>
      </c>
      <c r="GD23" s="59">
        <f t="shared" si="26"/>
        <v>340.07546899208444</v>
      </c>
      <c r="GE23" s="59">
        <f ca="1">AVERAGE(OFFSET($GD$3,0,0,'Données projet'!$E$17+1,1))-AVERAGE(OFFSET($H$3,0,0,'Données projet'!$E$17+1,1))</f>
        <v>257.66104339896992</v>
      </c>
      <c r="GF23" s="59">
        <f t="shared" si="50"/>
        <v>254.79488636184996</v>
      </c>
      <c r="GG23" s="15">
        <f>IF(ISNA(VLOOKUP(A23,'Données projet'!$A$243:$I$263,3,0)),0,VLOOKUP(A23,'Données projet'!$A$243:$I$263,3,0))</f>
        <v>3</v>
      </c>
      <c r="GH23" s="15">
        <f>IF(ISNA(VLOOKUP(A23,'Données projet'!$A$243:$I$263,4,0)),0,VLOOKUP(A23,'Données projet'!$A$243:$I$263,4,0))</f>
        <v>9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69</v>
      </c>
      <c r="GS23" s="12">
        <f>VLOOKUP(A23,'Données projet'!$A$269:$I$289,9,0)</f>
        <v>5.4</v>
      </c>
      <c r="GT23" s="12">
        <f t="array" ref="GT23">INDEX(GS:GS,MIN(IF(ISNUMBER(GS23:GS219),ROW(GS23:GS219),"")))</f>
        <v>5.4</v>
      </c>
      <c r="GU23" s="12">
        <f>IF('Données projet'!$A$270&gt;35,GU22+GT23-HC22,IF(A23&lt;'Données projet'!$A$270,$GR$205^A23,IF(A23='Données projet'!$A$270,'Données projet'!$B$270,GU22+GT23-HC22)))</f>
        <v>69</v>
      </c>
      <c r="GV23" s="17">
        <f>GU23*VLOOKUP('Données projet'!$B$18,Paramètres!$A$1:$I$89,3,0)*VLOOKUP('Données projet'!$B$18,Paramètres!$A$1:$I$89,5,0)</f>
        <v>55.972800000000007</v>
      </c>
      <c r="GW23" s="13">
        <f t="shared" si="51"/>
        <v>16.145985978099571</v>
      </c>
      <c r="GX23" s="20">
        <f t="shared" si="28"/>
        <v>125.60688557852342</v>
      </c>
      <c r="GY23" s="59">
        <f t="shared" si="29"/>
        <v>342.12158846541911</v>
      </c>
      <c r="GZ23" s="59">
        <f ca="1">AVERAGE(OFFSET($GY$3,0,0,'Données projet'!$E$18+1,1))-AVERAGE(OFFSET($H$3,0,0,'Données projet'!$E$18+1,1))</f>
        <v>299.98377156721153</v>
      </c>
      <c r="HA23" s="59">
        <f t="shared" si="52"/>
        <v>241.36164657721102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15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4.0628205133333335</v>
      </c>
      <c r="N24" s="13">
        <f>IF('Données projet'!$A$36&gt;35,N23+M24-V23,IF(A24&lt;'Données projet'!$A$36,$K$205^A24,IF(A24='Données projet'!$A$36,'Données projet'!$B$36,N23+M24-V23)))</f>
        <v>28.851222755348811</v>
      </c>
      <c r="O24" s="13">
        <f>N24*VLOOKUP('Données projet'!$B$9,Paramètres!$A$1:$I$89,3,0)*VLOOKUP('Données projet'!$B$9,Paramètres!$A$1:$I$89,5,0)</f>
        <v>26.104586349039607</v>
      </c>
      <c r="P24" s="13">
        <f t="shared" si="33"/>
        <v>8.2293028130203645</v>
      </c>
      <c r="Q24" s="20">
        <f t="shared" si="2"/>
        <v>59.79819029058779</v>
      </c>
      <c r="R24" s="59">
        <f t="shared" si="0"/>
        <v>278.65571866646218</v>
      </c>
      <c r="S24" s="59">
        <f ca="1">AVERAGE(OFFSET($R$3,0,0,'Données projet'!$E$9+1,1))-AVERAGE(OFFSET($H$3,0,0,'Données projet'!$E$9+1,1))</f>
        <v>567.42635821507474</v>
      </c>
      <c r="T24" s="59">
        <f t="shared" si="34"/>
        <v>299.04735309930152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</v>
      </c>
      <c r="AI24" s="13">
        <f>IF('Données projet'!$A$62&gt;35,AI23+AH24-AQ23,IF(A24&lt;'Données projet'!$A$62,$AF$205^A24,IF(A24='Données projet'!$A$62,'Données projet'!$B$62,AI23+AH24-AQ23)))</f>
        <v>67</v>
      </c>
      <c r="AJ24" s="13">
        <f>AI24*VLOOKUP('Données projet'!$B$10,Paramètres!$A$1:$I$89,3,0)*VLOOKUP('Données projet'!$B$10,Paramètres!$A$1:$I$89,5,0)</f>
        <v>57.486000000000004</v>
      </c>
      <c r="AK24" s="13">
        <f t="shared" si="35"/>
        <v>16.531076211754396</v>
      </c>
      <c r="AL24" s="20">
        <f t="shared" si="4"/>
        <v>128.9130744021389</v>
      </c>
      <c r="AM24" s="59">
        <f t="shared" si="5"/>
        <v>347.77060277801331</v>
      </c>
      <c r="AN24" s="59">
        <f ca="1">AVERAGE(OFFSET($AM$3,0,0,'Données projet'!$E$10+1,1))-AVERAGE(OFFSET($H$3,0,0,'Données projet'!$E$10+1,1))</f>
        <v>569.97793593332699</v>
      </c>
      <c r="AO24" s="59">
        <f t="shared" si="36"/>
        <v>331.25104323342907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19.166666666666668</v>
      </c>
      <c r="BD24" s="12">
        <f>IF('Données projet'!$A$88&gt;35,BD23+BC24-BL23,IF(A24&lt;'Données projet'!$A$88,$BA$205^A24,IF(A24='Données projet'!$A$88,'Données projet'!$B$88,BD23+BC24-BL23)))</f>
        <v>181.50000000000003</v>
      </c>
      <c r="BE24" s="13">
        <f>BD24*VLOOKUP('Données projet'!$B$11,Paramètres!$A$1:$I$89,3,0)*VLOOKUP('Données projet'!$B$11,Paramètres!$A$1:$I$89,5,0)</f>
        <v>99.099000000000004</v>
      </c>
      <c r="BF24" s="13">
        <f t="shared" si="37"/>
        <v>26.747233784597075</v>
      </c>
      <c r="BG24" s="20">
        <f t="shared" si="7"/>
        <v>219.18219050817322</v>
      </c>
      <c r="BH24" s="59">
        <f t="shared" si="8"/>
        <v>438.0397188840476</v>
      </c>
      <c r="BI24" s="59">
        <f ca="1">AVERAGE(OFFSET($BH$3,0,0,'Données projet'!$E$11+1,1))-AVERAGE(OFFSET($H$3,0,0,'Données projet'!$E$11+1,1))</f>
        <v>215.37314197175104</v>
      </c>
      <c r="BJ24" s="59">
        <f t="shared" si="38"/>
        <v>361.17630426655978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41.524693736198351</v>
      </c>
      <c r="BR24" s="21">
        <f>EXP(-LN(2)/2)*BR23+(1-EXP(-LN(2)/2))/(LN(2)/2)*BL24*BO24*VLOOKUP('Données projet'!$B$11,Paramètres!$A$1:$I$89,3,0)*0.475*44/12</f>
        <v>0.57373652169858436</v>
      </c>
      <c r="BS24" s="22">
        <f t="shared" si="9"/>
        <v>42.098430257896936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26.926666666666673</v>
      </c>
      <c r="BY24" s="12">
        <f>IF('Données projet'!$A$114&gt;35,BY23+BX24-CG23,IF(A24&lt;'Données projet'!$A$114,$BV$205^A24,IF(A24='Données projet'!$A$114,'Données projet'!$B$114,BY23+BX24-CG23)))</f>
        <v>208.38000000000002</v>
      </c>
      <c r="BZ24" s="13">
        <f>BY24*VLOOKUP('Données projet'!$B$12,Paramètres!$A$1:$I$89,3,0)*VLOOKUP('Données projet'!$B$12,Paramètres!$A$1:$I$89,5,0)</f>
        <v>116.48442000000001</v>
      </c>
      <c r="CA24" s="13">
        <f t="shared" si="39"/>
        <v>30.853634445731519</v>
      </c>
      <c r="CB24" s="20">
        <f t="shared" si="10"/>
        <v>256.61377815964903</v>
      </c>
      <c r="CC24" s="59">
        <f t="shared" si="11"/>
        <v>475.47130653552341</v>
      </c>
      <c r="CD24" s="59">
        <f ca="1">AVERAGE(OFFSET($CC$3,0,0,'Données projet'!$E$12+1,1))-AVERAGE(OFFSET($H$3,0,0,'Données projet'!$E$12+1,1))</f>
        <v>420.4890915162182</v>
      </c>
      <c r="CE24" s="59">
        <f t="shared" si="40"/>
        <v>553.48432338023565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16.742490356462476</v>
      </c>
      <c r="CN24" s="22">
        <f t="shared" si="12"/>
        <v>16.742490356462476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16.8</v>
      </c>
      <c r="CT24" s="12">
        <f>IF('Données projet'!$A$140&gt;35,CT23+CS24-DB23,IF(A24&lt;'Données projet'!$A$140,$CQ$205^A24,IF(A24='Données projet'!$A$140,'Données projet'!$B$140,CT23+CS24-DB23)))</f>
        <v>97.800000000000011</v>
      </c>
      <c r="CU24" s="17">
        <f>CT24*VLOOKUP('Données projet'!$B$13,Paramètres!$A$1:$I$89,3,0)*VLOOKUP('Données projet'!$B$13,Paramètres!$A$1:$I$89,5,0)</f>
        <v>71.706960000000009</v>
      </c>
      <c r="CV24" s="13">
        <f t="shared" si="41"/>
        <v>20.096759687088312</v>
      </c>
      <c r="CW24" s="20">
        <f t="shared" si="13"/>
        <v>159.89147845501216</v>
      </c>
      <c r="CX24" s="59">
        <f t="shared" si="14"/>
        <v>378.74900683088651</v>
      </c>
      <c r="CY24" s="59">
        <f ca="1">AVERAGE(OFFSET($CX$3,0,0,'Données projet'!$E$13+1,1))-AVERAGE(OFFSET($H$3,0,0,'Données projet'!$E$13+1,1))</f>
        <v>400.48995908576177</v>
      </c>
      <c r="CZ24" s="59">
        <f t="shared" si="42"/>
        <v>384.86917865380076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16.8</v>
      </c>
      <c r="DO24" s="12">
        <f>IF('Données projet'!$A$166&gt;35,DO23+DN24-DW23,IF(A24&lt;'Données projet'!$A$166,$DL$205^A24,IF(A24='Données projet'!$A$166,'Données projet'!$B$166,DO23+DN24-DW23)))</f>
        <v>97.800000000000011</v>
      </c>
      <c r="DP24" s="17">
        <f>DO24*VLOOKUP('Données projet'!$B$14,Paramètres!$A$1:$I$89,3,0)*VLOOKUP('Données projet'!$B$14,Paramètres!$A$1:$I$89,5,0)</f>
        <v>77.809680000000014</v>
      </c>
      <c r="DQ24" s="13">
        <f t="shared" si="43"/>
        <v>21.600777311280577</v>
      </c>
      <c r="DR24" s="20">
        <f t="shared" si="16"/>
        <v>173.13987981714703</v>
      </c>
      <c r="DS24" s="59">
        <f t="shared" si="17"/>
        <v>391.99740819302144</v>
      </c>
      <c r="DT24" s="59">
        <f ca="1">AVERAGE(OFFSET($DS$3,0,0,'Données projet'!$E$14+1,1))-AVERAGE(OFFSET($H$3,0,0,'Données projet'!$E$14+1,1))</f>
        <v>429.30603040255431</v>
      </c>
      <c r="DU24" s="59">
        <f t="shared" si="44"/>
        <v>412.18613903804726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6.7948717948717956</v>
      </c>
      <c r="EJ24" s="12">
        <f>IF('Données projet'!$A$192&gt;35,EJ23+EI24-ER23,IF(A24&lt;'Données projet'!$A$192,$EG$205^A24,IF(A24='Données projet'!$A$192,'Données projet'!$B$192,EJ23+EI24-ER23)))</f>
        <v>45.256410256410248</v>
      </c>
      <c r="EK24" s="17">
        <f>EJ24*VLOOKUP('Données projet'!$B$15,Paramètres!$A$1:$I$89,3,0)*VLOOKUP('Données projet'!$B$15,Paramètres!$A$1:$I$89,5,0)</f>
        <v>35.299999999999997</v>
      </c>
      <c r="EL24" s="13">
        <f t="shared" si="45"/>
        <v>10.743994925779599</v>
      </c>
      <c r="EM24" s="20">
        <f t="shared" si="19"/>
        <v>80.193291162399461</v>
      </c>
      <c r="EN24" s="59">
        <f t="shared" si="20"/>
        <v>299.05081953827386</v>
      </c>
      <c r="EO24" s="59">
        <f ca="1">AVERAGE(OFFSET($EN$3,0,0,'Données projet'!$E$15+1,1))-AVERAGE(OFFSET($H$3,0,0,'Données projet'!$E$15+1,1))</f>
        <v>217.53602321474159</v>
      </c>
      <c r="EP24" s="59">
        <f t="shared" si="46"/>
        <v>215.75909414893025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4.0628205133333335</v>
      </c>
      <c r="FE24" s="12">
        <f>IF('Données projet'!$A$218&gt;35,FE23+FD24-FM23,IF(A24&lt;'Données projet'!$A$218,$FB$205^A24,IF(A24='Données projet'!$A$218,'Données projet'!$B$218,FE23+FD24-FM23)))</f>
        <v>28.851222755348811</v>
      </c>
      <c r="FF24" s="17">
        <f>FE24*VLOOKUP('Données projet'!$B$16,Paramètres!$A$1:$I$89,3,0)*VLOOKUP('Données projet'!$B$16,Paramètres!$A$1:$I$89,5,0)</f>
        <v>19.353400224287981</v>
      </c>
      <c r="FG24" s="13">
        <f t="shared" si="47"/>
        <v>6.3172897321528065</v>
      </c>
      <c r="FH24" s="20">
        <f t="shared" si="22"/>
        <v>44.709785007467708</v>
      </c>
      <c r="FI24" s="59">
        <f t="shared" si="23"/>
        <v>263.56731338334208</v>
      </c>
      <c r="FJ24" s="59">
        <f ca="1">AVERAGE(OFFSET($FI$3,0,0,'Données projet'!$E$16+1,1))-AVERAGE(OFFSET($H$3,0,0,'Données projet'!$E$16+1,1))</f>
        <v>441.20130048888439</v>
      </c>
      <c r="FK24" s="59">
        <f t="shared" si="48"/>
        <v>237.47732532183946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8.1999999999999993</v>
      </c>
      <c r="FZ24" s="12">
        <f>IF('Données projet'!$A$244&gt;35,FZ23+FY24-GH23,IF(A24&lt;'Données projet'!$A$244,$FW$205^A24,IF(A24='Données projet'!$A$244,'Données projet'!$B$244,FZ23+FY24-GH23)))</f>
        <v>83.200000000000017</v>
      </c>
      <c r="GA24" s="17">
        <f>FZ24*VLOOKUP('Données projet'!$B$17,Paramètres!$A$1:$I$89,3,0)*VLOOKUP('Données projet'!$B$17,Paramètres!$A$1:$I$89,5,0)</f>
        <v>54.512640000000005</v>
      </c>
      <c r="GB24" s="13">
        <f t="shared" si="49"/>
        <v>15.773243364716285</v>
      </c>
      <c r="GC24" s="20">
        <f t="shared" si="25"/>
        <v>122.41458019354752</v>
      </c>
      <c r="GD24" s="59">
        <f t="shared" si="26"/>
        <v>341.2721085694219</v>
      </c>
      <c r="GE24" s="59">
        <f ca="1">AVERAGE(OFFSET($GD$3,0,0,'Données projet'!$E$17+1,1))-AVERAGE(OFFSET($H$3,0,0,'Données projet'!$E$17+1,1))</f>
        <v>257.66104339896992</v>
      </c>
      <c r="GF24" s="59">
        <f t="shared" si="50"/>
        <v>254.79488636184996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5.8</v>
      </c>
      <c r="GU24" s="12">
        <f>IF('Données projet'!$A$270&gt;35,GU23+GT24-HC23,IF(A24&lt;'Données projet'!$A$270,$GR$205^A24,IF(A24='Données projet'!$A$270,'Données projet'!$B$270,GU23+GT24-HC23)))</f>
        <v>59.8</v>
      </c>
      <c r="GV24" s="17">
        <f>GU24*VLOOKUP('Données projet'!$B$18,Paramètres!$A$1:$I$89,3,0)*VLOOKUP('Données projet'!$B$18,Paramètres!$A$1:$I$89,5,0)</f>
        <v>48.50976</v>
      </c>
      <c r="GW24" s="13">
        <f t="shared" si="51"/>
        <v>14.228223566336322</v>
      </c>
      <c r="GX24" s="20">
        <f t="shared" si="28"/>
        <v>109.26865471136909</v>
      </c>
      <c r="GY24" s="59">
        <f t="shared" si="29"/>
        <v>328.12618308724348</v>
      </c>
      <c r="GZ24" s="59">
        <f ca="1">AVERAGE(OFFSET($GY$3,0,0,'Données projet'!$E$18+1,1))-AVERAGE(OFFSET($H$3,0,0,'Données projet'!$E$18+1,1))</f>
        <v>299.98377156721153</v>
      </c>
      <c r="HA24" s="59">
        <f t="shared" si="52"/>
        <v>241.36164657721102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4.0628205133333335</v>
      </c>
      <c r="N25" s="13">
        <f>IF('Données projet'!$A$36&gt;35,N24+M25-V24,IF(A25&lt;'Données projet'!$A$36,$K$205^A25,IF(A25='Données projet'!$A$36,'Données projet'!$B$36,N24+M25-V24)))</f>
        <v>33.860693886946351</v>
      </c>
      <c r="O25" s="13">
        <f>N25*VLOOKUP('Données projet'!$B$9,Paramètres!$A$1:$I$89,3,0)*VLOOKUP('Données projet'!$B$9,Paramètres!$A$1:$I$89,5,0)</f>
        <v>30.637155828909059</v>
      </c>
      <c r="P25" s="13">
        <f t="shared" si="33"/>
        <v>9.4798440145929224</v>
      </c>
      <c r="Q25" s="20">
        <f t="shared" si="2"/>
        <v>69.870441394099274</v>
      </c>
      <c r="R25" s="59">
        <f t="shared" si="0"/>
        <v>291.05135529756768</v>
      </c>
      <c r="S25" s="59">
        <f ca="1">AVERAGE(OFFSET($R$3,0,0,'Données projet'!$E$9+1,1))-AVERAGE(OFFSET($H$3,0,0,'Données projet'!$E$9+1,1))</f>
        <v>567.42635821507474</v>
      </c>
      <c r="T25" s="59">
        <f t="shared" si="34"/>
        <v>299.04735309930152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</v>
      </c>
      <c r="AI25" s="13">
        <f>IF('Données projet'!$A$62&gt;35,AI24+AH25-AQ24,IF(A25&lt;'Données projet'!$A$62,$AF$205^A25,IF(A25='Données projet'!$A$62,'Données projet'!$B$62,AI24+AH25-AQ24)))</f>
        <v>78</v>
      </c>
      <c r="AJ25" s="13">
        <f>AI25*VLOOKUP('Données projet'!$B$10,Paramètres!$A$1:$I$89,3,0)*VLOOKUP('Données projet'!$B$10,Paramètres!$A$1:$I$89,5,0)</f>
        <v>66.924000000000007</v>
      </c>
      <c r="AK25" s="13">
        <f t="shared" si="35"/>
        <v>18.90759204786767</v>
      </c>
      <c r="AL25" s="20">
        <f t="shared" si="4"/>
        <v>149.49002281670286</v>
      </c>
      <c r="AM25" s="59">
        <f t="shared" si="5"/>
        <v>370.67093672017126</v>
      </c>
      <c r="AN25" s="59">
        <f ca="1">AVERAGE(OFFSET($AM$3,0,0,'Données projet'!$E$10+1,1))-AVERAGE(OFFSET($H$3,0,0,'Données projet'!$E$10+1,1))</f>
        <v>569.97793593332699</v>
      </c>
      <c r="AO25" s="59">
        <f t="shared" si="36"/>
        <v>331.25104323342907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19.166666666666668</v>
      </c>
      <c r="BD25" s="12">
        <f>IF('Données projet'!$A$88&gt;35,BD24+BC25-BL24,IF(A25&lt;'Données projet'!$A$88,$BA$205^A25,IF(A25='Données projet'!$A$88,'Données projet'!$B$88,BD24+BC25-BL24)))</f>
        <v>200.66666666666669</v>
      </c>
      <c r="BE25" s="13">
        <f>BD25*VLOOKUP('Données projet'!$B$11,Paramètres!$A$1:$I$89,3,0)*VLOOKUP('Données projet'!$B$11,Paramètres!$A$1:$I$89,5,0)</f>
        <v>109.56400000000001</v>
      </c>
      <c r="BF25" s="13">
        <f t="shared" si="37"/>
        <v>29.228235839881371</v>
      </c>
      <c r="BG25" s="20">
        <f t="shared" si="7"/>
        <v>241.72981075446003</v>
      </c>
      <c r="BH25" s="59">
        <f t="shared" si="8"/>
        <v>462.91072465792843</v>
      </c>
      <c r="BI25" s="59">
        <f ca="1">AVERAGE(OFFSET($BH$3,0,0,'Données projet'!$E$11+1,1))-AVERAGE(OFFSET($H$3,0,0,'Données projet'!$E$11+1,1))</f>
        <v>215.37314197175104</v>
      </c>
      <c r="BJ25" s="59">
        <f t="shared" si="38"/>
        <v>361.17630426655978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40.389198802293272</v>
      </c>
      <c r="BR25" s="21">
        <f>EXP(-LN(2)/2)*BR24+(1-EXP(-LN(2)/2))/(LN(2)/2)*BL25*BO25*VLOOKUP('Données projet'!$B$11,Paramètres!$A$1:$I$89,3,0)*0.475*44/12</f>
        <v>0.40569298510745178</v>
      </c>
      <c r="BS25" s="22">
        <f t="shared" si="9"/>
        <v>40.794891787400722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26.926666666666673</v>
      </c>
      <c r="BY25" s="12">
        <f>IF('Données projet'!$A$114&gt;35,BY24+BX25-CG24,IF(A25&lt;'Données projet'!$A$114,$BV$205^A25,IF(A25='Données projet'!$A$114,'Données projet'!$B$114,BY24+BX25-CG24)))</f>
        <v>235.3066666666667</v>
      </c>
      <c r="BZ25" s="13">
        <f>BY25*VLOOKUP('Données projet'!$B$12,Paramètres!$A$1:$I$89,3,0)*VLOOKUP('Données projet'!$B$12,Paramètres!$A$1:$I$89,5,0)</f>
        <v>131.5364266666667</v>
      </c>
      <c r="CA25" s="13">
        <f t="shared" si="39"/>
        <v>34.351139290423262</v>
      </c>
      <c r="CB25" s="20">
        <f t="shared" si="10"/>
        <v>288.92084404193173</v>
      </c>
      <c r="CC25" s="59">
        <f t="shared" si="11"/>
        <v>510.1017579454001</v>
      </c>
      <c r="CD25" s="59">
        <f ca="1">AVERAGE(OFFSET($CC$3,0,0,'Données projet'!$E$12+1,1))-AVERAGE(OFFSET($H$3,0,0,'Données projet'!$E$12+1,1))</f>
        <v>420.4890915162182</v>
      </c>
      <c r="CE25" s="59">
        <f t="shared" si="40"/>
        <v>553.48432338023565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11.838728465004994</v>
      </c>
      <c r="CN25" s="22">
        <f t="shared" si="12"/>
        <v>11.838728465004994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16.8</v>
      </c>
      <c r="CT25" s="12">
        <f>IF('Données projet'!$A$140&gt;35,CT24+CS25-DB24,IF(A25&lt;'Données projet'!$A$140,$CQ$205^A25,IF(A25='Données projet'!$A$140,'Données projet'!$B$140,CT24+CS25-DB24)))</f>
        <v>114.60000000000001</v>
      </c>
      <c r="CU25" s="17">
        <f>CT25*VLOOKUP('Données projet'!$B$13,Paramètres!$A$1:$I$89,3,0)*VLOOKUP('Données projet'!$B$13,Paramètres!$A$1:$I$89,5,0)</f>
        <v>84.024720000000002</v>
      </c>
      <c r="CV25" s="13">
        <f t="shared" si="41"/>
        <v>23.11842031654454</v>
      </c>
      <c r="CW25" s="20">
        <f t="shared" si="13"/>
        <v>186.6076360513151</v>
      </c>
      <c r="CX25" s="59">
        <f t="shared" si="14"/>
        <v>407.78854995478349</v>
      </c>
      <c r="CY25" s="59">
        <f ca="1">AVERAGE(OFFSET($CX$3,0,0,'Données projet'!$E$13+1,1))-AVERAGE(OFFSET($H$3,0,0,'Données projet'!$E$13+1,1))</f>
        <v>400.48995908576177</v>
      </c>
      <c r="CZ25" s="59">
        <f t="shared" si="42"/>
        <v>384.86917865380076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16.8</v>
      </c>
      <c r="DO25" s="12">
        <f>IF('Données projet'!$A$166&gt;35,DO24+DN25-DW24,IF(A25&lt;'Données projet'!$A$166,$DL$205^A25,IF(A25='Données projet'!$A$166,'Données projet'!$B$166,DO24+DN25-DW24)))</f>
        <v>114.60000000000001</v>
      </c>
      <c r="DP25" s="17">
        <f>DO25*VLOOKUP('Données projet'!$B$14,Paramètres!$A$1:$I$89,3,0)*VLOOKUP('Données projet'!$B$14,Paramètres!$A$1:$I$89,5,0)</f>
        <v>91.175760000000011</v>
      </c>
      <c r="DQ25" s="13">
        <f t="shared" si="43"/>
        <v>24.848575433138123</v>
      </c>
      <c r="DR25" s="20">
        <f t="shared" si="16"/>
        <v>202.07571754604893</v>
      </c>
      <c r="DS25" s="59">
        <f t="shared" si="17"/>
        <v>423.25663144951733</v>
      </c>
      <c r="DT25" s="59">
        <f ca="1">AVERAGE(OFFSET($DS$3,0,0,'Données projet'!$E$14+1,1))-AVERAGE(OFFSET($H$3,0,0,'Données projet'!$E$14+1,1))</f>
        <v>429.30603040255431</v>
      </c>
      <c r="DU25" s="59">
        <f t="shared" si="44"/>
        <v>412.18613903804726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6.7948717948717956</v>
      </c>
      <c r="EJ25" s="12">
        <f>IF('Données projet'!$A$192&gt;35,EJ24+EI25-ER24,IF(A25&lt;'Données projet'!$A$192,$EG$205^A25,IF(A25='Données projet'!$A$192,'Données projet'!$B$192,EJ24+EI25-ER24)))</f>
        <v>52.051282051282044</v>
      </c>
      <c r="EK25" s="17">
        <f>EJ25*VLOOKUP('Données projet'!$B$15,Paramètres!$A$1:$I$89,3,0)*VLOOKUP('Données projet'!$B$15,Paramètres!$A$1:$I$89,5,0)</f>
        <v>40.599999999999994</v>
      </c>
      <c r="EL25" s="13">
        <f t="shared" si="45"/>
        <v>12.15753890842374</v>
      </c>
      <c r="EM25" s="20">
        <f t="shared" si="19"/>
        <v>91.886046932171325</v>
      </c>
      <c r="EN25" s="59">
        <f t="shared" si="20"/>
        <v>313.06696083563975</v>
      </c>
      <c r="EO25" s="59">
        <f ca="1">AVERAGE(OFFSET($EN$3,0,0,'Données projet'!$E$15+1,1))-AVERAGE(OFFSET($H$3,0,0,'Données projet'!$E$15+1,1))</f>
        <v>217.53602321474159</v>
      </c>
      <c r="EP25" s="59">
        <f t="shared" si="46"/>
        <v>215.75909414893025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4.0628205133333335</v>
      </c>
      <c r="FE25" s="12">
        <f>IF('Données projet'!$A$218&gt;35,FE24+FD25-FM24,IF(A25&lt;'Données projet'!$A$218,$FB$205^A25,IF(A25='Données projet'!$A$218,'Données projet'!$B$218,FE24+FD25-FM24)))</f>
        <v>33.860693886946351</v>
      </c>
      <c r="FF25" s="17">
        <f>FE25*VLOOKUP('Données projet'!$B$16,Paramètres!$A$1:$I$89,3,0)*VLOOKUP('Données projet'!$B$16,Paramètres!$A$1:$I$89,5,0)</f>
        <v>22.713753459363613</v>
      </c>
      <c r="FG25" s="13">
        <f t="shared" si="47"/>
        <v>7.2772776280689673</v>
      </c>
      <c r="FH25" s="20">
        <f t="shared" si="22"/>
        <v>52.23437914394507</v>
      </c>
      <c r="FI25" s="59">
        <f t="shared" si="23"/>
        <v>273.41529304741346</v>
      </c>
      <c r="FJ25" s="59">
        <f ca="1">AVERAGE(OFFSET($FI$3,0,0,'Données projet'!$E$16+1,1))-AVERAGE(OFFSET($H$3,0,0,'Données projet'!$E$16+1,1))</f>
        <v>441.20130048888439</v>
      </c>
      <c r="FK25" s="59">
        <f t="shared" si="48"/>
        <v>237.47732532183946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8.1999999999999993</v>
      </c>
      <c r="FZ25" s="12">
        <f>IF('Données projet'!$A$244&gt;35,FZ24+FY25-GH24,IF(A25&lt;'Données projet'!$A$244,$FW$205^A25,IF(A25='Données projet'!$A$244,'Données projet'!$B$244,FZ24+FY25-GH24)))</f>
        <v>91.40000000000002</v>
      </c>
      <c r="GA25" s="17">
        <f>FZ25*VLOOKUP('Données projet'!$B$17,Paramètres!$A$1:$I$89,3,0)*VLOOKUP('Données projet'!$B$17,Paramètres!$A$1:$I$89,5,0)</f>
        <v>59.885280000000009</v>
      </c>
      <c r="GB25" s="13">
        <f t="shared" si="49"/>
        <v>17.139260967250106</v>
      </c>
      <c r="GC25" s="20">
        <f t="shared" si="25"/>
        <v>134.15107551796063</v>
      </c>
      <c r="GD25" s="59">
        <f t="shared" si="26"/>
        <v>355.33198942142906</v>
      </c>
      <c r="GE25" s="59">
        <f ca="1">AVERAGE(OFFSET($GD$3,0,0,'Données projet'!$E$17+1,1))-AVERAGE(OFFSET($H$3,0,0,'Données projet'!$E$17+1,1))</f>
        <v>257.66104339896992</v>
      </c>
      <c r="GF25" s="59">
        <f t="shared" si="50"/>
        <v>254.79488636184996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5.8</v>
      </c>
      <c r="GU25" s="12">
        <f>IF('Données projet'!$A$270&gt;35,GU24+GT25-HC24,IF(A25&lt;'Données projet'!$A$270,$GR$205^A25,IF(A25='Données projet'!$A$270,'Données projet'!$B$270,GU24+GT25-HC24)))</f>
        <v>65.599999999999994</v>
      </c>
      <c r="GV25" s="17">
        <f>GU25*VLOOKUP('Données projet'!$B$18,Paramètres!$A$1:$I$89,3,0)*VLOOKUP('Données projet'!$B$18,Paramètres!$A$1:$I$89,5,0)</f>
        <v>53.214719999999993</v>
      </c>
      <c r="GW25" s="13">
        <f t="shared" si="51"/>
        <v>15.440940408182183</v>
      </c>
      <c r="GX25" s="20">
        <f t="shared" si="28"/>
        <v>119.57527521091727</v>
      </c>
      <c r="GY25" s="59">
        <f t="shared" si="29"/>
        <v>340.75618911438568</v>
      </c>
      <c r="GZ25" s="59">
        <f ca="1">AVERAGE(OFFSET($GY$3,0,0,'Données projet'!$E$18+1,1))-AVERAGE(OFFSET($H$3,0,0,'Données projet'!$E$18+1,1))</f>
        <v>299.98377156721153</v>
      </c>
      <c r="HA25" s="59">
        <f t="shared" si="52"/>
        <v>241.36164657721102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4.0628205133333335</v>
      </c>
      <c r="N26" s="13">
        <f>IF('Données projet'!$A$36&gt;35,N25+M26-V25,IF(A26&lt;'Données projet'!$A$36,$K$205^A26,IF(A26='Données projet'!$A$36,'Données projet'!$B$36,N25+M26-V25)))</f>
        <v>39.739965277309587</v>
      </c>
      <c r="O26" s="13">
        <f>N26*VLOOKUP('Données projet'!$B$9,Paramètres!$A$1:$I$89,3,0)*VLOOKUP('Données projet'!$B$9,Paramètres!$A$1:$I$89,5,0)</f>
        <v>35.956720582909711</v>
      </c>
      <c r="P26" s="13">
        <f t="shared" si="33"/>
        <v>10.920419941143177</v>
      </c>
      <c r="Q26" s="20">
        <f t="shared" si="2"/>
        <v>81.644353079392104</v>
      </c>
      <c r="R26" s="59">
        <f t="shared" si="0"/>
        <v>305.12954978893862</v>
      </c>
      <c r="S26" s="59">
        <f ca="1">AVERAGE(OFFSET($R$3,0,0,'Données projet'!$E$9+1,1))-AVERAGE(OFFSET($H$3,0,0,'Données projet'!$E$9+1,1))</f>
        <v>567.42635821507474</v>
      </c>
      <c r="T26" s="59">
        <f t="shared" si="34"/>
        <v>299.04735309930152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</v>
      </c>
      <c r="AI26" s="13">
        <f>IF('Données projet'!$A$62&gt;35,AI25+AH26-AQ25,IF(A26&lt;'Données projet'!$A$62,$AF$205^A26,IF(A26='Données projet'!$A$62,'Données projet'!$B$62,AI25+AH26-AQ25)))</f>
        <v>89</v>
      </c>
      <c r="AJ26" s="13">
        <f>AI26*VLOOKUP('Données projet'!$B$10,Paramètres!$A$1:$I$89,3,0)*VLOOKUP('Données projet'!$B$10,Paramètres!$A$1:$I$89,5,0)</f>
        <v>76.362000000000009</v>
      </c>
      <c r="AK26" s="13">
        <f t="shared" si="35"/>
        <v>21.245279172340783</v>
      </c>
      <c r="AL26" s="20">
        <f t="shared" si="4"/>
        <v>169.99934455849356</v>
      </c>
      <c r="AM26" s="59">
        <f t="shared" si="5"/>
        <v>393.48454126804006</v>
      </c>
      <c r="AN26" s="59">
        <f ca="1">AVERAGE(OFFSET($AM$3,0,0,'Données projet'!$E$10+1,1))-AVERAGE(OFFSET($H$3,0,0,'Données projet'!$E$10+1,1))</f>
        <v>569.97793593332699</v>
      </c>
      <c r="AO26" s="59">
        <f t="shared" si="36"/>
        <v>331.25104323342907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19.166666666666668</v>
      </c>
      <c r="BD26" s="12">
        <f>IF('Données projet'!$A$88&gt;35,BD25+BC26-BL25,IF(A26&lt;'Données projet'!$A$88,$BA$205^A26,IF(A26='Données projet'!$A$88,'Données projet'!$B$88,BD25+BC26-BL25)))</f>
        <v>219.83333333333334</v>
      </c>
      <c r="BE26" s="13">
        <f>BD26*VLOOKUP('Données projet'!$B$11,Paramètres!$A$1:$I$89,3,0)*VLOOKUP('Données projet'!$B$11,Paramètres!$A$1:$I$89,5,0)</f>
        <v>120.029</v>
      </c>
      <c r="BF26" s="13">
        <f t="shared" si="37"/>
        <v>31.68176297276506</v>
      </c>
      <c r="BG26" s="20">
        <f t="shared" si="7"/>
        <v>264.22957884423249</v>
      </c>
      <c r="BH26" s="59">
        <f t="shared" si="8"/>
        <v>487.71477555377896</v>
      </c>
      <c r="BI26" s="59">
        <f ca="1">AVERAGE(OFFSET($BH$3,0,0,'Données projet'!$E$11+1,1))-AVERAGE(OFFSET($H$3,0,0,'Données projet'!$E$11+1,1))</f>
        <v>215.37314197175104</v>
      </c>
      <c r="BJ26" s="59">
        <f t="shared" si="38"/>
        <v>361.17630426655978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39.284754037068907</v>
      </c>
      <c r="BR26" s="21">
        <f>EXP(-LN(2)/2)*BR25+(1-EXP(-LN(2)/2))/(LN(2)/2)*BL26*BO26*VLOOKUP('Données projet'!$B$11,Paramètres!$A$1:$I$89,3,0)*0.475*44/12</f>
        <v>0.28686826084929218</v>
      </c>
      <c r="BS26" s="22">
        <f t="shared" si="9"/>
        <v>39.571622297918196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26.926666666666673</v>
      </c>
      <c r="BY26" s="12">
        <f>IF('Données projet'!$A$114&gt;35,BY25+BX26-CG25,IF(A26&lt;'Données projet'!$A$114,$BV$205^A26,IF(A26='Données projet'!$A$114,'Données projet'!$B$114,BY25+BX26-CG25)))</f>
        <v>262.23333333333335</v>
      </c>
      <c r="BZ26" s="13">
        <f>BY26*VLOOKUP('Données projet'!$B$12,Paramètres!$A$1:$I$89,3,0)*VLOOKUP('Données projet'!$B$12,Paramètres!$A$1:$I$89,5,0)</f>
        <v>146.58843333333334</v>
      </c>
      <c r="CA26" s="13">
        <f t="shared" si="39"/>
        <v>37.80225981907045</v>
      </c>
      <c r="CB26" s="20">
        <f t="shared" si="10"/>
        <v>321.14712390710332</v>
      </c>
      <c r="CC26" s="59">
        <f t="shared" si="11"/>
        <v>544.63232061664985</v>
      </c>
      <c r="CD26" s="59">
        <f ca="1">AVERAGE(OFFSET($CC$3,0,0,'Données projet'!$E$12+1,1))-AVERAGE(OFFSET($H$3,0,0,'Données projet'!$E$12+1,1))</f>
        <v>420.4890915162182</v>
      </c>
      <c r="CE26" s="59">
        <f t="shared" si="40"/>
        <v>553.48432338023565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8.3712451782312378</v>
      </c>
      <c r="CN26" s="22">
        <f t="shared" si="12"/>
        <v>8.3712451782312378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16.8</v>
      </c>
      <c r="CT26" s="12">
        <f>IF('Données projet'!$A$140&gt;35,CT25+CS26-DB25,IF(A26&lt;'Données projet'!$A$140,$CQ$205^A26,IF(A26='Données projet'!$A$140,'Données projet'!$B$140,CT25+CS26-DB25)))</f>
        <v>131.4</v>
      </c>
      <c r="CU26" s="17">
        <f>CT26*VLOOKUP('Données projet'!$B$13,Paramètres!$A$1:$I$89,3,0)*VLOOKUP('Données projet'!$B$13,Paramètres!$A$1:$I$89,5,0)</f>
        <v>96.342480000000009</v>
      </c>
      <c r="CV26" s="13">
        <f t="shared" si="41"/>
        <v>26.088763268244669</v>
      </c>
      <c r="CW26" s="20">
        <f t="shared" si="13"/>
        <v>213.23441535885948</v>
      </c>
      <c r="CX26" s="59">
        <f t="shared" si="14"/>
        <v>436.71961206840598</v>
      </c>
      <c r="CY26" s="59">
        <f ca="1">AVERAGE(OFFSET($CX$3,0,0,'Données projet'!$E$13+1,1))-AVERAGE(OFFSET($H$3,0,0,'Données projet'!$E$13+1,1))</f>
        <v>400.48995908576177</v>
      </c>
      <c r="CZ26" s="59">
        <f t="shared" si="42"/>
        <v>384.86917865380076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16.8</v>
      </c>
      <c r="DO26" s="12">
        <f>IF('Données projet'!$A$166&gt;35,DO25+DN26-DW25,IF(A26&lt;'Données projet'!$A$166,$DL$205^A26,IF(A26='Données projet'!$A$166,'Données projet'!$B$166,DO25+DN26-DW25)))</f>
        <v>131.4</v>
      </c>
      <c r="DP26" s="17">
        <f>DO26*VLOOKUP('Données projet'!$B$14,Paramètres!$A$1:$I$89,3,0)*VLOOKUP('Données projet'!$B$14,Paramètres!$A$1:$I$89,5,0)</f>
        <v>104.54184000000002</v>
      </c>
      <c r="DQ26" s="13">
        <f t="shared" si="43"/>
        <v>28.041215323191079</v>
      </c>
      <c r="DR26" s="20">
        <f t="shared" si="16"/>
        <v>230.91548802122449</v>
      </c>
      <c r="DS26" s="59">
        <f t="shared" si="17"/>
        <v>454.40068473077099</v>
      </c>
      <c r="DT26" s="59">
        <f ca="1">AVERAGE(OFFSET($DS$3,0,0,'Données projet'!$E$14+1,1))-AVERAGE(OFFSET($H$3,0,0,'Données projet'!$E$14+1,1))</f>
        <v>429.30603040255431</v>
      </c>
      <c r="DU26" s="59">
        <f t="shared" si="44"/>
        <v>412.18613903804726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6.7948717948717956</v>
      </c>
      <c r="EJ26" s="12">
        <f>IF('Données projet'!$A$192&gt;35,EJ25+EI26-ER25,IF(A26&lt;'Données projet'!$A$192,$EG$205^A26,IF(A26='Données projet'!$A$192,'Données projet'!$B$192,EJ25+EI26-ER25)))</f>
        <v>58.84615384615384</v>
      </c>
      <c r="EK26" s="17">
        <f>EJ26*VLOOKUP('Données projet'!$B$15,Paramètres!$A$1:$I$89,3,0)*VLOOKUP('Données projet'!$B$15,Paramètres!$A$1:$I$89,5,0)</f>
        <v>45.9</v>
      </c>
      <c r="EL26" s="13">
        <f t="shared" si="45"/>
        <v>13.549702311318182</v>
      </c>
      <c r="EM26" s="20">
        <f t="shared" si="19"/>
        <v>103.54156485887916</v>
      </c>
      <c r="EN26" s="59">
        <f t="shared" si="20"/>
        <v>327.02676156842563</v>
      </c>
      <c r="EO26" s="59">
        <f ca="1">AVERAGE(OFFSET($EN$3,0,0,'Données projet'!$E$15+1,1))-AVERAGE(OFFSET($H$3,0,0,'Données projet'!$E$15+1,1))</f>
        <v>217.53602321474159</v>
      </c>
      <c r="EP26" s="59">
        <f t="shared" si="46"/>
        <v>215.75909414893025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4.0628205133333335</v>
      </c>
      <c r="FE26" s="12">
        <f>IF('Données projet'!$A$218&gt;35,FE25+FD26-FM25,IF(A26&lt;'Données projet'!$A$218,$FB$205^A26,IF(A26='Données projet'!$A$218,'Données projet'!$B$218,FE25+FD26-FM25)))</f>
        <v>39.739965277309587</v>
      </c>
      <c r="FF26" s="17">
        <f>FE26*VLOOKUP('Données projet'!$B$16,Paramètres!$A$1:$I$89,3,0)*VLOOKUP('Données projet'!$B$16,Paramètres!$A$1:$I$89,5,0)</f>
        <v>26.657568708019269</v>
      </c>
      <c r="FG26" s="13">
        <f t="shared" si="47"/>
        <v>8.3831471915007079</v>
      </c>
      <c r="FH26" s="20">
        <f t="shared" si="22"/>
        <v>61.029246858330623</v>
      </c>
      <c r="FI26" s="59">
        <f t="shared" si="23"/>
        <v>284.51444356787715</v>
      </c>
      <c r="FJ26" s="59">
        <f ca="1">AVERAGE(OFFSET($FI$3,0,0,'Données projet'!$E$16+1,1))-AVERAGE(OFFSET($H$3,0,0,'Données projet'!$E$16+1,1))</f>
        <v>441.20130048888439</v>
      </c>
      <c r="FK26" s="59">
        <f t="shared" si="48"/>
        <v>237.47732532183946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8.1999999999999993</v>
      </c>
      <c r="FZ26" s="12">
        <f>IF('Données projet'!$A$244&gt;35,FZ25+FY26-GH25,IF(A26&lt;'Données projet'!$A$244,$FW$205^A26,IF(A26='Données projet'!$A$244,'Données projet'!$B$244,FZ25+FY26-GH25)))</f>
        <v>99.600000000000023</v>
      </c>
      <c r="GA26" s="17">
        <f>FZ26*VLOOKUP('Données projet'!$B$17,Paramètres!$A$1:$I$89,3,0)*VLOOKUP('Données projet'!$B$17,Paramètres!$A$1:$I$89,5,0)</f>
        <v>65.257920000000013</v>
      </c>
      <c r="GB26" s="13">
        <f t="shared" si="49"/>
        <v>18.491067519086762</v>
      </c>
      <c r="GC26" s="20">
        <f t="shared" si="25"/>
        <v>145.8628199290761</v>
      </c>
      <c r="GD26" s="59">
        <f t="shared" si="26"/>
        <v>369.3480166386226</v>
      </c>
      <c r="GE26" s="59">
        <f ca="1">AVERAGE(OFFSET($GD$3,0,0,'Données projet'!$E$17+1,1))-AVERAGE(OFFSET($H$3,0,0,'Données projet'!$E$17+1,1))</f>
        <v>257.66104339896992</v>
      </c>
      <c r="GF26" s="59">
        <f t="shared" si="50"/>
        <v>254.79488636184996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5.8</v>
      </c>
      <c r="GU26" s="12">
        <f>IF('Données projet'!$A$270&gt;35,GU25+GT26-HC25,IF(A26&lt;'Données projet'!$A$270,$GR$205^A26,IF(A26='Données projet'!$A$270,'Données projet'!$B$270,GU25+GT26-HC25)))</f>
        <v>71.399999999999991</v>
      </c>
      <c r="GV26" s="17">
        <f>GU26*VLOOKUP('Données projet'!$B$18,Paramètres!$A$1:$I$89,3,0)*VLOOKUP('Données projet'!$B$18,Paramètres!$A$1:$I$89,5,0)</f>
        <v>57.91968</v>
      </c>
      <c r="GW26" s="13">
        <f t="shared" si="51"/>
        <v>16.641223534705848</v>
      </c>
      <c r="GX26" s="20">
        <f t="shared" si="28"/>
        <v>129.860240322946</v>
      </c>
      <c r="GY26" s="59">
        <f t="shared" si="29"/>
        <v>353.3454370324925</v>
      </c>
      <c r="GZ26" s="59">
        <f ca="1">AVERAGE(OFFSET($GY$3,0,0,'Données projet'!$E$18+1,1))-AVERAGE(OFFSET($H$3,0,0,'Données projet'!$E$18+1,1))</f>
        <v>299.98377156721153</v>
      </c>
      <c r="HA26" s="59">
        <f t="shared" si="52"/>
        <v>241.36164657721102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4.0628205133333335</v>
      </c>
      <c r="N27" s="13">
        <f>IF('Données projet'!$A$36&gt;35,N26+M27-V26,IF(A27&lt;'Données projet'!$A$36,$K$205^A27,IF(A27='Données projet'!$A$36,'Données projet'!$B$36,N26+M27-V26)))</f>
        <v>46.64006135003023</v>
      </c>
      <c r="O27" s="13">
        <f>N27*VLOOKUP('Données projet'!$B$9,Paramètres!$A$1:$I$89,3,0)*VLOOKUP('Données projet'!$B$9,Paramètres!$A$1:$I$89,5,0)</f>
        <v>42.199927509507354</v>
      </c>
      <c r="P27" s="13">
        <f t="shared" si="33"/>
        <v>12.579908646950299</v>
      </c>
      <c r="Q27" s="20">
        <f t="shared" si="2"/>
        <v>95.408214639163745</v>
      </c>
      <c r="R27" s="59">
        <f t="shared" si="0"/>
        <v>321.17892282278353</v>
      </c>
      <c r="S27" s="59">
        <f ca="1">AVERAGE(OFFSET($R$3,0,0,'Données projet'!$E$9+1,1))-AVERAGE(OFFSET($H$3,0,0,'Données projet'!$E$9+1,1))</f>
        <v>567.42635821507474</v>
      </c>
      <c r="T27" s="59">
        <f t="shared" si="34"/>
        <v>299.04735309930152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11</v>
      </c>
      <c r="AI27" s="13">
        <f>IF('Données projet'!$A$62&gt;35,AI26+AH27-AQ26,IF(A27&lt;'Données projet'!$A$62,$AF$205^A27,IF(A27='Données projet'!$A$62,'Données projet'!$B$62,AI26+AH27-AQ26)))</f>
        <v>100</v>
      </c>
      <c r="AJ27" s="13">
        <f>AI27*VLOOKUP('Données projet'!$B$10,Paramètres!$A$1:$I$89,3,0)*VLOOKUP('Données projet'!$B$10,Paramètres!$A$1:$I$89,5,0)</f>
        <v>85.800000000000011</v>
      </c>
      <c r="AK27" s="13">
        <f t="shared" si="35"/>
        <v>23.549485995669766</v>
      </c>
      <c r="AL27" s="20">
        <f t="shared" si="4"/>
        <v>190.45035477579154</v>
      </c>
      <c r="AM27" s="59">
        <f t="shared" si="5"/>
        <v>416.22106295941137</v>
      </c>
      <c r="AN27" s="59">
        <f ca="1">AVERAGE(OFFSET($AM$3,0,0,'Données projet'!$E$10+1,1))-AVERAGE(OFFSET($H$3,0,0,'Données projet'!$E$10+1,1))</f>
        <v>569.97793593332699</v>
      </c>
      <c r="AO27" s="59">
        <f t="shared" si="36"/>
        <v>331.25104323342907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239</v>
      </c>
      <c r="BB27" s="12">
        <f>VLOOKUP(A27,'Données projet'!$A$87:$I$107,9,0)</f>
        <v>19.166666666666668</v>
      </c>
      <c r="BC27" s="12">
        <f t="array" ref="BC27">INDEX(BB:BB,MIN(IF(ISNUMBER(BB27:BB223),ROW(BB27:BB223),"")))</f>
        <v>19.166666666666668</v>
      </c>
      <c r="BD27" s="12">
        <f>IF('Données projet'!$A$88&gt;35,BD26+BC27-BL26,IF(A27&lt;'Données projet'!$A$88,$BA$205^A27,IF(A27='Données projet'!$A$88,'Données projet'!$B$88,BD26+BC27-BL26)))</f>
        <v>239</v>
      </c>
      <c r="BE27" s="13">
        <f>BD27*VLOOKUP('Données projet'!$B$11,Paramètres!$A$1:$I$89,3,0)*VLOOKUP('Données projet'!$B$11,Paramètres!$A$1:$I$89,5,0)</f>
        <v>130.494</v>
      </c>
      <c r="BF27" s="13">
        <f t="shared" si="37"/>
        <v>34.110483018610772</v>
      </c>
      <c r="BG27" s="20">
        <f t="shared" si="7"/>
        <v>286.68614125741374</v>
      </c>
      <c r="BH27" s="59">
        <f t="shared" si="8"/>
        <v>512.45684944103357</v>
      </c>
      <c r="BI27" s="59">
        <f ca="1">AVERAGE(OFFSET($BH$3,0,0,'Données projet'!$E$11+1,1))-AVERAGE(OFFSET($H$3,0,0,'Données projet'!$E$11+1,1))</f>
        <v>215.37314197175104</v>
      </c>
      <c r="BJ27" s="59">
        <f t="shared" si="38"/>
        <v>361.17630426655978</v>
      </c>
      <c r="BK27" s="15">
        <f>IF(ISNA(VLOOKUP(A27,'Données projet'!$A$87:$I$107,3,0)),0,VLOOKUP(A27,'Données projet'!$A$87:$I$107,3,0))</f>
        <v>4</v>
      </c>
      <c r="BL27" s="15">
        <f>IF(ISNA(VLOOKUP(A27,'Données projet'!$A$87:$I$107,4,0)),0,VLOOKUP(A27,'Données projet'!$A$87:$I$107,4,0))</f>
        <v>84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0.6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74.571707858558256</v>
      </c>
      <c r="BR27" s="21">
        <f>EXP(-LN(2)/2)*BR26+(1-EXP(-LN(2)/2))/(LN(2)/2)*BL27*BO27*VLOOKUP('Données projet'!$B$11,Paramètres!$A$1:$I$89,3,0)*0.475*44/12</f>
        <v>0.20284649255372589</v>
      </c>
      <c r="BS27" s="22">
        <f t="shared" si="9"/>
        <v>74.774554351111988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>
        <f>VLOOKUP(A27,'Données projet'!$A$113:$I$133,2,0)</f>
        <v>289.16000000000003</v>
      </c>
      <c r="BW27" s="12">
        <f>VLOOKUP(A27,'Données projet'!$A$113:$I$133,9,0)</f>
        <v>26.926666666666673</v>
      </c>
      <c r="BX27" s="12">
        <f t="array" ref="BX27">INDEX(BW:BW,MIN(IF(ISNUMBER(BW27:BW223),ROW(BW27:BW223),"")))</f>
        <v>26.926666666666673</v>
      </c>
      <c r="BY27" s="12">
        <f>IF('Données projet'!$A$114&gt;35,BY26+BX27-CG26,IF(A27&lt;'Données projet'!$A$114,$BV$205^A27,IF(A27='Données projet'!$A$114,'Données projet'!$B$114,BY26+BX27-CG26)))</f>
        <v>289.16000000000003</v>
      </c>
      <c r="BZ27" s="13">
        <f>BY27*VLOOKUP('Données projet'!$B$12,Paramètres!$A$1:$I$89,3,0)*VLOOKUP('Données projet'!$B$12,Paramètres!$A$1:$I$89,5,0)</f>
        <v>161.64044000000001</v>
      </c>
      <c r="CA27" s="13">
        <f t="shared" si="39"/>
        <v>41.212301279363686</v>
      </c>
      <c r="CB27" s="20">
        <f t="shared" si="10"/>
        <v>353.30185772822512</v>
      </c>
      <c r="CC27" s="59">
        <f t="shared" si="11"/>
        <v>579.07256591184489</v>
      </c>
      <c r="CD27" s="59">
        <f ca="1">AVERAGE(OFFSET($CC$3,0,0,'Données projet'!$E$12+1,1))-AVERAGE(OFFSET($H$3,0,0,'Données projet'!$E$12+1,1))</f>
        <v>420.4890915162182</v>
      </c>
      <c r="CE27" s="59">
        <f t="shared" si="40"/>
        <v>553.48432338023565</v>
      </c>
      <c r="CF27" s="15">
        <f>IF(ISNA(VLOOKUP(A27,'Données projet'!$A$113:$I$133,3,0)),0,VLOOKUP(A27,'Données projet'!$A$113:$I$133,3,0))</f>
        <v>2</v>
      </c>
      <c r="CG27" s="15">
        <f>IF(ISNA(VLOOKUP(A27,'Données projet'!$A$113:$I$133,4,0)),0,VLOOKUP(A27,'Données projet'!$A$113:$I$133,4,0))</f>
        <v>51.39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0.55000000000000004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20.877001064528184</v>
      </c>
      <c r="CM27" s="21">
        <f>EXP(-LN(2)/2)*CM26+(1-EXP(-LN(2)/2))/(LN(2)/2)*CG27*CJ27*VLOOKUP('Données projet'!$B$12,Paramètres!$A$1:$I$89,3,0)*0.475*44/12</f>
        <v>5.9193642325024971</v>
      </c>
      <c r="CN27" s="22">
        <f t="shared" si="12"/>
        <v>26.796365297030682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16.8</v>
      </c>
      <c r="CT27" s="12">
        <f>IF('Données projet'!$A$140&gt;35,CT26+CS27-DB26,IF(A27&lt;'Données projet'!$A$140,$CQ$205^A27,IF(A27='Données projet'!$A$140,'Données projet'!$B$140,CT26+CS27-DB26)))</f>
        <v>148.20000000000002</v>
      </c>
      <c r="CU27" s="17">
        <f>CT27*VLOOKUP('Données projet'!$B$13,Paramètres!$A$1:$I$89,3,0)*VLOOKUP('Données projet'!$B$13,Paramètres!$A$1:$I$89,5,0)</f>
        <v>108.66024000000002</v>
      </c>
      <c r="CV27" s="13">
        <f t="shared" si="41"/>
        <v>29.015101890437414</v>
      </c>
      <c r="CW27" s="20">
        <f t="shared" si="13"/>
        <v>239.78455379251184</v>
      </c>
      <c r="CX27" s="59">
        <f t="shared" si="14"/>
        <v>465.55526197613165</v>
      </c>
      <c r="CY27" s="59">
        <f ca="1">AVERAGE(OFFSET($CX$3,0,0,'Données projet'!$E$13+1,1))-AVERAGE(OFFSET($H$3,0,0,'Données projet'!$E$13+1,1))</f>
        <v>400.48995908576177</v>
      </c>
      <c r="CZ27" s="59">
        <f t="shared" si="42"/>
        <v>384.86917865380076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16.8</v>
      </c>
      <c r="DO27" s="12">
        <f>IF('Données projet'!$A$166&gt;35,DO26+DN27-DW26,IF(A27&lt;'Données projet'!$A$166,$DL$205^A27,IF(A27='Données projet'!$A$166,'Données projet'!$B$166,DO26+DN27-DW26)))</f>
        <v>148.20000000000002</v>
      </c>
      <c r="DP27" s="17">
        <f>DO27*VLOOKUP('Données projet'!$B$14,Paramètres!$A$1:$I$89,3,0)*VLOOKUP('Données projet'!$B$14,Paramètres!$A$1:$I$89,5,0)</f>
        <v>117.90792000000002</v>
      </c>
      <c r="DQ27" s="13">
        <f t="shared" si="43"/>
        <v>31.186557651984323</v>
      </c>
      <c r="DR27" s="20">
        <f t="shared" si="16"/>
        <v>259.67288191053939</v>
      </c>
      <c r="DS27" s="59">
        <f t="shared" si="17"/>
        <v>485.44359009415916</v>
      </c>
      <c r="DT27" s="59">
        <f ca="1">AVERAGE(OFFSET($DS$3,0,0,'Données projet'!$E$14+1,1))-AVERAGE(OFFSET($H$3,0,0,'Données projet'!$E$14+1,1))</f>
        <v>429.30603040255431</v>
      </c>
      <c r="DU27" s="59">
        <f t="shared" si="44"/>
        <v>412.18613903804726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6.7948717948717956</v>
      </c>
      <c r="EJ27" s="12">
        <f>IF('Données projet'!$A$192&gt;35,EJ26+EI27-ER26,IF(A27&lt;'Données projet'!$A$192,$EG$205^A27,IF(A27='Données projet'!$A$192,'Données projet'!$B$192,EJ26+EI27-ER26)))</f>
        <v>65.641025641025635</v>
      </c>
      <c r="EK27" s="17">
        <f>EJ27*VLOOKUP('Données projet'!$B$15,Paramètres!$A$1:$I$89,3,0)*VLOOKUP('Données projet'!$B$15,Paramètres!$A$1:$I$89,5,0)</f>
        <v>51.199999999999996</v>
      </c>
      <c r="EL27" s="13">
        <f t="shared" si="45"/>
        <v>14.923235838479547</v>
      </c>
      <c r="EM27" s="20">
        <f t="shared" si="19"/>
        <v>115.16463575201853</v>
      </c>
      <c r="EN27" s="59">
        <f t="shared" si="20"/>
        <v>340.93534393563834</v>
      </c>
      <c r="EO27" s="59">
        <f ca="1">AVERAGE(OFFSET($EN$3,0,0,'Données projet'!$E$15+1,1))-AVERAGE(OFFSET($H$3,0,0,'Données projet'!$E$15+1,1))</f>
        <v>217.53602321474159</v>
      </c>
      <c r="EP27" s="59">
        <f t="shared" si="46"/>
        <v>215.75909414893025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4.0628205133333335</v>
      </c>
      <c r="FE27" s="12">
        <f>IF('Données projet'!$A$218&gt;35,FE26+FD27-FM26,IF(A27&lt;'Données projet'!$A$218,$FB$205^A27,IF(A27='Données projet'!$A$218,'Données projet'!$B$218,FE26+FD27-FM26)))</f>
        <v>46.64006135003023</v>
      </c>
      <c r="FF27" s="17">
        <f>FE27*VLOOKUP('Données projet'!$B$16,Paramètres!$A$1:$I$89,3,0)*VLOOKUP('Données projet'!$B$16,Paramètres!$A$1:$I$89,5,0)</f>
        <v>31.286153153600278</v>
      </c>
      <c r="FG27" s="13">
        <f t="shared" si="47"/>
        <v>9.657066890412743</v>
      </c>
      <c r="FH27" s="20">
        <f t="shared" si="22"/>
        <v>71.309441576655999</v>
      </c>
      <c r="FI27" s="59">
        <f t="shared" si="23"/>
        <v>297.08014976027579</v>
      </c>
      <c r="FJ27" s="59">
        <f ca="1">AVERAGE(OFFSET($FI$3,0,0,'Données projet'!$E$16+1,1))-AVERAGE(OFFSET($H$3,0,0,'Données projet'!$E$16+1,1))</f>
        <v>441.20130048888439</v>
      </c>
      <c r="FK27" s="59">
        <f t="shared" si="48"/>
        <v>237.47732532183946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8.1999999999999993</v>
      </c>
      <c r="FZ27" s="12">
        <f>IF('Données projet'!$A$244&gt;35,FZ26+FY27-GH26,IF(A27&lt;'Données projet'!$A$244,$FW$205^A27,IF(A27='Données projet'!$A$244,'Données projet'!$B$244,FZ26+FY27-GH26)))</f>
        <v>107.80000000000003</v>
      </c>
      <c r="GA27" s="17">
        <f>FZ27*VLOOKUP('Données projet'!$B$17,Paramètres!$A$1:$I$89,3,0)*VLOOKUP('Données projet'!$B$17,Paramètres!$A$1:$I$89,5,0)</f>
        <v>70.630560000000017</v>
      </c>
      <c r="GB27" s="13">
        <f t="shared" si="49"/>
        <v>19.829966022106095</v>
      </c>
      <c r="GC27" s="20">
        <f t="shared" si="25"/>
        <v>157.5520828218348</v>
      </c>
      <c r="GD27" s="59">
        <f t="shared" si="26"/>
        <v>383.32279100545463</v>
      </c>
      <c r="GE27" s="59">
        <f ca="1">AVERAGE(OFFSET($GD$3,0,0,'Données projet'!$E$17+1,1))-AVERAGE(OFFSET($H$3,0,0,'Données projet'!$E$17+1,1))</f>
        <v>257.66104339896992</v>
      </c>
      <c r="GF27" s="59">
        <f t="shared" si="50"/>
        <v>254.79488636184996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5.8</v>
      </c>
      <c r="GU27" s="12">
        <f>IF('Données projet'!$A$270&gt;35,GU26+GT27-HC26,IF(A27&lt;'Données projet'!$A$270,$GR$205^A27,IF(A27='Données projet'!$A$270,'Données projet'!$B$270,GU26+GT27-HC26)))</f>
        <v>77.199999999999989</v>
      </c>
      <c r="GV27" s="17">
        <f>GU27*VLOOKUP('Données projet'!$B$18,Paramètres!$A$1:$I$89,3,0)*VLOOKUP('Données projet'!$B$18,Paramètres!$A$1:$I$89,5,0)</f>
        <v>62.624639999999999</v>
      </c>
      <c r="GW27" s="13">
        <f t="shared" si="51"/>
        <v>17.830197796836153</v>
      </c>
      <c r="GX27" s="20">
        <f t="shared" si="28"/>
        <v>140.12550916282296</v>
      </c>
      <c r="GY27" s="59">
        <f t="shared" si="29"/>
        <v>365.89621734644277</v>
      </c>
      <c r="GZ27" s="59">
        <f ca="1">AVERAGE(OFFSET($GY$3,0,0,'Données projet'!$E$18+1,1))-AVERAGE(OFFSET($H$3,0,0,'Données projet'!$E$18+1,1))</f>
        <v>299.98377156721153</v>
      </c>
      <c r="HA27" s="59">
        <f t="shared" si="52"/>
        <v>241.36164657721102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4.0628205133333335</v>
      </c>
      <c r="N28" s="13">
        <f>IF('Données projet'!$A$36&gt;35,N27+M28-V27,IF(A28&lt;'Données projet'!$A$36,$K$205^A28,IF(A28='Données projet'!$A$36,'Données projet'!$B$36,N27+M28-V27)))</f>
        <v>54.738229073808903</v>
      </c>
      <c r="O28" s="13">
        <f>N28*VLOOKUP('Données projet'!$B$9,Paramètres!$A$1:$I$89,3,0)*VLOOKUP('Données projet'!$B$9,Paramètres!$A$1:$I$89,5,0)</f>
        <v>49.527149665982293</v>
      </c>
      <c r="P28" s="13">
        <f t="shared" si="33"/>
        <v>14.491576552783048</v>
      </c>
      <c r="Q28" s="20">
        <f t="shared" si="2"/>
        <v>111.49928149768296</v>
      </c>
      <c r="R28" s="59">
        <f t="shared" si="0"/>
        <v>339.53705546401505</v>
      </c>
      <c r="S28" s="59">
        <f ca="1">AVERAGE(OFFSET($R$3,0,0,'Données projet'!$E$9+1,1))-AVERAGE(OFFSET($H$3,0,0,'Données projet'!$E$9+1,1))</f>
        <v>567.42635821507474</v>
      </c>
      <c r="T28" s="59">
        <f t="shared" si="34"/>
        <v>299.04735309930152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111</v>
      </c>
      <c r="AG28" s="12">
        <f>VLOOKUP(A28,'Données projet'!$A$61:$I$81,9,0)</f>
        <v>11</v>
      </c>
      <c r="AH28" s="12">
        <f t="array" ref="AH28">INDEX(AG:AG,MIN(IF(ISNUMBER(AG28:AG224),ROW(AG28:AG224),"")))</f>
        <v>11</v>
      </c>
      <c r="AI28" s="13">
        <f>IF('Données projet'!$A$62&gt;35,AI27+AH28-AQ27,IF(A28&lt;'Données projet'!$A$62,$AF$205^A28,IF(A28='Données projet'!$A$62,'Données projet'!$B$62,AI27+AH28-AQ27)))</f>
        <v>111</v>
      </c>
      <c r="AJ28" s="13">
        <f>AI28*VLOOKUP('Données projet'!$B$10,Paramètres!$A$1:$I$89,3,0)*VLOOKUP('Données projet'!$B$10,Paramètres!$A$1:$I$89,5,0)</f>
        <v>95.238000000000014</v>
      </c>
      <c r="AK28" s="13">
        <f t="shared" si="35"/>
        <v>25.824315354051141</v>
      </c>
      <c r="AL28" s="20">
        <f t="shared" si="4"/>
        <v>210.85019924163907</v>
      </c>
      <c r="AM28" s="59">
        <f t="shared" si="5"/>
        <v>438.88797320797119</v>
      </c>
      <c r="AN28" s="59">
        <f ca="1">AVERAGE(OFFSET($AM$3,0,0,'Données projet'!$E$10+1,1))-AVERAGE(OFFSET($H$3,0,0,'Données projet'!$E$10+1,1))</f>
        <v>569.97793593332699</v>
      </c>
      <c r="AO28" s="59">
        <f t="shared" si="36"/>
        <v>331.25104323342907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26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16.666666666666668</v>
      </c>
      <c r="BD28" s="12">
        <f>IF('Données projet'!$A$88&gt;35,BD27+BC28-BL27,IF(A28&lt;'Données projet'!$A$88,$BA$205^A28,IF(A28='Données projet'!$A$88,'Données projet'!$B$88,BD27+BC28-BL27)))</f>
        <v>171.66666666666666</v>
      </c>
      <c r="BE28" s="13">
        <f>BD28*VLOOKUP('Données projet'!$B$11,Paramètres!$A$1:$I$89,3,0)*VLOOKUP('Données projet'!$B$11,Paramètres!$A$1:$I$89,5,0)</f>
        <v>93.72999999999999</v>
      </c>
      <c r="BF28" s="13">
        <f t="shared" si="37"/>
        <v>25.462674063925309</v>
      </c>
      <c r="BG28" s="20">
        <f t="shared" si="7"/>
        <v>207.59390732800321</v>
      </c>
      <c r="BH28" s="59">
        <f t="shared" si="8"/>
        <v>435.63168129433529</v>
      </c>
      <c r="BI28" s="59">
        <f ca="1">AVERAGE(OFFSET($BH$3,0,0,'Données projet'!$E$11+1,1))-AVERAGE(OFFSET($H$3,0,0,'Données projet'!$E$11+1,1))</f>
        <v>215.37314197175104</v>
      </c>
      <c r="BJ28" s="59">
        <f t="shared" si="38"/>
        <v>361.17630426655978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72.532540585610306</v>
      </c>
      <c r="BR28" s="21">
        <f>EXP(-LN(2)/2)*BR27+(1-EXP(-LN(2)/2))/(LN(2)/2)*BL28*BO28*VLOOKUP('Données projet'!$B$11,Paramètres!$A$1:$I$89,3,0)*0.475*44/12</f>
        <v>0.14343413042464609</v>
      </c>
      <c r="BS28" s="22">
        <f t="shared" si="9"/>
        <v>72.675974716034958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28.819999999999993</v>
      </c>
      <c r="BY28" s="12">
        <f>IF('Données projet'!$A$114&gt;35,BY27+BX28-CG27,IF(A28&lt;'Données projet'!$A$114,$BV$205^A28,IF(A28='Données projet'!$A$114,'Données projet'!$B$114,BY27+BX28-CG27)))</f>
        <v>266.59000000000003</v>
      </c>
      <c r="BZ28" s="13">
        <f>BY28*VLOOKUP('Données projet'!$B$12,Paramètres!$A$1:$I$89,3,0)*VLOOKUP('Données projet'!$B$12,Paramètres!$A$1:$I$89,5,0)</f>
        <v>149.02381000000003</v>
      </c>
      <c r="CA28" s="13">
        <f t="shared" si="39"/>
        <v>38.356658710715394</v>
      </c>
      <c r="CB28" s="20">
        <f t="shared" si="10"/>
        <v>326.3543163378294</v>
      </c>
      <c r="CC28" s="59">
        <f t="shared" si="11"/>
        <v>554.39209030416146</v>
      </c>
      <c r="CD28" s="59">
        <f ca="1">AVERAGE(OFFSET($CC$3,0,0,'Données projet'!$E$12+1,1))-AVERAGE(OFFSET($H$3,0,0,'Données projet'!$E$12+1,1))</f>
        <v>420.4890915162182</v>
      </c>
      <c r="CE28" s="59">
        <f t="shared" si="40"/>
        <v>553.48432338023565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20.306118372544891</v>
      </c>
      <c r="CM28" s="21">
        <f>EXP(-LN(2)/2)*CM27+(1-EXP(-LN(2)/2))/(LN(2)/2)*CG28*CJ28*VLOOKUP('Données projet'!$B$12,Paramètres!$A$1:$I$89,3,0)*0.475*44/12</f>
        <v>4.1856225891156189</v>
      </c>
      <c r="CN28" s="22">
        <f t="shared" si="12"/>
        <v>24.491740961660511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165</v>
      </c>
      <c r="CR28" s="12">
        <f>VLOOKUP(A28,'Données projet'!$A$139:$I$159,9,0)</f>
        <v>16.8</v>
      </c>
      <c r="CS28" s="12">
        <f t="array" ref="CS28">INDEX(CR:CR,MIN(IF(ISNUMBER(CR28:CR224),ROW(CR28:CR224),"")))</f>
        <v>16.8</v>
      </c>
      <c r="CT28" s="12">
        <f>IF('Données projet'!$A$140&gt;35,CT27+CS28-DB27,IF(A28&lt;'Données projet'!$A$140,$CQ$205^A28,IF(A28='Données projet'!$A$140,'Données projet'!$B$140,CT27+CS28-DB27)))</f>
        <v>165.00000000000003</v>
      </c>
      <c r="CU28" s="17">
        <f>CT28*VLOOKUP('Données projet'!$B$13,Paramètres!$A$1:$I$89,3,0)*VLOOKUP('Données projet'!$B$13,Paramètres!$A$1:$I$89,5,0)</f>
        <v>120.97800000000002</v>
      </c>
      <c r="CV28" s="13">
        <f t="shared" si="41"/>
        <v>31.902993864447531</v>
      </c>
      <c r="CW28" s="20">
        <f t="shared" si="13"/>
        <v>266.26773098057953</v>
      </c>
      <c r="CX28" s="59">
        <f t="shared" si="14"/>
        <v>494.30550494691164</v>
      </c>
      <c r="CY28" s="59">
        <f ca="1">AVERAGE(OFFSET($CX$3,0,0,'Données projet'!$E$13+1,1))-AVERAGE(OFFSET($H$3,0,0,'Données projet'!$E$13+1,1))</f>
        <v>400.48995908576177</v>
      </c>
      <c r="CZ28" s="59">
        <f t="shared" si="42"/>
        <v>384.86917865380076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42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165</v>
      </c>
      <c r="DM28" s="12">
        <f>VLOOKUP(A28,'Données projet'!$A$165:$I$185,9,0)</f>
        <v>16.8</v>
      </c>
      <c r="DN28" s="12">
        <f t="array" ref="DN28">INDEX(DM:DM,MIN(IF(ISNUMBER(DM28:DM224),ROW(DM28:DM224),"")))</f>
        <v>16.8</v>
      </c>
      <c r="DO28" s="12">
        <f>IF('Données projet'!$A$166&gt;35,DO27+DN28-DW27,IF(A28&lt;'Données projet'!$A$166,$DL$205^A28,IF(A28='Données projet'!$A$166,'Données projet'!$B$166,DO27+DN28-DW27)))</f>
        <v>165.00000000000003</v>
      </c>
      <c r="DP28" s="17">
        <f>DO28*VLOOKUP('Données projet'!$B$14,Paramètres!$A$1:$I$89,3,0)*VLOOKUP('Données projet'!$B$14,Paramètres!$A$1:$I$89,5,0)</f>
        <v>131.27400000000003</v>
      </c>
      <c r="DQ28" s="13">
        <f t="shared" si="43"/>
        <v>34.290576031111669</v>
      </c>
      <c r="DR28" s="20">
        <f t="shared" si="16"/>
        <v>288.35830325418618</v>
      </c>
      <c r="DS28" s="59">
        <f t="shared" si="17"/>
        <v>516.39607722051824</v>
      </c>
      <c r="DT28" s="59">
        <f ca="1">AVERAGE(OFFSET($DS$3,0,0,'Données projet'!$E$14+1,1))-AVERAGE(OFFSET($H$3,0,0,'Données projet'!$E$14+1,1))</f>
        <v>429.30603040255431</v>
      </c>
      <c r="DU28" s="59">
        <f t="shared" si="44"/>
        <v>412.18613903804726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42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72.435897435897431</v>
      </c>
      <c r="EH28" s="12">
        <f>VLOOKUP(A28,'Données projet'!$A$191:$I$211,9,0)</f>
        <v>6.7948717948717956</v>
      </c>
      <c r="EI28" s="12">
        <f t="array" ref="EI28">INDEX(EH:EH,MIN(IF(ISNUMBER(EH28:EH224),ROW(EH28:EH224),"")))</f>
        <v>6.7948717948717956</v>
      </c>
      <c r="EJ28" s="12">
        <f>IF('Données projet'!$A$192&gt;35,EJ27+EI28-ER27,IF(A28&lt;'Données projet'!$A$192,$EG$205^A28,IF(A28='Données projet'!$A$192,'Données projet'!$B$192,EJ27+EI28-ER27)))</f>
        <v>72.435897435897431</v>
      </c>
      <c r="EK28" s="17">
        <f>EJ28*VLOOKUP('Données projet'!$B$15,Paramètres!$A$1:$I$89,3,0)*VLOOKUP('Données projet'!$B$15,Paramètres!$A$1:$I$89,5,0)</f>
        <v>56.5</v>
      </c>
      <c r="EL28" s="13">
        <f t="shared" si="45"/>
        <v>16.280287626136957</v>
      </c>
      <c r="EM28" s="20">
        <f t="shared" si="19"/>
        <v>126.75900094885519</v>
      </c>
      <c r="EN28" s="59">
        <f t="shared" si="20"/>
        <v>354.79677491518731</v>
      </c>
      <c r="EO28" s="59">
        <f ca="1">AVERAGE(OFFSET($EN$3,0,0,'Données projet'!$E$15+1,1))-AVERAGE(OFFSET($H$3,0,0,'Données projet'!$E$15+1,1))</f>
        <v>217.53602321474159</v>
      </c>
      <c r="EP28" s="59">
        <f t="shared" si="46"/>
        <v>215.75909414893025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17.307692307692307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4.0628205133333335</v>
      </c>
      <c r="FE28" s="12">
        <f>IF('Données projet'!$A$218&gt;35,FE27+FD28-FM27,IF(A28&lt;'Données projet'!$A$218,$FB$205^A28,IF(A28='Données projet'!$A$218,'Données projet'!$B$218,FE27+FD28-FM27)))</f>
        <v>54.738229073808903</v>
      </c>
      <c r="FF28" s="17">
        <f>FE28*VLOOKUP('Données projet'!$B$16,Paramètres!$A$1:$I$89,3,0)*VLOOKUP('Données projet'!$B$16,Paramètres!$A$1:$I$89,5,0)</f>
        <v>36.718404062711016</v>
      </c>
      <c r="FG28" s="13">
        <f t="shared" si="47"/>
        <v>11.124573957195588</v>
      </c>
      <c r="FH28" s="20">
        <f t="shared" si="22"/>
        <v>83.32652005133734</v>
      </c>
      <c r="FI28" s="59">
        <f t="shared" si="23"/>
        <v>311.36429401766947</v>
      </c>
      <c r="FJ28" s="59">
        <f ca="1">AVERAGE(OFFSET($FI$3,0,0,'Données projet'!$E$16+1,1))-AVERAGE(OFFSET($H$3,0,0,'Données projet'!$E$16+1,1))</f>
        <v>441.20130048888439</v>
      </c>
      <c r="FK28" s="59">
        <f t="shared" si="48"/>
        <v>237.47732532183946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116</v>
      </c>
      <c r="FX28" s="12">
        <f>VLOOKUP(A28,'Données projet'!$A$243:$I$263,9,0)</f>
        <v>8.1999999999999993</v>
      </c>
      <c r="FY28" s="12">
        <f t="array" ref="FY28">INDEX(FX:FX,MIN(IF(ISNUMBER(FX28:FX224),ROW(FX28:FX224),"")))</f>
        <v>8.1999999999999993</v>
      </c>
      <c r="FZ28" s="12">
        <f>IF('Données projet'!$A$244&gt;35,FZ27+FY28-GH27,IF(A28&lt;'Données projet'!$A$244,$FW$205^A28,IF(A28='Données projet'!$A$244,'Données projet'!$B$244,FZ27+FY28-GH27)))</f>
        <v>116.00000000000003</v>
      </c>
      <c r="GA28" s="17">
        <f>FZ28*VLOOKUP('Données projet'!$B$17,Paramètres!$A$1:$I$89,3,0)*VLOOKUP('Données projet'!$B$17,Paramètres!$A$1:$I$89,5,0)</f>
        <v>76.003200000000021</v>
      </c>
      <c r="GB28" s="13">
        <f t="shared" si="49"/>
        <v>21.157049992000456</v>
      </c>
      <c r="GC28" s="20">
        <f t="shared" si="25"/>
        <v>169.2207687360675</v>
      </c>
      <c r="GD28" s="59">
        <f t="shared" si="26"/>
        <v>397.25854270239961</v>
      </c>
      <c r="GE28" s="59">
        <f ca="1">AVERAGE(OFFSET($GD$3,0,0,'Données projet'!$E$17+1,1))-AVERAGE(OFFSET($H$3,0,0,'Données projet'!$E$17+1,1))</f>
        <v>257.66104339896992</v>
      </c>
      <c r="GF28" s="59">
        <f t="shared" si="50"/>
        <v>254.79488636184996</v>
      </c>
      <c r="GG28" s="15">
        <f>IF(ISNA(VLOOKUP(A28,'Données projet'!$A$243:$I$263,3,0)),0,VLOOKUP(A28,'Données projet'!$A$243:$I$263,3,0))</f>
        <v>4</v>
      </c>
      <c r="GH28" s="15">
        <f>IF(ISNA(VLOOKUP(A28,'Données projet'!$A$243:$I$263,4,0)),0,VLOOKUP(A28,'Données projet'!$A$243:$I$263,4,0))</f>
        <v>18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83</v>
      </c>
      <c r="GS28" s="12">
        <f>VLOOKUP(A28,'Données projet'!$A$269:$I$289,9,0)</f>
        <v>5.8</v>
      </c>
      <c r="GT28" s="12">
        <f t="array" ref="GT28">INDEX(GS:GS,MIN(IF(ISNUMBER(GS28:GS224),ROW(GS28:GS224),"")))</f>
        <v>5.8</v>
      </c>
      <c r="GU28" s="12">
        <f>IF('Données projet'!$A$270&gt;35,GU27+GT28-HC27,IF(A28&lt;'Données projet'!$A$270,$GR$205^A28,IF(A28='Données projet'!$A$270,'Données projet'!$B$270,GU27+GT28-HC27)))</f>
        <v>82.999999999999986</v>
      </c>
      <c r="GV28" s="17">
        <f>GU28*VLOOKUP('Données projet'!$B$18,Paramètres!$A$1:$I$89,3,0)*VLOOKUP('Données projet'!$B$18,Paramètres!$A$1:$I$89,5,0)</f>
        <v>67.329599999999999</v>
      </c>
      <c r="GW28" s="13">
        <f t="shared" si="51"/>
        <v>19.008809433660961</v>
      </c>
      <c r="GX28" s="20">
        <f t="shared" si="28"/>
        <v>150.37272976362615</v>
      </c>
      <c r="GY28" s="59">
        <f t="shared" si="29"/>
        <v>378.41050372995824</v>
      </c>
      <c r="GZ28" s="59">
        <f ca="1">AVERAGE(OFFSET($GY$3,0,0,'Données projet'!$E$18+1,1))-AVERAGE(OFFSET($H$3,0,0,'Données projet'!$E$18+1,1))</f>
        <v>299.98377156721153</v>
      </c>
      <c r="HA28" s="59">
        <f t="shared" si="52"/>
        <v>241.36164657721102</v>
      </c>
      <c r="HB28" s="15">
        <f>IF(ISNA(VLOOKUP(A28,'Données projet'!$A$269:$I$289,3,0)),0,VLOOKUP(A28,'Données projet'!$A$269:$I$289,3,0))</f>
        <v>2</v>
      </c>
      <c r="HC28" s="15">
        <f>IF(ISNA(VLOOKUP(A28,'Données projet'!$A$269:$I$289,4,0)),0,VLOOKUP(A28,'Données projet'!$A$269:$I$289,4,0))</f>
        <v>10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4.0628205133333335</v>
      </c>
      <c r="N29" s="13">
        <f>IF('Données projet'!$A$36&gt;35,N28+M29-V28,IF(A29&lt;'Données projet'!$A$36,$K$205^A29,IF(A29='Données projet'!$A$36,'Données projet'!$B$36,N28+M29-V28)))</f>
        <v>64.242491013250699</v>
      </c>
      <c r="O29" s="13">
        <f>N29*VLOOKUP('Données projet'!$B$9,Paramètres!$A$1:$I$89,3,0)*VLOOKUP('Données projet'!$B$9,Paramètres!$A$1:$I$89,5,0)</f>
        <v>58.126605868789227</v>
      </c>
      <c r="P29" s="13">
        <f t="shared" si="33"/>
        <v>16.693745310788277</v>
      </c>
      <c r="Q29" s="20">
        <f t="shared" si="2"/>
        <v>130.31211163776413</v>
      </c>
      <c r="R29" s="59">
        <f t="shared" si="0"/>
        <v>360.59882568695434</v>
      </c>
      <c r="S29" s="59">
        <f ca="1">AVERAGE(OFFSET($R$3,0,0,'Données projet'!$E$9+1,1))-AVERAGE(OFFSET($H$3,0,0,'Données projet'!$E$9+1,1))</f>
        <v>567.42635821507474</v>
      </c>
      <c r="T29" s="59">
        <f t="shared" si="34"/>
        <v>299.04735309930152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12.2</v>
      </c>
      <c r="AI29" s="13">
        <f>IF('Données projet'!$A$62&gt;35,AI28+AH29-AQ28,IF(A29&lt;'Données projet'!$A$62,$AF$205^A29,IF(A29='Données projet'!$A$62,'Données projet'!$B$62,AI28+AH29-AQ28)))</f>
        <v>97.2</v>
      </c>
      <c r="AJ29" s="13">
        <f>AI29*VLOOKUP('Données projet'!$B$10,Paramètres!$A$1:$I$89,3,0)*VLOOKUP('Données projet'!$B$10,Paramètres!$A$1:$I$89,5,0)</f>
        <v>83.397600000000011</v>
      </c>
      <c r="AK29" s="13">
        <f t="shared" si="35"/>
        <v>22.965893371329315</v>
      </c>
      <c r="AL29" s="20">
        <f t="shared" si="4"/>
        <v>185.24975095506522</v>
      </c>
      <c r="AM29" s="59">
        <f t="shared" si="5"/>
        <v>415.53646500425543</v>
      </c>
      <c r="AN29" s="59">
        <f ca="1">AVERAGE(OFFSET($AM$3,0,0,'Données projet'!$E$10+1,1))-AVERAGE(OFFSET($H$3,0,0,'Données projet'!$E$10+1,1))</f>
        <v>569.97793593332699</v>
      </c>
      <c r="AO29" s="59">
        <f t="shared" si="36"/>
        <v>331.25104323342907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16.666666666666668</v>
      </c>
      <c r="BD29" s="12">
        <f>IF('Données projet'!$A$88&gt;35,BD28+BC29-BL28,IF(A29&lt;'Données projet'!$A$88,$BA$205^A29,IF(A29='Données projet'!$A$88,'Données projet'!$B$88,BD28+BC29-BL28)))</f>
        <v>188.33333333333331</v>
      </c>
      <c r="BE29" s="13">
        <f>BD29*VLOOKUP('Données projet'!$B$11,Paramètres!$A$1:$I$89,3,0)*VLOOKUP('Données projet'!$B$11,Paramètres!$A$1:$I$89,5,0)</f>
        <v>102.83</v>
      </c>
      <c r="BF29" s="13">
        <f t="shared" si="37"/>
        <v>27.635107084401234</v>
      </c>
      <c r="BG29" s="20">
        <f t="shared" si="7"/>
        <v>227.22672817199881</v>
      </c>
      <c r="BH29" s="59">
        <f t="shared" si="8"/>
        <v>457.513442221189</v>
      </c>
      <c r="BI29" s="59">
        <f ca="1">AVERAGE(OFFSET($BH$3,0,0,'Données projet'!$E$11+1,1))-AVERAGE(OFFSET($H$3,0,0,'Données projet'!$E$11+1,1))</f>
        <v>215.37314197175104</v>
      </c>
      <c r="BJ29" s="59">
        <f t="shared" si="38"/>
        <v>361.17630426655978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70.549134448976261</v>
      </c>
      <c r="BR29" s="21">
        <f>EXP(-LN(2)/2)*BR28+(1-EXP(-LN(2)/2))/(LN(2)/2)*BL29*BO29*VLOOKUP('Données projet'!$B$11,Paramètres!$A$1:$I$89,3,0)*0.475*44/12</f>
        <v>0.10142324627686294</v>
      </c>
      <c r="BS29" s="22">
        <f t="shared" si="9"/>
        <v>70.650557695253127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28.819999999999993</v>
      </c>
      <c r="BY29" s="12">
        <f>IF('Données projet'!$A$114&gt;35,BY28+BX29-CG28,IF(A29&lt;'Données projet'!$A$114,$BV$205^A29,IF(A29='Données projet'!$A$114,'Données projet'!$B$114,BY28+BX29-CG28)))</f>
        <v>295.41000000000003</v>
      </c>
      <c r="BZ29" s="13">
        <f>BY29*VLOOKUP('Données projet'!$B$12,Paramètres!$A$1:$I$89,3,0)*VLOOKUP('Données projet'!$B$12,Paramètres!$A$1:$I$89,5,0)</f>
        <v>165.13419000000002</v>
      </c>
      <c r="CA29" s="13">
        <f t="shared" si="39"/>
        <v>41.998408993833188</v>
      </c>
      <c r="CB29" s="20">
        <f t="shared" si="10"/>
        <v>360.75594324759282</v>
      </c>
      <c r="CC29" s="59">
        <f t="shared" si="11"/>
        <v>591.04265729678298</v>
      </c>
      <c r="CD29" s="59">
        <f ca="1">AVERAGE(OFFSET($CC$3,0,0,'Données projet'!$E$12+1,1))-AVERAGE(OFFSET($H$3,0,0,'Données projet'!$E$12+1,1))</f>
        <v>420.4890915162182</v>
      </c>
      <c r="CE29" s="59">
        <f t="shared" si="40"/>
        <v>553.48432338023565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19.750846497795294</v>
      </c>
      <c r="CM29" s="21">
        <f>EXP(-LN(2)/2)*CM28+(1-EXP(-LN(2)/2))/(LN(2)/2)*CG29*CJ29*VLOOKUP('Données projet'!$B$12,Paramètres!$A$1:$I$89,3,0)*0.475*44/12</f>
        <v>2.9596821162512486</v>
      </c>
      <c r="CN29" s="22">
        <f t="shared" si="12"/>
        <v>22.710528614046542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16.399999999999999</v>
      </c>
      <c r="CT29" s="12">
        <f>IF('Données projet'!$A$140&gt;35,CT28+CS29-DB28,IF(A29&lt;'Données projet'!$A$140,$CQ$205^A29,IF(A29='Données projet'!$A$140,'Données projet'!$B$140,CT28+CS29-DB28)))</f>
        <v>139.40000000000003</v>
      </c>
      <c r="CU29" s="17">
        <f>CT29*VLOOKUP('Données projet'!$B$13,Paramètres!$A$1:$I$89,3,0)*VLOOKUP('Données projet'!$B$13,Paramètres!$A$1:$I$89,5,0)</f>
        <v>102.20808000000002</v>
      </c>
      <c r="CV29" s="13">
        <f t="shared" si="41"/>
        <v>27.487371629246301</v>
      </c>
      <c r="CW29" s="20">
        <f t="shared" si="13"/>
        <v>225.88624492093732</v>
      </c>
      <c r="CX29" s="59">
        <f t="shared" si="14"/>
        <v>456.17295897012752</v>
      </c>
      <c r="CY29" s="59">
        <f ca="1">AVERAGE(OFFSET($CX$3,0,0,'Données projet'!$E$13+1,1))-AVERAGE(OFFSET($H$3,0,0,'Données projet'!$E$13+1,1))</f>
        <v>400.48995908576177</v>
      </c>
      <c r="CZ29" s="59">
        <f t="shared" si="42"/>
        <v>384.86917865380076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16.399999999999999</v>
      </c>
      <c r="DO29" s="12">
        <f>IF('Données projet'!$A$166&gt;35,DO28+DN29-DW28,IF(A29&lt;'Données projet'!$A$166,$DL$205^A29,IF(A29='Données projet'!$A$166,'Données projet'!$B$166,DO28+DN29-DW28)))</f>
        <v>139.40000000000003</v>
      </c>
      <c r="DP29" s="17">
        <f>DO29*VLOOKUP('Données projet'!$B$14,Paramètres!$A$1:$I$89,3,0)*VLOOKUP('Données projet'!$B$14,Paramètres!$A$1:$I$89,5,0)</f>
        <v>110.90664000000004</v>
      </c>
      <c r="DQ29" s="13">
        <f t="shared" si="43"/>
        <v>29.544493872672952</v>
      </c>
      <c r="DR29" s="20">
        <f t="shared" si="16"/>
        <v>244.6190581615721</v>
      </c>
      <c r="DS29" s="59">
        <f t="shared" si="17"/>
        <v>474.90577221076228</v>
      </c>
      <c r="DT29" s="59">
        <f ca="1">AVERAGE(OFFSET($DS$3,0,0,'Données projet'!$E$14+1,1))-AVERAGE(OFFSET($H$3,0,0,'Données projet'!$E$14+1,1))</f>
        <v>429.30603040255431</v>
      </c>
      <c r="DU29" s="59">
        <f t="shared" si="44"/>
        <v>412.18613903804726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7.3717948717948714</v>
      </c>
      <c r="EJ29" s="12">
        <f>IF('Données projet'!$A$192&gt;35,EJ28+EI29-ER28,IF(A29&lt;'Données projet'!$A$192,$EG$205^A29,IF(A29='Données projet'!$A$192,'Données projet'!$B$192,EJ28+EI29-ER28)))</f>
        <v>62.5</v>
      </c>
      <c r="EK29" s="17">
        <f>EJ29*VLOOKUP('Données projet'!$B$15,Paramètres!$A$1:$I$89,3,0)*VLOOKUP('Données projet'!$B$15,Paramètres!$A$1:$I$89,5,0)</f>
        <v>48.75</v>
      </c>
      <c r="EL29" s="13">
        <f t="shared" si="45"/>
        <v>14.290467583875053</v>
      </c>
      <c r="EM29" s="20">
        <f t="shared" si="19"/>
        <v>109.79548104191571</v>
      </c>
      <c r="EN29" s="59">
        <f t="shared" si="20"/>
        <v>340.08219509110586</v>
      </c>
      <c r="EO29" s="59">
        <f ca="1">AVERAGE(OFFSET($EN$3,0,0,'Données projet'!$E$15+1,1))-AVERAGE(OFFSET($H$3,0,0,'Données projet'!$E$15+1,1))</f>
        <v>217.53602321474159</v>
      </c>
      <c r="EP29" s="59">
        <f t="shared" si="46"/>
        <v>215.75909414893025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4.0628205133333335</v>
      </c>
      <c r="FE29" s="12">
        <f>IF('Données projet'!$A$218&gt;35,FE28+FD29-FM28,IF(A29&lt;'Données projet'!$A$218,$FB$205^A29,IF(A29='Données projet'!$A$218,'Données projet'!$B$218,FE28+FD29-FM28)))</f>
        <v>64.242491013250699</v>
      </c>
      <c r="FF29" s="17">
        <f>FE29*VLOOKUP('Données projet'!$B$16,Paramètres!$A$1:$I$89,3,0)*VLOOKUP('Données projet'!$B$16,Paramètres!$A$1:$I$89,5,0)</f>
        <v>43.093862971688573</v>
      </c>
      <c r="FG29" s="13">
        <f t="shared" si="47"/>
        <v>12.815086312799156</v>
      </c>
      <c r="FH29" s="20">
        <f t="shared" si="22"/>
        <v>97.374753337149457</v>
      </c>
      <c r="FI29" s="59">
        <f t="shared" si="23"/>
        <v>327.66146738633961</v>
      </c>
      <c r="FJ29" s="59">
        <f ca="1">AVERAGE(OFFSET($FI$3,0,0,'Données projet'!$E$16+1,1))-AVERAGE(OFFSET($H$3,0,0,'Données projet'!$E$16+1,1))</f>
        <v>441.20130048888439</v>
      </c>
      <c r="FK29" s="59">
        <f t="shared" si="48"/>
        <v>237.47732532183946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7.8</v>
      </c>
      <c r="FZ29" s="12">
        <f>IF('Données projet'!$A$244&gt;35,FZ28+FY29-GH28,IF(A29&lt;'Données projet'!$A$244,$FW$205^A29,IF(A29='Données projet'!$A$244,'Données projet'!$B$244,FZ28+FY29-GH28)))</f>
        <v>105.80000000000003</v>
      </c>
      <c r="GA29" s="17">
        <f>FZ29*VLOOKUP('Données projet'!$B$17,Paramètres!$A$1:$I$89,3,0)*VLOOKUP('Données projet'!$B$17,Paramètres!$A$1:$I$89,5,0)</f>
        <v>69.320160000000016</v>
      </c>
      <c r="GB29" s="13">
        <f t="shared" si="49"/>
        <v>19.50453356393022</v>
      </c>
      <c r="GC29" s="20">
        <f t="shared" si="25"/>
        <v>154.70300795717847</v>
      </c>
      <c r="GD29" s="59">
        <f t="shared" si="26"/>
        <v>384.98972200636865</v>
      </c>
      <c r="GE29" s="59">
        <f ca="1">AVERAGE(OFFSET($GD$3,0,0,'Données projet'!$E$17+1,1))-AVERAGE(OFFSET($H$3,0,0,'Données projet'!$E$17+1,1))</f>
        <v>257.66104339896992</v>
      </c>
      <c r="GF29" s="59">
        <f t="shared" si="50"/>
        <v>254.79488636184996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6</v>
      </c>
      <c r="GU29" s="12">
        <f>IF('Données projet'!$A$270&gt;35,GU28+GT29-HC28,IF(A29&lt;'Données projet'!$A$270,$GR$205^A29,IF(A29='Données projet'!$A$270,'Données projet'!$B$270,GU28+GT29-HC28)))</f>
        <v>78.999999999999986</v>
      </c>
      <c r="GV29" s="17">
        <f>GU29*VLOOKUP('Données projet'!$B$18,Paramètres!$A$1:$I$89,3,0)*VLOOKUP('Données projet'!$B$18,Paramètres!$A$1:$I$89,5,0)</f>
        <v>64.084799999999987</v>
      </c>
      <c r="GW29" s="13">
        <f t="shared" si="51"/>
        <v>18.197042620605469</v>
      </c>
      <c r="GX29" s="20">
        <f t="shared" si="28"/>
        <v>143.30754256422117</v>
      </c>
      <c r="GY29" s="59">
        <f t="shared" si="29"/>
        <v>373.59425661341135</v>
      </c>
      <c r="GZ29" s="59">
        <f ca="1">AVERAGE(OFFSET($GY$3,0,0,'Données projet'!$E$18+1,1))-AVERAGE(OFFSET($H$3,0,0,'Données projet'!$E$18+1,1))</f>
        <v>299.98377156721153</v>
      </c>
      <c r="HA29" s="59">
        <f t="shared" si="52"/>
        <v>241.36164657721102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4.0628205133333335</v>
      </c>
      <c r="N30" s="13">
        <f>IF('Données projet'!$A$36&gt;35,N29+M30-V29,IF(A30&lt;'Données projet'!$A$36,$K$205^A30,IF(A30='Données projet'!$A$36,'Données projet'!$B$36,N29+M30-V29)))</f>
        <v>75.396988931129442</v>
      </c>
      <c r="O30" s="13">
        <f>N30*VLOOKUP('Données projet'!$B$9,Paramètres!$A$1:$I$89,3,0)*VLOOKUP('Données projet'!$B$9,Paramètres!$A$1:$I$89,5,0)</f>
        <v>68.21919558488591</v>
      </c>
      <c r="P30" s="13">
        <f t="shared" si="33"/>
        <v>19.230560007492496</v>
      </c>
      <c r="Q30" s="20">
        <f t="shared" si="2"/>
        <v>152.30832432339238</v>
      </c>
      <c r="R30" s="59">
        <f t="shared" si="0"/>
        <v>384.82616719595592</v>
      </c>
      <c r="S30" s="59">
        <f ca="1">AVERAGE(OFFSET($R$3,0,0,'Données projet'!$E$9+1,1))-AVERAGE(OFFSET($H$3,0,0,'Données projet'!$E$9+1,1))</f>
        <v>567.42635821507474</v>
      </c>
      <c r="T30" s="59">
        <f t="shared" si="34"/>
        <v>299.04735309930152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12.2</v>
      </c>
      <c r="AI30" s="13">
        <f>IF('Données projet'!$A$62&gt;35,AI29+AH30-AQ29,IF(A30&lt;'Données projet'!$A$62,$AF$205^A30,IF(A30='Données projet'!$A$62,'Données projet'!$B$62,AI29+AH30-AQ29)))</f>
        <v>109.4</v>
      </c>
      <c r="AJ30" s="13">
        <f>AI30*VLOOKUP('Données projet'!$B$10,Paramètres!$A$1:$I$89,3,0)*VLOOKUP('Données projet'!$B$10,Paramètres!$A$1:$I$89,5,0)</f>
        <v>93.865200000000016</v>
      </c>
      <c r="AK30" s="13">
        <f t="shared" si="35"/>
        <v>25.495124560846406</v>
      </c>
      <c r="AL30" s="20">
        <f t="shared" si="4"/>
        <v>207.88589861014086</v>
      </c>
      <c r="AM30" s="59">
        <f t="shared" si="5"/>
        <v>440.40374148270439</v>
      </c>
      <c r="AN30" s="59">
        <f ca="1">AVERAGE(OFFSET($AM$3,0,0,'Données projet'!$E$10+1,1))-AVERAGE(OFFSET($H$3,0,0,'Données projet'!$E$10+1,1))</f>
        <v>569.97793593332699</v>
      </c>
      <c r="AO30" s="59">
        <f t="shared" si="36"/>
        <v>331.25104323342907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16.666666666666668</v>
      </c>
      <c r="BD30" s="12">
        <f>IF('Données projet'!$A$88&gt;35,BD29+BC30-BL29,IF(A30&lt;'Données projet'!$A$88,$BA$205^A30,IF(A30='Données projet'!$A$88,'Données projet'!$B$88,BD29+BC30-BL29)))</f>
        <v>204.99999999999997</v>
      </c>
      <c r="BE30" s="13">
        <f>BD30*VLOOKUP('Données projet'!$B$11,Paramètres!$A$1:$I$89,3,0)*VLOOKUP('Données projet'!$B$11,Paramètres!$A$1:$I$89,5,0)</f>
        <v>111.92999999999998</v>
      </c>
      <c r="BF30" s="13">
        <f t="shared" si="37"/>
        <v>29.785246291563833</v>
      </c>
      <c r="BG30" s="20">
        <f t="shared" si="7"/>
        <v>246.82072062447358</v>
      </c>
      <c r="BH30" s="59">
        <f t="shared" si="8"/>
        <v>479.33856349703706</v>
      </c>
      <c r="BI30" s="59">
        <f ca="1">AVERAGE(OFFSET($BH$3,0,0,'Données projet'!$E$11+1,1))-AVERAGE(OFFSET($H$3,0,0,'Données projet'!$E$11+1,1))</f>
        <v>215.37314197175104</v>
      </c>
      <c r="BJ30" s="59">
        <f t="shared" si="38"/>
        <v>361.17630426655978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68.619964657451263</v>
      </c>
      <c r="BR30" s="21">
        <f>EXP(-LN(2)/2)*BR29+(1-EXP(-LN(2)/2))/(LN(2)/2)*BL30*BO30*VLOOKUP('Données projet'!$B$11,Paramètres!$A$1:$I$89,3,0)*0.475*44/12</f>
        <v>7.1717065212323045E-2</v>
      </c>
      <c r="BS30" s="22">
        <f t="shared" si="9"/>
        <v>68.691681722663589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28.819999999999993</v>
      </c>
      <c r="BY30" s="12">
        <f>IF('Données projet'!$A$114&gt;35,BY29+BX30-CG29,IF(A30&lt;'Données projet'!$A$114,$BV$205^A30,IF(A30='Données projet'!$A$114,'Données projet'!$B$114,BY29+BX30-CG29)))</f>
        <v>324.23</v>
      </c>
      <c r="BZ30" s="13">
        <f>BY30*VLOOKUP('Données projet'!$B$12,Paramètres!$A$1:$I$89,3,0)*VLOOKUP('Données projet'!$B$12,Paramètres!$A$1:$I$89,5,0)</f>
        <v>181.24457000000001</v>
      </c>
      <c r="CA30" s="13">
        <f t="shared" si="39"/>
        <v>45.598968922238527</v>
      </c>
      <c r="CB30" s="20">
        <f t="shared" si="10"/>
        <v>395.08583028956542</v>
      </c>
      <c r="CC30" s="59">
        <f t="shared" si="11"/>
        <v>627.60367316212887</v>
      </c>
      <c r="CD30" s="59">
        <f ca="1">AVERAGE(OFFSET($CC$3,0,0,'Données projet'!$E$12+1,1))-AVERAGE(OFFSET($H$3,0,0,'Données projet'!$E$12+1,1))</f>
        <v>420.4890915162182</v>
      </c>
      <c r="CE30" s="59">
        <f t="shared" si="40"/>
        <v>553.48432338023565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19.210758561661205</v>
      </c>
      <c r="CM30" s="21">
        <f>EXP(-LN(2)/2)*CM29+(1-EXP(-LN(2)/2))/(LN(2)/2)*CG30*CJ30*VLOOKUP('Données projet'!$B$12,Paramètres!$A$1:$I$89,3,0)*0.475*44/12</f>
        <v>2.0928112945578095</v>
      </c>
      <c r="CN30" s="22">
        <f t="shared" si="12"/>
        <v>21.303569856219013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16.399999999999999</v>
      </c>
      <c r="CT30" s="12">
        <f>IF('Données projet'!$A$140&gt;35,CT29+CS30-DB29,IF(A30&lt;'Données projet'!$A$140,$CQ$205^A30,IF(A30='Données projet'!$A$140,'Données projet'!$B$140,CT29+CS30-DB29)))</f>
        <v>155.80000000000004</v>
      </c>
      <c r="CU30" s="17">
        <f>CT30*VLOOKUP('Données projet'!$B$13,Paramètres!$A$1:$I$89,3,0)*VLOOKUP('Données projet'!$B$13,Paramètres!$A$1:$I$89,5,0)</f>
        <v>114.23256000000002</v>
      </c>
      <c r="CV30" s="13">
        <f t="shared" si="41"/>
        <v>30.326006869580301</v>
      </c>
      <c r="CW30" s="20">
        <f t="shared" si="13"/>
        <v>251.77283729785236</v>
      </c>
      <c r="CX30" s="59">
        <f t="shared" si="14"/>
        <v>484.29068017041584</v>
      </c>
      <c r="CY30" s="59">
        <f ca="1">AVERAGE(OFFSET($CX$3,0,0,'Données projet'!$E$13+1,1))-AVERAGE(OFFSET($H$3,0,0,'Données projet'!$E$13+1,1))</f>
        <v>400.48995908576177</v>
      </c>
      <c r="CZ30" s="59">
        <f t="shared" si="42"/>
        <v>384.86917865380076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16.399999999999999</v>
      </c>
      <c r="DO30" s="12">
        <f>IF('Données projet'!$A$166&gt;35,DO29+DN30-DW29,IF(A30&lt;'Données projet'!$A$166,$DL$205^A30,IF(A30='Données projet'!$A$166,'Données projet'!$B$166,DO29+DN30-DW29)))</f>
        <v>155.80000000000004</v>
      </c>
      <c r="DP30" s="17">
        <f>DO30*VLOOKUP('Données projet'!$B$14,Paramètres!$A$1:$I$89,3,0)*VLOOKUP('Données projet'!$B$14,Paramètres!$A$1:$I$89,5,0)</f>
        <v>123.95448000000005</v>
      </c>
      <c r="DQ30" s="13">
        <f t="shared" si="43"/>
        <v>32.595569202682604</v>
      </c>
      <c r="DR30" s="20">
        <f t="shared" si="16"/>
        <v>272.65800236133896</v>
      </c>
      <c r="DS30" s="59">
        <f t="shared" si="17"/>
        <v>505.17584523390246</v>
      </c>
      <c r="DT30" s="59">
        <f ca="1">AVERAGE(OFFSET($DS$3,0,0,'Données projet'!$E$14+1,1))-AVERAGE(OFFSET($H$3,0,0,'Données projet'!$E$14+1,1))</f>
        <v>429.30603040255431</v>
      </c>
      <c r="DU30" s="59">
        <f t="shared" si="44"/>
        <v>412.18613903804726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7.3717948717948714</v>
      </c>
      <c r="EJ30" s="12">
        <f>IF('Données projet'!$A$192&gt;35,EJ29+EI30-ER29,IF(A30&lt;'Données projet'!$A$192,$EG$205^A30,IF(A30='Données projet'!$A$192,'Données projet'!$B$192,EJ29+EI30-ER29)))</f>
        <v>69.871794871794876</v>
      </c>
      <c r="EK30" s="17">
        <f>EJ30*VLOOKUP('Données projet'!$B$15,Paramètres!$A$1:$I$89,3,0)*VLOOKUP('Données projet'!$B$15,Paramètres!$A$1:$I$89,5,0)</f>
        <v>54.500000000000007</v>
      </c>
      <c r="EL30" s="13">
        <f t="shared" si="45"/>
        <v>15.770011654349027</v>
      </c>
      <c r="EM30" s="20">
        <f t="shared" si="19"/>
        <v>122.38693696465789</v>
      </c>
      <c r="EN30" s="59">
        <f t="shared" si="20"/>
        <v>354.90477983722138</v>
      </c>
      <c r="EO30" s="59">
        <f ca="1">AVERAGE(OFFSET($EN$3,0,0,'Données projet'!$E$15+1,1))-AVERAGE(OFFSET($H$3,0,0,'Données projet'!$E$15+1,1))</f>
        <v>217.53602321474159</v>
      </c>
      <c r="EP30" s="59">
        <f t="shared" si="46"/>
        <v>215.75909414893025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4.0628205133333335</v>
      </c>
      <c r="FE30" s="12">
        <f>IF('Données projet'!$A$218&gt;35,FE29+FD30-FM29,IF(A30&lt;'Données projet'!$A$218,$FB$205^A30,IF(A30='Données projet'!$A$218,'Données projet'!$B$218,FE29+FD30-FM29)))</f>
        <v>75.396988931129442</v>
      </c>
      <c r="FF30" s="17">
        <f>FE30*VLOOKUP('Données projet'!$B$16,Paramètres!$A$1:$I$89,3,0)*VLOOKUP('Données projet'!$B$16,Paramètres!$A$1:$I$89,5,0)</f>
        <v>50.576300175001627</v>
      </c>
      <c r="FG30" s="13">
        <f t="shared" si="47"/>
        <v>14.762492283874606</v>
      </c>
      <c r="FH30" s="20">
        <f t="shared" si="22"/>
        <v>113.79839686587609</v>
      </c>
      <c r="FI30" s="59">
        <f t="shared" si="23"/>
        <v>346.31623973843961</v>
      </c>
      <c r="FJ30" s="59">
        <f ca="1">AVERAGE(OFFSET($FI$3,0,0,'Données projet'!$E$16+1,1))-AVERAGE(OFFSET($H$3,0,0,'Données projet'!$E$16+1,1))</f>
        <v>441.20130048888439</v>
      </c>
      <c r="FK30" s="59">
        <f t="shared" si="48"/>
        <v>237.47732532183946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7.8</v>
      </c>
      <c r="FZ30" s="12">
        <f>IF('Données projet'!$A$244&gt;35,FZ29+FY30-GH29,IF(A30&lt;'Données projet'!$A$244,$FW$205^A30,IF(A30='Données projet'!$A$244,'Données projet'!$B$244,FZ29+FY30-GH29)))</f>
        <v>113.60000000000002</v>
      </c>
      <c r="GA30" s="17">
        <f>FZ30*VLOOKUP('Données projet'!$B$17,Paramètres!$A$1:$I$89,3,0)*VLOOKUP('Données projet'!$B$17,Paramètres!$A$1:$I$89,5,0)</f>
        <v>74.430720000000022</v>
      </c>
      <c r="GB30" s="13">
        <f t="shared" si="49"/>
        <v>20.76980057385482</v>
      </c>
      <c r="GC30" s="20">
        <f t="shared" si="25"/>
        <v>165.80757333279718</v>
      </c>
      <c r="GD30" s="59">
        <f t="shared" si="26"/>
        <v>398.32541620536068</v>
      </c>
      <c r="GE30" s="59">
        <f ca="1">AVERAGE(OFFSET($GD$3,0,0,'Données projet'!$E$17+1,1))-AVERAGE(OFFSET($H$3,0,0,'Données projet'!$E$17+1,1))</f>
        <v>257.66104339896992</v>
      </c>
      <c r="GF30" s="59">
        <f t="shared" si="50"/>
        <v>254.79488636184996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6</v>
      </c>
      <c r="GU30" s="12">
        <f>IF('Données projet'!$A$270&gt;35,GU29+GT30-HC29,IF(A30&lt;'Données projet'!$A$270,$GR$205^A30,IF(A30='Données projet'!$A$270,'Données projet'!$B$270,GU29+GT30-HC29)))</f>
        <v>84.999999999999986</v>
      </c>
      <c r="GV30" s="17">
        <f>GU30*VLOOKUP('Données projet'!$B$18,Paramètres!$A$1:$I$89,3,0)*VLOOKUP('Données projet'!$B$18,Paramètres!$A$1:$I$89,5,0)</f>
        <v>68.951999999999998</v>
      </c>
      <c r="GW30" s="13">
        <f t="shared" si="51"/>
        <v>19.412974191553594</v>
      </c>
      <c r="GX30" s="20">
        <f t="shared" si="28"/>
        <v>153.90233005028915</v>
      </c>
      <c r="GY30" s="59">
        <f t="shared" si="29"/>
        <v>386.42017292285266</v>
      </c>
      <c r="GZ30" s="59">
        <f ca="1">AVERAGE(OFFSET($GY$3,0,0,'Données projet'!$E$18+1,1))-AVERAGE(OFFSET($H$3,0,0,'Données projet'!$E$18+1,1))</f>
        <v>299.98377156721153</v>
      </c>
      <c r="HA30" s="59">
        <f t="shared" si="52"/>
        <v>241.36164657721102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4.0628205133333335</v>
      </c>
      <c r="N31" s="13">
        <f>IF('Données projet'!$A$36&gt;35,N30+M31-V30,IF(A31&lt;'Données projet'!$A$36,$K$205^A31,IF(A31='Données projet'!$A$36,'Données projet'!$B$36,N30+M31-V30)))</f>
        <v>88.488255206485093</v>
      </c>
      <c r="O31" s="13">
        <f>N31*VLOOKUP('Données projet'!$B$9,Paramètres!$A$1:$I$89,3,0)*VLOOKUP('Données projet'!$B$9,Paramètres!$A$1:$I$89,5,0)</f>
        <v>80.064173310827712</v>
      </c>
      <c r="P31" s="13">
        <f t="shared" si="33"/>
        <v>22.15287410445745</v>
      </c>
      <c r="Q31" s="20">
        <f t="shared" si="2"/>
        <v>178.02802424828835</v>
      </c>
      <c r="R31" s="59">
        <f t="shared" si="0"/>
        <v>412.75949367027243</v>
      </c>
      <c r="S31" s="59">
        <f ca="1">AVERAGE(OFFSET($R$3,0,0,'Données projet'!$E$9+1,1))-AVERAGE(OFFSET($H$3,0,0,'Données projet'!$E$9+1,1))</f>
        <v>567.42635821507474</v>
      </c>
      <c r="T31" s="59">
        <f t="shared" si="34"/>
        <v>299.04735309930152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12.2</v>
      </c>
      <c r="AI31" s="13">
        <f>IF('Données projet'!$A$62&gt;35,AI30+AH31-AQ30,IF(A31&lt;'Données projet'!$A$62,$AF$205^A31,IF(A31='Données projet'!$A$62,'Données projet'!$B$62,AI30+AH31-AQ30)))</f>
        <v>121.60000000000001</v>
      </c>
      <c r="AJ31" s="13">
        <f>AI31*VLOOKUP('Données projet'!$B$10,Paramètres!$A$1:$I$89,3,0)*VLOOKUP('Données projet'!$B$10,Paramètres!$A$1:$I$89,5,0)</f>
        <v>104.33280000000002</v>
      </c>
      <c r="AK31" s="13">
        <f t="shared" si="35"/>
        <v>27.991665469945552</v>
      </c>
      <c r="AL31" s="20">
        <f t="shared" si="4"/>
        <v>230.46511069348855</v>
      </c>
      <c r="AM31" s="59">
        <f t="shared" si="5"/>
        <v>465.19658011547267</v>
      </c>
      <c r="AN31" s="59">
        <f ca="1">AVERAGE(OFFSET($AM$3,0,0,'Données projet'!$E$10+1,1))-AVERAGE(OFFSET($H$3,0,0,'Données projet'!$E$10+1,1))</f>
        <v>569.97793593332699</v>
      </c>
      <c r="AO31" s="59">
        <f t="shared" si="36"/>
        <v>331.25104323342907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16.666666666666668</v>
      </c>
      <c r="BD31" s="12">
        <f>IF('Données projet'!$A$88&gt;35,BD30+BC31-BL30,IF(A31&lt;'Données projet'!$A$88,$BA$205^A31,IF(A31='Données projet'!$A$88,'Données projet'!$B$88,BD30+BC31-BL30)))</f>
        <v>221.66666666666663</v>
      </c>
      <c r="BE31" s="13">
        <f>BD31*VLOOKUP('Données projet'!$B$11,Paramètres!$A$1:$I$89,3,0)*VLOOKUP('Données projet'!$B$11,Paramètres!$A$1:$I$89,5,0)</f>
        <v>121.02999999999997</v>
      </c>
      <c r="BF31" s="13">
        <f t="shared" si="37"/>
        <v>31.915110254002617</v>
      </c>
      <c r="BG31" s="20">
        <f t="shared" si="7"/>
        <v>266.3794003590545</v>
      </c>
      <c r="BH31" s="59">
        <f t="shared" si="8"/>
        <v>501.11086978103856</v>
      </c>
      <c r="BI31" s="59">
        <f ca="1">AVERAGE(OFFSET($BH$3,0,0,'Données projet'!$E$11+1,1))-AVERAGE(OFFSET($H$3,0,0,'Données projet'!$E$11+1,1))</f>
        <v>215.37314197175104</v>
      </c>
      <c r="BJ31" s="59">
        <f t="shared" si="38"/>
        <v>361.17630426655978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66.743548115326149</v>
      </c>
      <c r="BR31" s="21">
        <f>EXP(-LN(2)/2)*BR30+(1-EXP(-LN(2)/2))/(LN(2)/2)*BL31*BO31*VLOOKUP('Données projet'!$B$11,Paramètres!$A$1:$I$89,3,0)*0.475*44/12</f>
        <v>5.0711623138431472E-2</v>
      </c>
      <c r="BS31" s="22">
        <f t="shared" si="9"/>
        <v>66.794259738464575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28.819999999999993</v>
      </c>
      <c r="BY31" s="12">
        <f>IF('Données projet'!$A$114&gt;35,BY30+BX31-CG30,IF(A31&lt;'Données projet'!$A$114,$BV$205^A31,IF(A31='Données projet'!$A$114,'Données projet'!$B$114,BY30+BX31-CG30)))</f>
        <v>353.05</v>
      </c>
      <c r="BZ31" s="13">
        <f>BY31*VLOOKUP('Données projet'!$B$12,Paramètres!$A$1:$I$89,3,0)*VLOOKUP('Données projet'!$B$12,Paramètres!$A$1:$I$89,5,0)</f>
        <v>197.35495</v>
      </c>
      <c r="CA31" s="13">
        <f t="shared" si="39"/>
        <v>49.162416141827357</v>
      </c>
      <c r="CB31" s="20">
        <f t="shared" si="10"/>
        <v>429.35107936368263</v>
      </c>
      <c r="CC31" s="59">
        <f t="shared" si="11"/>
        <v>664.08254878566675</v>
      </c>
      <c r="CD31" s="59">
        <f ca="1">AVERAGE(OFFSET($CC$3,0,0,'Données projet'!$E$12+1,1))-AVERAGE(OFFSET($H$3,0,0,'Données projet'!$E$12+1,1))</f>
        <v>420.4890915162182</v>
      </c>
      <c r="CE31" s="59">
        <f t="shared" si="40"/>
        <v>553.48432338023565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18.685439358542695</v>
      </c>
      <c r="CM31" s="21">
        <f>EXP(-LN(2)/2)*CM30+(1-EXP(-LN(2)/2))/(LN(2)/2)*CG31*CJ31*VLOOKUP('Données projet'!$B$12,Paramètres!$A$1:$I$89,3,0)*0.475*44/12</f>
        <v>1.4798410581256243</v>
      </c>
      <c r="CN31" s="22">
        <f t="shared" si="12"/>
        <v>20.16528041666832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16.399999999999999</v>
      </c>
      <c r="CT31" s="12">
        <f>IF('Données projet'!$A$140&gt;35,CT30+CS31-DB30,IF(A31&lt;'Données projet'!$A$140,$CQ$205^A31,IF(A31='Données projet'!$A$140,'Données projet'!$B$140,CT30+CS31-DB30)))</f>
        <v>172.20000000000005</v>
      </c>
      <c r="CU31" s="17">
        <f>CT31*VLOOKUP('Données projet'!$B$13,Paramètres!$A$1:$I$89,3,0)*VLOOKUP('Données projet'!$B$13,Paramètres!$A$1:$I$89,5,0)</f>
        <v>126.25704000000002</v>
      </c>
      <c r="CV31" s="13">
        <f t="shared" si="41"/>
        <v>33.130006114881255</v>
      </c>
      <c r="CW31" s="20">
        <f t="shared" si="13"/>
        <v>277.59910531675155</v>
      </c>
      <c r="CX31" s="59">
        <f t="shared" si="14"/>
        <v>512.33057473873566</v>
      </c>
      <c r="CY31" s="59">
        <f ca="1">AVERAGE(OFFSET($CX$3,0,0,'Données projet'!$E$13+1,1))-AVERAGE(OFFSET($H$3,0,0,'Données projet'!$E$13+1,1))</f>
        <v>400.48995908576177</v>
      </c>
      <c r="CZ31" s="59">
        <f t="shared" si="42"/>
        <v>384.86917865380076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16.399999999999999</v>
      </c>
      <c r="DO31" s="12">
        <f>IF('Données projet'!$A$166&gt;35,DO30+DN31-DW30,IF(A31&lt;'Données projet'!$A$166,$DL$205^A31,IF(A31='Données projet'!$A$166,'Données projet'!$B$166,DO30+DN31-DW30)))</f>
        <v>172.20000000000005</v>
      </c>
      <c r="DP31" s="17">
        <f>DO31*VLOOKUP('Données projet'!$B$14,Paramètres!$A$1:$I$89,3,0)*VLOOKUP('Données projet'!$B$14,Paramètres!$A$1:$I$89,5,0)</f>
        <v>137.00232000000005</v>
      </c>
      <c r="DQ31" s="13">
        <f t="shared" si="43"/>
        <v>35.609416420931346</v>
      </c>
      <c r="DR31" s="20">
        <f t="shared" si="16"/>
        <v>300.63210759978887</v>
      </c>
      <c r="DS31" s="59">
        <f t="shared" si="17"/>
        <v>535.36357702177293</v>
      </c>
      <c r="DT31" s="59">
        <f ca="1">AVERAGE(OFFSET($DS$3,0,0,'Données projet'!$E$14+1,1))-AVERAGE(OFFSET($H$3,0,0,'Données projet'!$E$14+1,1))</f>
        <v>429.30603040255431</v>
      </c>
      <c r="DU31" s="59">
        <f t="shared" si="44"/>
        <v>412.18613903804726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7.3717948717948714</v>
      </c>
      <c r="EJ31" s="12">
        <f>IF('Données projet'!$A$192&gt;35,EJ30+EI31-ER30,IF(A31&lt;'Données projet'!$A$192,$EG$205^A31,IF(A31='Données projet'!$A$192,'Données projet'!$B$192,EJ30+EI31-ER30)))</f>
        <v>77.243589743589752</v>
      </c>
      <c r="EK31" s="17">
        <f>EJ31*VLOOKUP('Données projet'!$B$15,Paramètres!$A$1:$I$89,3,0)*VLOOKUP('Données projet'!$B$15,Paramètres!$A$1:$I$89,5,0)</f>
        <v>60.250000000000007</v>
      </c>
      <c r="EL31" s="13">
        <f t="shared" si="45"/>
        <v>17.231461552057397</v>
      </c>
      <c r="EM31" s="20">
        <f t="shared" si="19"/>
        <v>134.94687886983328</v>
      </c>
      <c r="EN31" s="59">
        <f t="shared" si="20"/>
        <v>369.67834829181737</v>
      </c>
      <c r="EO31" s="59">
        <f ca="1">AVERAGE(OFFSET($EN$3,0,0,'Données projet'!$E$15+1,1))-AVERAGE(OFFSET($H$3,0,0,'Données projet'!$E$15+1,1))</f>
        <v>217.53602321474159</v>
      </c>
      <c r="EP31" s="59">
        <f t="shared" si="46"/>
        <v>215.75909414893025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4.0628205133333335</v>
      </c>
      <c r="FE31" s="12">
        <f>IF('Données projet'!$A$218&gt;35,FE30+FD31-FM30,IF(A31&lt;'Données projet'!$A$218,$FB$205^A31,IF(A31='Données projet'!$A$218,'Données projet'!$B$218,FE30+FD31-FM30)))</f>
        <v>88.488255206485093</v>
      </c>
      <c r="FF31" s="17">
        <f>FE31*VLOOKUP('Données projet'!$B$16,Paramètres!$A$1:$I$89,3,0)*VLOOKUP('Données projet'!$B$16,Paramètres!$A$1:$I$89,5,0)</f>
        <v>59.357921592510202</v>
      </c>
      <c r="FG31" s="13">
        <f t="shared" si="47"/>
        <v>17.005829934504384</v>
      </c>
      <c r="FH31" s="20">
        <f t="shared" si="22"/>
        <v>133.00020057621705</v>
      </c>
      <c r="FI31" s="59">
        <f t="shared" si="23"/>
        <v>367.73166999820114</v>
      </c>
      <c r="FJ31" s="59">
        <f ca="1">AVERAGE(OFFSET($FI$3,0,0,'Données projet'!$E$16+1,1))-AVERAGE(OFFSET($H$3,0,0,'Données projet'!$E$16+1,1))</f>
        <v>441.20130048888439</v>
      </c>
      <c r="FK31" s="59">
        <f t="shared" si="48"/>
        <v>237.47732532183946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7.8</v>
      </c>
      <c r="FZ31" s="12">
        <f>IF('Données projet'!$A$244&gt;35,FZ30+FY31-GH30,IF(A31&lt;'Données projet'!$A$244,$FW$205^A31,IF(A31='Données projet'!$A$244,'Données projet'!$B$244,FZ30+FY31-GH30)))</f>
        <v>121.40000000000002</v>
      </c>
      <c r="GA31" s="17">
        <f>FZ31*VLOOKUP('Données projet'!$B$17,Paramètres!$A$1:$I$89,3,0)*VLOOKUP('Données projet'!$B$17,Paramètres!$A$1:$I$89,5,0)</f>
        <v>79.541280000000015</v>
      </c>
      <c r="GB31" s="13">
        <f t="shared" si="49"/>
        <v>22.024987194093406</v>
      </c>
      <c r="GC31" s="20">
        <f t="shared" si="25"/>
        <v>176.89458202971272</v>
      </c>
      <c r="GD31" s="59">
        <f t="shared" si="26"/>
        <v>411.62605145169681</v>
      </c>
      <c r="GE31" s="59">
        <f ca="1">AVERAGE(OFFSET($GD$3,0,0,'Données projet'!$E$17+1,1))-AVERAGE(OFFSET($H$3,0,0,'Données projet'!$E$17+1,1))</f>
        <v>257.66104339896992</v>
      </c>
      <c r="GF31" s="59">
        <f t="shared" si="50"/>
        <v>254.79488636184996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6</v>
      </c>
      <c r="GU31" s="12">
        <f>IF('Données projet'!$A$270&gt;35,GU30+GT31-HC30,IF(A31&lt;'Données projet'!$A$270,$GR$205^A31,IF(A31='Données projet'!$A$270,'Données projet'!$B$270,GU30+GT31-HC30)))</f>
        <v>90.999999999999986</v>
      </c>
      <c r="GV31" s="17">
        <f>GU31*VLOOKUP('Données projet'!$B$18,Paramètres!$A$1:$I$89,3,0)*VLOOKUP('Données projet'!$B$18,Paramètres!$A$1:$I$89,5,0)</f>
        <v>73.819199999999995</v>
      </c>
      <c r="GW31" s="13">
        <f t="shared" si="51"/>
        <v>20.618947302373449</v>
      </c>
      <c r="GX31" s="20">
        <f t="shared" si="28"/>
        <v>164.47977321830038</v>
      </c>
      <c r="GY31" s="59">
        <f t="shared" si="29"/>
        <v>399.21124264028447</v>
      </c>
      <c r="GZ31" s="59">
        <f ca="1">AVERAGE(OFFSET($GY$3,0,0,'Données projet'!$E$18+1,1))-AVERAGE(OFFSET($H$3,0,0,'Données projet'!$E$18+1,1))</f>
        <v>299.98377156721153</v>
      </c>
      <c r="HA31" s="59">
        <f t="shared" si="52"/>
        <v>241.36164657721102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4.0628205133333335</v>
      </c>
      <c r="N32" s="13">
        <f>IF('Données projet'!$A$36&gt;35,N31+M32-V31,IF(A32&lt;'Données projet'!$A$36,$K$205^A32,IF(A32='Données projet'!$A$36,'Données projet'!$B$36,N31+M32-V31)))</f>
        <v>103.85257316628947</v>
      </c>
      <c r="O32" s="13">
        <f>N32*VLOOKUP('Données projet'!$B$9,Paramètres!$A$1:$I$89,3,0)*VLOOKUP('Données projet'!$B$9,Paramètres!$A$1:$I$89,5,0)</f>
        <v>93.965808200858717</v>
      </c>
      <c r="P32" s="13">
        <f t="shared" si="33"/>
        <v>25.519268856275549</v>
      </c>
      <c r="Q32" s="20">
        <f t="shared" si="2"/>
        <v>208.10317587450882</v>
      </c>
      <c r="R32" s="59">
        <f t="shared" si="0"/>
        <v>445.03107319728463</v>
      </c>
      <c r="S32" s="59">
        <f ca="1">AVERAGE(OFFSET($R$3,0,0,'Données projet'!$E$9+1,1))-AVERAGE(OFFSET($H$3,0,0,'Données projet'!$E$9+1,1))</f>
        <v>567.42635821507474</v>
      </c>
      <c r="T32" s="59">
        <f t="shared" si="34"/>
        <v>299.04735309930152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12.2</v>
      </c>
      <c r="AI32" s="13">
        <f>IF('Données projet'!$A$62&gt;35,AI31+AH32-AQ31,IF(A32&lt;'Données projet'!$A$62,$AF$205^A32,IF(A32='Données projet'!$A$62,'Données projet'!$B$62,AI31+AH32-AQ31)))</f>
        <v>133.80000000000001</v>
      </c>
      <c r="AJ32" s="13">
        <f>AI32*VLOOKUP('Données projet'!$B$10,Paramètres!$A$1:$I$89,3,0)*VLOOKUP('Données projet'!$B$10,Paramètres!$A$1:$I$89,5,0)</f>
        <v>114.80040000000002</v>
      </c>
      <c r="AK32" s="13">
        <f t="shared" si="35"/>
        <v>30.459169258522444</v>
      </c>
      <c r="AL32" s="20">
        <f t="shared" si="4"/>
        <v>252.99374979192666</v>
      </c>
      <c r="AM32" s="59">
        <f t="shared" si="5"/>
        <v>489.92164711470252</v>
      </c>
      <c r="AN32" s="59">
        <f ca="1">AVERAGE(OFFSET($AM$3,0,0,'Données projet'!$E$10+1,1))-AVERAGE(OFFSET($H$3,0,0,'Données projet'!$E$10+1,1))</f>
        <v>569.97793593332699</v>
      </c>
      <c r="AO32" s="59">
        <f t="shared" si="36"/>
        <v>331.25104323342907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16.666666666666668</v>
      </c>
      <c r="BD32" s="12">
        <f>IF('Données projet'!$A$88&gt;35,BD31+BC32-BL31,IF(A32&lt;'Données projet'!$A$88,$BA$205^A32,IF(A32='Données projet'!$A$88,'Données projet'!$B$88,BD31+BC32-BL31)))</f>
        <v>238.33333333333329</v>
      </c>
      <c r="BE32" s="13">
        <f>BD32*VLOOKUP('Données projet'!$B$11,Paramètres!$A$1:$I$89,3,0)*VLOOKUP('Données projet'!$B$11,Paramètres!$A$1:$I$89,5,0)</f>
        <v>130.12999999999997</v>
      </c>
      <c r="BF32" s="13">
        <f t="shared" si="37"/>
        <v>34.026396767825609</v>
      </c>
      <c r="BG32" s="20">
        <f t="shared" si="7"/>
        <v>285.90572437062957</v>
      </c>
      <c r="BH32" s="59">
        <f t="shared" si="8"/>
        <v>522.83362169340535</v>
      </c>
      <c r="BI32" s="59">
        <f ca="1">AVERAGE(OFFSET($BH$3,0,0,'Données projet'!$E$11+1,1))-AVERAGE(OFFSET($H$3,0,0,'Données projet'!$E$11+1,1))</f>
        <v>215.37314197175104</v>
      </c>
      <c r="BJ32" s="59">
        <f t="shared" si="38"/>
        <v>361.17630426655978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64.918442282221903</v>
      </c>
      <c r="BR32" s="21">
        <f>EXP(-LN(2)/2)*BR31+(1-EXP(-LN(2)/2))/(LN(2)/2)*BL32*BO32*VLOOKUP('Données projet'!$B$11,Paramètres!$A$1:$I$89,3,0)*0.475*44/12</f>
        <v>3.5858532606161522E-2</v>
      </c>
      <c r="BS32" s="22">
        <f t="shared" si="9"/>
        <v>64.954300814828059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28.819999999999993</v>
      </c>
      <c r="BY32" s="12">
        <f>IF('Données projet'!$A$114&gt;35,BY31+BX32-CG31,IF(A32&lt;'Données projet'!$A$114,$BV$205^A32,IF(A32='Données projet'!$A$114,'Données projet'!$B$114,BY31+BX32-CG31)))</f>
        <v>381.87</v>
      </c>
      <c r="BZ32" s="13">
        <f>BY32*VLOOKUP('Données projet'!$B$12,Paramètres!$A$1:$I$89,3,0)*VLOOKUP('Données projet'!$B$12,Paramètres!$A$1:$I$89,5,0)</f>
        <v>213.46533000000002</v>
      </c>
      <c r="CA32" s="13">
        <f t="shared" si="39"/>
        <v>52.692124649376929</v>
      </c>
      <c r="CB32" s="20">
        <f t="shared" si="10"/>
        <v>463.55756684766487</v>
      </c>
      <c r="CC32" s="59">
        <f t="shared" si="11"/>
        <v>700.48546417044076</v>
      </c>
      <c r="CD32" s="59">
        <f ca="1">AVERAGE(OFFSET($CC$3,0,0,'Données projet'!$E$12+1,1))-AVERAGE(OFFSET($H$3,0,0,'Données projet'!$E$12+1,1))</f>
        <v>420.4890915162182</v>
      </c>
      <c r="CE32" s="59">
        <f t="shared" si="40"/>
        <v>553.48432338023565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18.174485036658794</v>
      </c>
      <c r="CM32" s="21">
        <f>EXP(-LN(2)/2)*CM31+(1-EXP(-LN(2)/2))/(LN(2)/2)*CG32*CJ32*VLOOKUP('Données projet'!$B$12,Paramètres!$A$1:$I$89,3,0)*0.475*44/12</f>
        <v>1.0464056472789047</v>
      </c>
      <c r="CN32" s="22">
        <f t="shared" si="12"/>
        <v>19.2208906839377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16.399999999999999</v>
      </c>
      <c r="CT32" s="12">
        <f>IF('Données projet'!$A$140&gt;35,CT31+CS32-DB31,IF(A32&lt;'Données projet'!$A$140,$CQ$205^A32,IF(A32='Données projet'!$A$140,'Données projet'!$B$140,CT31+CS32-DB31)))</f>
        <v>188.60000000000005</v>
      </c>
      <c r="CU32" s="17">
        <f>CT32*VLOOKUP('Données projet'!$B$13,Paramètres!$A$1:$I$89,3,0)*VLOOKUP('Données projet'!$B$13,Paramètres!$A$1:$I$89,5,0)</f>
        <v>138.28152000000003</v>
      </c>
      <c r="CV32" s="13">
        <f t="shared" si="41"/>
        <v>35.903043322174675</v>
      </c>
      <c r="CW32" s="20">
        <f t="shared" si="13"/>
        <v>303.37144778612094</v>
      </c>
      <c r="CX32" s="59">
        <f t="shared" si="14"/>
        <v>540.29934510889677</v>
      </c>
      <c r="CY32" s="59">
        <f ca="1">AVERAGE(OFFSET($CX$3,0,0,'Données projet'!$E$13+1,1))-AVERAGE(OFFSET($H$3,0,0,'Données projet'!$E$13+1,1))</f>
        <v>400.48995908576177</v>
      </c>
      <c r="CZ32" s="59">
        <f t="shared" si="42"/>
        <v>384.86917865380076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16.399999999999999</v>
      </c>
      <c r="DO32" s="12">
        <f>IF('Données projet'!$A$166&gt;35,DO31+DN32-DW31,IF(A32&lt;'Données projet'!$A$166,$DL$205^A32,IF(A32='Données projet'!$A$166,'Données projet'!$B$166,DO31+DN32-DW31)))</f>
        <v>188.60000000000005</v>
      </c>
      <c r="DP32" s="17">
        <f>DO32*VLOOKUP('Données projet'!$B$14,Paramètres!$A$1:$I$89,3,0)*VLOOKUP('Données projet'!$B$14,Paramètres!$A$1:$I$89,5,0)</f>
        <v>150.05016000000003</v>
      </c>
      <c r="DQ32" s="13">
        <f t="shared" si="43"/>
        <v>38.589984439024605</v>
      </c>
      <c r="DR32" s="20">
        <f t="shared" si="16"/>
        <v>328.5482515646346</v>
      </c>
      <c r="DS32" s="59">
        <f t="shared" si="17"/>
        <v>565.47614888741043</v>
      </c>
      <c r="DT32" s="59">
        <f ca="1">AVERAGE(OFFSET($DS$3,0,0,'Données projet'!$E$14+1,1))-AVERAGE(OFFSET($H$3,0,0,'Données projet'!$E$14+1,1))</f>
        <v>429.30603040255431</v>
      </c>
      <c r="DU32" s="59">
        <f t="shared" si="44"/>
        <v>412.18613903804726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7.3717948717948714</v>
      </c>
      <c r="EJ32" s="12">
        <f>IF('Données projet'!$A$192&gt;35,EJ31+EI32-ER31,IF(A32&lt;'Données projet'!$A$192,$EG$205^A32,IF(A32='Données projet'!$A$192,'Données projet'!$B$192,EJ31+EI32-ER31)))</f>
        <v>84.615384615384627</v>
      </c>
      <c r="EK32" s="17">
        <f>EJ32*VLOOKUP('Données projet'!$B$15,Paramètres!$A$1:$I$89,3,0)*VLOOKUP('Données projet'!$B$15,Paramètres!$A$1:$I$89,5,0)</f>
        <v>66.000000000000014</v>
      </c>
      <c r="EL32" s="13">
        <f t="shared" si="45"/>
        <v>18.676740573099728</v>
      </c>
      <c r="EM32" s="20">
        <f t="shared" si="19"/>
        <v>147.47865649814872</v>
      </c>
      <c r="EN32" s="59">
        <f t="shared" si="20"/>
        <v>384.40655382092456</v>
      </c>
      <c r="EO32" s="59">
        <f ca="1">AVERAGE(OFFSET($EN$3,0,0,'Données projet'!$E$15+1,1))-AVERAGE(OFFSET($H$3,0,0,'Données projet'!$E$15+1,1))</f>
        <v>217.53602321474159</v>
      </c>
      <c r="EP32" s="59">
        <f t="shared" si="46"/>
        <v>215.75909414893025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4.0628205133333335</v>
      </c>
      <c r="FE32" s="12">
        <f>IF('Données projet'!$A$218&gt;35,FE31+FD32-FM31,IF(A32&lt;'Données projet'!$A$218,$FB$205^A32,IF(A32='Données projet'!$A$218,'Données projet'!$B$218,FE31+FD32-FM31)))</f>
        <v>103.85257316628947</v>
      </c>
      <c r="FF32" s="17">
        <f>FE32*VLOOKUP('Données projet'!$B$16,Paramètres!$A$1:$I$89,3,0)*VLOOKUP('Données projet'!$B$16,Paramètres!$A$1:$I$89,5,0)</f>
        <v>69.664306079946982</v>
      </c>
      <c r="FG32" s="13">
        <f t="shared" si="47"/>
        <v>19.59006963053135</v>
      </c>
      <c r="FH32" s="20">
        <f t="shared" si="22"/>
        <v>155.45137102908308</v>
      </c>
      <c r="FI32" s="59">
        <f t="shared" si="23"/>
        <v>392.37926835185891</v>
      </c>
      <c r="FJ32" s="59">
        <f ca="1">AVERAGE(OFFSET($FI$3,0,0,'Données projet'!$E$16+1,1))-AVERAGE(OFFSET($H$3,0,0,'Données projet'!$E$16+1,1))</f>
        <v>441.20130048888439</v>
      </c>
      <c r="FK32" s="59">
        <f t="shared" si="48"/>
        <v>237.47732532183946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7.8</v>
      </c>
      <c r="FZ32" s="12">
        <f>IF('Données projet'!$A$244&gt;35,FZ31+FY32-GH31,IF(A32&lt;'Données projet'!$A$244,$FW$205^A32,IF(A32='Données projet'!$A$244,'Données projet'!$B$244,FZ31+FY32-GH31)))</f>
        <v>129.20000000000002</v>
      </c>
      <c r="GA32" s="17">
        <f>FZ32*VLOOKUP('Données projet'!$B$17,Paramètres!$A$1:$I$89,3,0)*VLOOKUP('Données projet'!$B$17,Paramètres!$A$1:$I$89,5,0)</f>
        <v>84.651840000000007</v>
      </c>
      <c r="GB32" s="13">
        <f t="shared" si="49"/>
        <v>23.270814809686321</v>
      </c>
      <c r="GC32" s="20">
        <f t="shared" si="25"/>
        <v>187.96529046020365</v>
      </c>
      <c r="GD32" s="59">
        <f t="shared" si="26"/>
        <v>424.89318778297945</v>
      </c>
      <c r="GE32" s="59">
        <f ca="1">AVERAGE(OFFSET($GD$3,0,0,'Données projet'!$E$17+1,1))-AVERAGE(OFFSET($H$3,0,0,'Données projet'!$E$17+1,1))</f>
        <v>257.66104339896992</v>
      </c>
      <c r="GF32" s="59">
        <f t="shared" si="50"/>
        <v>254.79488636184996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6</v>
      </c>
      <c r="GU32" s="12">
        <f>IF('Données projet'!$A$270&gt;35,GU31+GT32-HC31,IF(A32&lt;'Données projet'!$A$270,$GR$205^A32,IF(A32='Données projet'!$A$270,'Données projet'!$B$270,GU31+GT32-HC31)))</f>
        <v>96.999999999999986</v>
      </c>
      <c r="GV32" s="17">
        <f>GU32*VLOOKUP('Données projet'!$B$18,Paramètres!$A$1:$I$89,3,0)*VLOOKUP('Données projet'!$B$18,Paramètres!$A$1:$I$89,5,0)</f>
        <v>78.686400000000006</v>
      </c>
      <c r="GW32" s="13">
        <f t="shared" si="51"/>
        <v>21.815693271997169</v>
      </c>
      <c r="GX32" s="20">
        <f t="shared" si="28"/>
        <v>175.04114578206176</v>
      </c>
      <c r="GY32" s="59">
        <f t="shared" si="29"/>
        <v>411.96904310483762</v>
      </c>
      <c r="GZ32" s="59">
        <f ca="1">AVERAGE(OFFSET($GY$3,0,0,'Données projet'!$E$18+1,1))-AVERAGE(OFFSET($H$3,0,0,'Données projet'!$E$18+1,1))</f>
        <v>299.98377156721153</v>
      </c>
      <c r="HA32" s="59">
        <f t="shared" si="52"/>
        <v>241.36164657721102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121.8846154</v>
      </c>
      <c r="L33" s="12">
        <f>VLOOKUP(A33,'Données projet'!$A$35:$I$55,9,0)</f>
        <v>4.0628205133333335</v>
      </c>
      <c r="M33" s="12">
        <f t="array" ref="M33">INDEX(L:L,MIN(IF(ISNUMBER(L33:L229),ROW(L33:L229),"")))</f>
        <v>4.0628205133333335</v>
      </c>
      <c r="N33" s="13">
        <f>IF('Données projet'!$A$36&gt;35,N32+M33-V32,IF(A33&lt;'Données projet'!$A$36,$K$205^A33,IF(A33='Données projet'!$A$36,'Données projet'!$B$36,N32+M33-V32)))</f>
        <v>121.8846154</v>
      </c>
      <c r="O33" s="13">
        <f>N33*VLOOKUP('Données projet'!$B$9,Paramètres!$A$1:$I$89,3,0)*VLOOKUP('Données projet'!$B$9,Paramètres!$A$1:$I$89,5,0)</f>
        <v>110.28120001392</v>
      </c>
      <c r="P33" s="13">
        <f t="shared" si="33"/>
        <v>29.397227641348678</v>
      </c>
      <c r="Q33" s="20">
        <f t="shared" si="2"/>
        <v>243.27326149959291</v>
      </c>
      <c r="R33" s="59">
        <f t="shared" si="0"/>
        <v>482.38068643263489</v>
      </c>
      <c r="S33" s="59">
        <f ca="1">AVERAGE(OFFSET($R$3,0,0,'Données projet'!$E$9+1,1))-AVERAGE(OFFSET($H$3,0,0,'Données projet'!$E$9+1,1))</f>
        <v>567.42635821507474</v>
      </c>
      <c r="T33" s="59">
        <f t="shared" si="34"/>
        <v>299.04735309930152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</v>
      </c>
      <c r="AG33" s="12">
        <f>VLOOKUP(A33,'Données projet'!$A$61:$I$81,9,0)</f>
        <v>12.2</v>
      </c>
      <c r="AH33" s="12">
        <f t="array" ref="AH33">INDEX(AG:AG,MIN(IF(ISNUMBER(AG33:AG229),ROW(AG33:AG229),"")))</f>
        <v>12.2</v>
      </c>
      <c r="AI33" s="13">
        <f>IF('Données projet'!$A$62&gt;35,AI32+AH33-AQ32,IF(A33&lt;'Données projet'!$A$62,$AF$205^A33,IF(A33='Données projet'!$A$62,'Données projet'!$B$62,AI32+AH33-AQ32)))</f>
        <v>146</v>
      </c>
      <c r="AJ33" s="13">
        <f>AI33*VLOOKUP('Données projet'!$B$10,Paramètres!$A$1:$I$89,3,0)*VLOOKUP('Données projet'!$B$10,Paramètres!$A$1:$I$89,5,0)</f>
        <v>125.26800000000003</v>
      </c>
      <c r="AK33" s="13">
        <f t="shared" si="35"/>
        <v>32.9005846700787</v>
      </c>
      <c r="AL33" s="20">
        <f t="shared" si="4"/>
        <v>275.47695163372049</v>
      </c>
      <c r="AM33" s="59">
        <f t="shared" si="5"/>
        <v>514.58437656676244</v>
      </c>
      <c r="AN33" s="59">
        <f ca="1">AVERAGE(OFFSET($AM$3,0,0,'Données projet'!$E$10+1,1))-AVERAGE(OFFSET($H$3,0,0,'Données projet'!$E$10+1,1))</f>
        <v>569.97793593332699</v>
      </c>
      <c r="AO33" s="59">
        <f t="shared" si="36"/>
        <v>331.25104323342907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255</v>
      </c>
      <c r="BB33" s="12">
        <f>VLOOKUP(A33,'Données projet'!$A$87:$I$107,9,0)</f>
        <v>16.666666666666668</v>
      </c>
      <c r="BC33" s="12">
        <f t="array" ref="BC33">INDEX(BB:BB,MIN(IF(ISNUMBER(BB33:BB229),ROW(BB33:BB229),"")))</f>
        <v>16.666666666666668</v>
      </c>
      <c r="BD33" s="12">
        <f>IF('Données projet'!$A$88&gt;35,BD32+BC33-BL32,IF(A33&lt;'Données projet'!$A$88,$BA$205^A33,IF(A33='Données projet'!$A$88,'Données projet'!$B$88,BD32+BC33-BL32)))</f>
        <v>254.99999999999994</v>
      </c>
      <c r="BE33" s="13">
        <f>BD33*VLOOKUP('Données projet'!$B$11,Paramètres!$A$1:$I$89,3,0)*VLOOKUP('Données projet'!$B$11,Paramètres!$A$1:$I$89,5,0)</f>
        <v>139.22999999999996</v>
      </c>
      <c r="BF33" s="13">
        <f t="shared" si="37"/>
        <v>36.120552727378737</v>
      </c>
      <c r="BG33" s="20">
        <f t="shared" si="7"/>
        <v>305.4022126668512</v>
      </c>
      <c r="BH33" s="59">
        <f t="shared" si="8"/>
        <v>544.50963759989315</v>
      </c>
      <c r="BI33" s="59">
        <f ca="1">AVERAGE(OFFSET($BH$3,0,0,'Données projet'!$E$11+1,1))-AVERAGE(OFFSET($H$3,0,0,'Données projet'!$E$11+1,1))</f>
        <v>215.37314197175104</v>
      </c>
      <c r="BJ33" s="59">
        <f t="shared" si="38"/>
        <v>361.17630426655978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76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0.6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96.041470361437277</v>
      </c>
      <c r="BR33" s="21">
        <f>EXP(-LN(2)/2)*BR32+(1-EXP(-LN(2)/2))/(LN(2)/2)*BL33*BO33*VLOOKUP('Données projet'!$B$11,Paramètres!$A$1:$I$89,3,0)*0.475*44/12</f>
        <v>2.5355811569215736E-2</v>
      </c>
      <c r="BS33" s="22">
        <f t="shared" si="9"/>
        <v>96.06682617300649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410.69</v>
      </c>
      <c r="BW33" s="12">
        <f>VLOOKUP(A33,'Données projet'!$A$113:$I$133,9,0)</f>
        <v>28.819999999999993</v>
      </c>
      <c r="BX33" s="12">
        <f t="array" ref="BX33">INDEX(BW:BW,MIN(IF(ISNUMBER(BW33:BW229),ROW(BW33:BW229),"")))</f>
        <v>28.819999999999993</v>
      </c>
      <c r="BY33" s="12">
        <f>IF('Données projet'!$A$114&gt;35,BY32+BX33-CG32,IF(A33&lt;'Données projet'!$A$114,$BV$205^A33,IF(A33='Données projet'!$A$114,'Données projet'!$B$114,BY32+BX33-CG32)))</f>
        <v>410.69</v>
      </c>
      <c r="BZ33" s="13">
        <f>BY33*VLOOKUP('Données projet'!$B$12,Paramètres!$A$1:$I$89,3,0)*VLOOKUP('Données projet'!$B$12,Paramètres!$A$1:$I$89,5,0)</f>
        <v>229.57571000000002</v>
      </c>
      <c r="CA33" s="13">
        <f t="shared" si="39"/>
        <v>56.190930256761952</v>
      </c>
      <c r="CB33" s="20">
        <f t="shared" si="10"/>
        <v>497.71023178052701</v>
      </c>
      <c r="CC33" s="59">
        <f t="shared" si="11"/>
        <v>736.81765671356902</v>
      </c>
      <c r="CD33" s="59">
        <f ca="1">AVERAGE(OFFSET($CC$3,0,0,'Données projet'!$E$12+1,1))-AVERAGE(OFFSET($H$3,0,0,'Données projet'!$E$12+1,1))</f>
        <v>420.4890915162182</v>
      </c>
      <c r="CE33" s="59">
        <f t="shared" si="40"/>
        <v>553.48432338023565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80.97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0.55000000000000004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50.571271540152075</v>
      </c>
      <c r="CM33" s="21">
        <f>EXP(-LN(2)/2)*CM32+(1-EXP(-LN(2)/2))/(LN(2)/2)*CG33*CJ33*VLOOKUP('Données projet'!$B$12,Paramètres!$A$1:$I$89,3,0)*0.475*44/12</f>
        <v>0.73992052906281214</v>
      </c>
      <c r="CN33" s="22">
        <f t="shared" si="12"/>
        <v>51.31119206921489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205</v>
      </c>
      <c r="CR33" s="12">
        <f>VLOOKUP(A33,'Données projet'!$A$139:$I$159,9,0)</f>
        <v>16.399999999999999</v>
      </c>
      <c r="CS33" s="12">
        <f t="array" ref="CS33">INDEX(CR:CR,MIN(IF(ISNUMBER(CR33:CR229),ROW(CR33:CR229),"")))</f>
        <v>16.399999999999999</v>
      </c>
      <c r="CT33" s="12">
        <f>IF('Données projet'!$A$140&gt;35,CT32+CS33-DB32,IF(A33&lt;'Données projet'!$A$140,$CQ$205^A33,IF(A33='Données projet'!$A$140,'Données projet'!$B$140,CT32+CS33-DB32)))</f>
        <v>205.00000000000006</v>
      </c>
      <c r="CU33" s="17">
        <f>CT33*VLOOKUP('Données projet'!$B$13,Paramètres!$A$1:$I$89,3,0)*VLOOKUP('Données projet'!$B$13,Paramètres!$A$1:$I$89,5,0)</f>
        <v>150.30600000000004</v>
      </c>
      <c r="CV33" s="13">
        <f t="shared" si="41"/>
        <v>38.648116968856677</v>
      </c>
      <c r="CW33" s="20">
        <f t="shared" si="13"/>
        <v>329.09508705409212</v>
      </c>
      <c r="CX33" s="59">
        <f t="shared" si="14"/>
        <v>568.20251198713413</v>
      </c>
      <c r="CY33" s="59">
        <f ca="1">AVERAGE(OFFSET($CX$3,0,0,'Données projet'!$E$13+1,1))-AVERAGE(OFFSET($H$3,0,0,'Données projet'!$E$13+1,1))</f>
        <v>400.48995908576177</v>
      </c>
      <c r="CZ33" s="59">
        <f t="shared" si="42"/>
        <v>384.86917865380076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205</v>
      </c>
      <c r="DM33" s="12">
        <f>VLOOKUP(A33,'Données projet'!$A$165:$I$185,9,0)</f>
        <v>16.399999999999999</v>
      </c>
      <c r="DN33" s="12">
        <f t="array" ref="DN33">INDEX(DM:DM,MIN(IF(ISNUMBER(DM33:DM229),ROW(DM33:DM229),"")))</f>
        <v>16.399999999999999</v>
      </c>
      <c r="DO33" s="12">
        <f>IF('Données projet'!$A$166&gt;35,DO32+DN33-DW32,IF(A33&lt;'Données projet'!$A$166,$DL$205^A33,IF(A33='Données projet'!$A$166,'Données projet'!$B$166,DO32+DN33-DW32)))</f>
        <v>205.00000000000006</v>
      </c>
      <c r="DP33" s="17">
        <f>DO33*VLOOKUP('Données projet'!$B$14,Paramètres!$A$1:$I$89,3,0)*VLOOKUP('Données projet'!$B$14,Paramètres!$A$1:$I$89,5,0)</f>
        <v>163.09800000000004</v>
      </c>
      <c r="DQ33" s="13">
        <f t="shared" si="43"/>
        <v>41.540496136845142</v>
      </c>
      <c r="DR33" s="20">
        <f t="shared" si="16"/>
        <v>356.41204743833867</v>
      </c>
      <c r="DS33" s="59">
        <f t="shared" si="17"/>
        <v>595.51947237138063</v>
      </c>
      <c r="DT33" s="59">
        <f ca="1">AVERAGE(OFFSET($DS$3,0,0,'Données projet'!$E$14+1,1))-AVERAGE(OFFSET($H$3,0,0,'Données projet'!$E$14+1,1))</f>
        <v>429.30603040255431</v>
      </c>
      <c r="DU33" s="59">
        <f t="shared" si="44"/>
        <v>412.18613903804726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42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7.3717948717948714</v>
      </c>
      <c r="EJ33" s="12">
        <f>IF('Données projet'!$A$192&gt;35,EJ32+EI33-ER32,IF(A33&lt;'Données projet'!$A$192,$EG$205^A33,IF(A33='Données projet'!$A$192,'Données projet'!$B$192,EJ32+EI33-ER32)))</f>
        <v>91.987179487179503</v>
      </c>
      <c r="EK33" s="17">
        <f>EJ33*VLOOKUP('Données projet'!$B$15,Paramètres!$A$1:$I$89,3,0)*VLOOKUP('Données projet'!$B$15,Paramètres!$A$1:$I$89,5,0)</f>
        <v>71.750000000000014</v>
      </c>
      <c r="EL33" s="13">
        <f t="shared" si="45"/>
        <v>20.107417731610468</v>
      </c>
      <c r="EM33" s="20">
        <f t="shared" si="19"/>
        <v>159.98500254922158</v>
      </c>
      <c r="EN33" s="59">
        <f t="shared" si="20"/>
        <v>399.09242748226359</v>
      </c>
      <c r="EO33" s="59">
        <f ca="1">AVERAGE(OFFSET($EN$3,0,0,'Données projet'!$E$15+1,1))-AVERAGE(OFFSET($H$3,0,0,'Données projet'!$E$15+1,1))</f>
        <v>217.53602321474159</v>
      </c>
      <c r="EP33" s="59">
        <f t="shared" si="46"/>
        <v>215.75909414893025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121.8846154</v>
      </c>
      <c r="FC33" s="12">
        <f>VLOOKUP(A33,'Données projet'!$A$217:$I$237,9,0)</f>
        <v>4.0628205133333335</v>
      </c>
      <c r="FD33" s="12">
        <f t="array" ref="FD33">INDEX(FC:FC,MIN(IF(ISNUMBER(FC33:FC229),ROW(FC33:FC229),"")))</f>
        <v>4.0628205133333335</v>
      </c>
      <c r="FE33" s="12">
        <f>IF('Données projet'!$A$218&gt;35,FE32+FD33-FM32,IF(A33&lt;'Données projet'!$A$218,$FB$205^A33,IF(A33='Données projet'!$A$218,'Données projet'!$B$218,FE32+FD33-FM32)))</f>
        <v>121.8846154</v>
      </c>
      <c r="FF33" s="17">
        <f>FE33*VLOOKUP('Données projet'!$B$16,Paramètres!$A$1:$I$89,3,0)*VLOOKUP('Données projet'!$B$16,Paramètres!$A$1:$I$89,5,0)</f>
        <v>81.760200010320006</v>
      </c>
      <c r="FG33" s="13">
        <f t="shared" si="47"/>
        <v>22.567015523917789</v>
      </c>
      <c r="FH33" s="20">
        <f t="shared" si="22"/>
        <v>181.70323372213082</v>
      </c>
      <c r="FI33" s="59">
        <f t="shared" si="23"/>
        <v>420.8106586551728</v>
      </c>
      <c r="FJ33" s="59">
        <f ca="1">AVERAGE(OFFSET($FI$3,0,0,'Données projet'!$E$16+1,1))-AVERAGE(OFFSET($H$3,0,0,'Données projet'!$E$16+1,1))</f>
        <v>441.20130048888439</v>
      </c>
      <c r="FK33" s="59">
        <f t="shared" si="48"/>
        <v>237.47732532183946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137</v>
      </c>
      <c r="FX33" s="12">
        <f>VLOOKUP(A33,'Données projet'!$A$243:$I$263,9,0)</f>
        <v>7.8</v>
      </c>
      <c r="FY33" s="12">
        <f t="array" ref="FY33">INDEX(FX:FX,MIN(IF(ISNUMBER(FX33:FX229),ROW(FX33:FX229),"")))</f>
        <v>7.8</v>
      </c>
      <c r="FZ33" s="12">
        <f>IF('Données projet'!$A$244&gt;35,FZ32+FY33-GH32,IF(A33&lt;'Données projet'!$A$244,$FW$205^A33,IF(A33='Données projet'!$A$244,'Données projet'!$B$244,FZ32+FY33-GH32)))</f>
        <v>137.00000000000003</v>
      </c>
      <c r="GA33" s="17">
        <f>FZ33*VLOOKUP('Données projet'!$B$17,Paramètres!$A$1:$I$89,3,0)*VLOOKUP('Données projet'!$B$17,Paramètres!$A$1:$I$89,5,0)</f>
        <v>89.762400000000028</v>
      </c>
      <c r="GB33" s="13">
        <f t="shared" si="49"/>
        <v>24.507912782090678</v>
      </c>
      <c r="GC33" s="20">
        <f t="shared" si="25"/>
        <v>199.02079476214132</v>
      </c>
      <c r="GD33" s="59">
        <f t="shared" si="26"/>
        <v>438.1282196951833</v>
      </c>
      <c r="GE33" s="59">
        <f ca="1">AVERAGE(OFFSET($GD$3,0,0,'Données projet'!$E$17+1,1))-AVERAGE(OFFSET($H$3,0,0,'Données projet'!$E$17+1,1))</f>
        <v>257.66104339896992</v>
      </c>
      <c r="GF33" s="59">
        <f t="shared" si="50"/>
        <v>254.79488636184996</v>
      </c>
      <c r="GG33" s="15">
        <f>IF(ISNA(VLOOKUP(A33,'Données projet'!$A$243:$I$263,3,0)),0,VLOOKUP(A33,'Données projet'!$A$243:$I$263,3,0))</f>
        <v>5</v>
      </c>
      <c r="GH33" s="15">
        <f>IF(ISNA(VLOOKUP(A33,'Données projet'!$A$243:$I$263,4,0)),0,VLOOKUP(A33,'Données projet'!$A$243:$I$263,4,0))</f>
        <v>20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103</v>
      </c>
      <c r="GS33" s="12">
        <f>VLOOKUP(A33,'Données projet'!$A$269:$I$289,9,0)</f>
        <v>6</v>
      </c>
      <c r="GT33" s="12">
        <f t="array" ref="GT33">INDEX(GS:GS,MIN(IF(ISNUMBER(GS33:GS229),ROW(GS33:GS229),"")))</f>
        <v>6</v>
      </c>
      <c r="GU33" s="12">
        <f>IF('Données projet'!$A$270&gt;35,GU32+GT33-HC32,IF(A33&lt;'Données projet'!$A$270,$GR$205^A33,IF(A33='Données projet'!$A$270,'Données projet'!$B$270,GU32+GT33-HC32)))</f>
        <v>102.99999999999999</v>
      </c>
      <c r="GV33" s="17">
        <f>GU33*VLOOKUP('Données projet'!$B$18,Paramètres!$A$1:$I$89,3,0)*VLOOKUP('Données projet'!$B$18,Paramètres!$A$1:$I$89,5,0)</f>
        <v>83.553599999999989</v>
      </c>
      <c r="GW33" s="13">
        <f t="shared" si="51"/>
        <v>23.00384783397265</v>
      </c>
      <c r="GX33" s="20">
        <f t="shared" si="28"/>
        <v>185.58755497750235</v>
      </c>
      <c r="GY33" s="59">
        <f t="shared" si="29"/>
        <v>424.69497991054436</v>
      </c>
      <c r="GZ33" s="59">
        <f ca="1">AVERAGE(OFFSET($GY$3,0,0,'Données projet'!$E$18+1,1))-AVERAGE(OFFSET($H$3,0,0,'Données projet'!$E$18+1,1))</f>
        <v>299.98377156721153</v>
      </c>
      <c r="HA33" s="59">
        <f t="shared" si="52"/>
        <v>241.36164657721102</v>
      </c>
      <c r="HB33" s="15">
        <f>IF(ISNA(VLOOKUP(A33,'Données projet'!$A$269:$I$289,3,0)),0,VLOOKUP(A33,'Données projet'!$A$269:$I$289,3,0))</f>
        <v>3</v>
      </c>
      <c r="HC33" s="15">
        <f>IF(ISNA(VLOOKUP(A33,'Données projet'!$A$269:$I$289,4,0)),0,VLOOKUP(A33,'Données projet'!$A$269:$I$289,4,0))</f>
        <v>11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15.881076919999998</v>
      </c>
      <c r="N34" s="13">
        <f>IF('Données projet'!$A$36&gt;35,N33+M34-V33,IF(A34&lt;'Données projet'!$A$36,$K$205^A34,IF(A34='Données projet'!$A$36,'Données projet'!$B$36,N33+M34-V33)))</f>
        <v>137.76569232</v>
      </c>
      <c r="O34" s="13">
        <f>N34*VLOOKUP('Données projet'!$B$9,Paramètres!$A$1:$I$89,3,0)*VLOOKUP('Données projet'!$B$9,Paramètres!$A$1:$I$89,5,0)</f>
        <v>124.65039841113601</v>
      </c>
      <c r="P34" s="13">
        <f t="shared" si="33"/>
        <v>32.757216609030209</v>
      </c>
      <c r="Q34" s="20">
        <f t="shared" si="2"/>
        <v>274.15159616012278</v>
      </c>
      <c r="R34" s="59">
        <f t="shared" si="0"/>
        <v>514.19971937294031</v>
      </c>
      <c r="S34" s="59">
        <f ca="1">AVERAGE(OFFSET($R$3,0,0,'Données projet'!$E$9+1,1))-AVERAGE(OFFSET($H$3,0,0,'Données projet'!$E$9+1,1))</f>
        <v>567.42635821507474</v>
      </c>
      <c r="T34" s="59">
        <f t="shared" si="34"/>
        <v>299.04735309930152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</v>
      </c>
      <c r="AI34" s="13">
        <f>IF('Données projet'!$A$62&gt;35,AI33+AH34-AQ33,IF(A34&lt;'Données projet'!$A$62,$AF$205^A34,IF(A34='Données projet'!$A$62,'Données projet'!$B$62,AI33+AH34-AQ33)))</f>
        <v>123.80000000000001</v>
      </c>
      <c r="AJ34" s="13">
        <f>AI34*VLOOKUP('Données projet'!$B$10,Paramètres!$A$1:$I$89,3,0)*VLOOKUP('Données projet'!$B$10,Paramètres!$A$1:$I$89,5,0)</f>
        <v>106.22040000000003</v>
      </c>
      <c r="AK34" s="13">
        <f t="shared" si="35"/>
        <v>28.438677354079406</v>
      </c>
      <c r="AL34" s="20">
        <f t="shared" si="4"/>
        <v>234.53122639168836</v>
      </c>
      <c r="AM34" s="59">
        <f t="shared" si="5"/>
        <v>474.57934960450592</v>
      </c>
      <c r="AN34" s="59">
        <f ca="1">AVERAGE(OFFSET($AM$3,0,0,'Données projet'!$E$10+1,1))-AVERAGE(OFFSET($H$3,0,0,'Données projet'!$E$10+1,1))</f>
        <v>569.97793593332699</v>
      </c>
      <c r="AO34" s="59">
        <f t="shared" si="36"/>
        <v>331.25104323342907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</v>
      </c>
      <c r="BD34" s="12">
        <f>IF('Données projet'!$A$88&gt;35,BD33+BC34-BL33,IF(A34&lt;'Données projet'!$A$88,$BA$205^A34,IF(A34='Données projet'!$A$88,'Données projet'!$B$88,BD33+BC34-BL33)))</f>
        <v>193.99999999999994</v>
      </c>
      <c r="BE34" s="13">
        <f>BD34*VLOOKUP('Données projet'!$B$11,Paramètres!$A$1:$I$89,3,0)*VLOOKUP('Données projet'!$B$11,Paramètres!$A$1:$I$89,5,0)</f>
        <v>105.92399999999998</v>
      </c>
      <c r="BF34" s="13">
        <f t="shared" si="37"/>
        <v>28.36854701055546</v>
      </c>
      <c r="BG34" s="20">
        <f t="shared" si="7"/>
        <v>233.89285271005073</v>
      </c>
      <c r="BH34" s="59">
        <f t="shared" si="8"/>
        <v>473.94097592286829</v>
      </c>
      <c r="BI34" s="59">
        <f ca="1">AVERAGE(OFFSET($BH$3,0,0,'Données projet'!$E$11+1,1))-AVERAGE(OFFSET($H$3,0,0,'Données projet'!$E$11+1,1))</f>
        <v>215.37314197175104</v>
      </c>
      <c r="BJ34" s="59">
        <f t="shared" si="38"/>
        <v>361.17630426655978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93.415211303802351</v>
      </c>
      <c r="BR34" s="21">
        <f>EXP(-LN(2)/2)*BR33+(1-EXP(-LN(2)/2))/(LN(2)/2)*BL34*BO34*VLOOKUP('Données projet'!$B$11,Paramètres!$A$1:$I$89,3,0)*0.475*44/12</f>
        <v>1.7929266303080761E-2</v>
      </c>
      <c r="BS34" s="22">
        <f t="shared" si="9"/>
        <v>93.433140570105436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28.661666666666662</v>
      </c>
      <c r="BY34" s="12">
        <f>IF('Données projet'!$A$114&gt;35,BY33+BX34-CG33,IF(A34&lt;'Données projet'!$A$114,$BV$205^A34,IF(A34='Données projet'!$A$114,'Données projet'!$B$114,BY33+BX34-CG33)))</f>
        <v>358.38166666666666</v>
      </c>
      <c r="BZ34" s="13">
        <f>BY34*VLOOKUP('Données projet'!$B$12,Paramètres!$A$1:$I$89,3,0)*VLOOKUP('Données projet'!$B$12,Paramètres!$A$1:$I$89,5,0)</f>
        <v>200.33535166666667</v>
      </c>
      <c r="CA34" s="13">
        <f t="shared" si="39"/>
        <v>49.817860683914162</v>
      </c>
      <c r="CB34" s="20">
        <f t="shared" si="10"/>
        <v>435.68351151059488</v>
      </c>
      <c r="CC34" s="59">
        <f t="shared" si="11"/>
        <v>675.73163472341241</v>
      </c>
      <c r="CD34" s="59">
        <f ca="1">AVERAGE(OFFSET($CC$3,0,0,'Données projet'!$E$12+1,1))-AVERAGE(OFFSET($H$3,0,0,'Données projet'!$E$12+1,1))</f>
        <v>420.4890915162182</v>
      </c>
      <c r="CE34" s="59">
        <f t="shared" si="40"/>
        <v>553.48432338023565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49.188397460459029</v>
      </c>
      <c r="CM34" s="21">
        <f>EXP(-LN(2)/2)*CM33+(1-EXP(-LN(2)/2))/(LN(2)/2)*CG34*CJ34*VLOOKUP('Données projet'!$B$12,Paramètres!$A$1:$I$89,3,0)*0.475*44/12</f>
        <v>0.52320282363945236</v>
      </c>
      <c r="CN34" s="22">
        <f t="shared" si="12"/>
        <v>49.711600284098481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15.2</v>
      </c>
      <c r="CT34" s="12">
        <f>IF('Données projet'!$A$140&gt;35,CT33+CS34-DB33,IF(A34&lt;'Données projet'!$A$140,$CQ$205^A34,IF(A34='Données projet'!$A$140,'Données projet'!$B$140,CT33+CS34-DB33)))</f>
        <v>178.20000000000005</v>
      </c>
      <c r="CU34" s="17">
        <f>CT34*VLOOKUP('Données projet'!$B$13,Paramètres!$A$1:$I$89,3,0)*VLOOKUP('Données projet'!$B$13,Paramètres!$A$1:$I$89,5,0)</f>
        <v>130.65624000000003</v>
      </c>
      <c r="CV34" s="13">
        <f t="shared" si="41"/>
        <v>34.147952661921146</v>
      </c>
      <c r="CW34" s="20">
        <f t="shared" si="13"/>
        <v>287.03396888617937</v>
      </c>
      <c r="CX34" s="59">
        <f t="shared" si="14"/>
        <v>527.0820920989969</v>
      </c>
      <c r="CY34" s="59">
        <f ca="1">AVERAGE(OFFSET($CX$3,0,0,'Données projet'!$E$13+1,1))-AVERAGE(OFFSET($H$3,0,0,'Données projet'!$E$13+1,1))</f>
        <v>400.48995908576177</v>
      </c>
      <c r="CZ34" s="59">
        <f t="shared" si="42"/>
        <v>384.86917865380076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15.2</v>
      </c>
      <c r="DO34" s="12">
        <f>IF('Données projet'!$A$166&gt;35,DO33+DN34-DW33,IF(A34&lt;'Données projet'!$A$166,$DL$205^A34,IF(A34='Données projet'!$A$166,'Données projet'!$B$166,DO33+DN34-DW33)))</f>
        <v>178.20000000000005</v>
      </c>
      <c r="DP34" s="17">
        <f>DO34*VLOOKUP('Données projet'!$B$14,Paramètres!$A$1:$I$89,3,0)*VLOOKUP('Données projet'!$B$14,Paramètres!$A$1:$I$89,5,0)</f>
        <v>141.77592000000004</v>
      </c>
      <c r="DQ34" s="13">
        <f t="shared" si="43"/>
        <v>36.703544878441981</v>
      </c>
      <c r="DR34" s="20">
        <f t="shared" si="16"/>
        <v>310.85173466328649</v>
      </c>
      <c r="DS34" s="59">
        <f t="shared" si="17"/>
        <v>550.89985787610408</v>
      </c>
      <c r="DT34" s="59">
        <f ca="1">AVERAGE(OFFSET($DS$3,0,0,'Données projet'!$E$14+1,1))-AVERAGE(OFFSET($H$3,0,0,'Données projet'!$E$14+1,1))</f>
        <v>429.30603040255431</v>
      </c>
      <c r="DU34" s="59">
        <f t="shared" si="44"/>
        <v>412.18613903804726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>
        <f>VLOOKUP(A34,'Données projet'!$A$191:$I$211,2,0)</f>
        <v>99.358974358974351</v>
      </c>
      <c r="EH34" s="12">
        <f>VLOOKUP(A34,'Données projet'!$A$191:$I$211,9,0)</f>
        <v>7.3717948717948714</v>
      </c>
      <c r="EI34" s="12">
        <f t="array" ref="EI34">INDEX(EH:EH,MIN(IF(ISNUMBER(EH34:EH230),ROW(EH34:EH230),"")))</f>
        <v>7.3717948717948714</v>
      </c>
      <c r="EJ34" s="12">
        <f>IF('Données projet'!$A$192&gt;35,EJ33+EI34-ER33,IF(A34&lt;'Données projet'!$A$192,$EG$205^A34,IF(A34='Données projet'!$A$192,'Données projet'!$B$192,EJ33+EI34-ER33)))</f>
        <v>99.358974358974379</v>
      </c>
      <c r="EK34" s="17">
        <f>EJ34*VLOOKUP('Données projet'!$B$15,Paramètres!$A$1:$I$89,3,0)*VLOOKUP('Données projet'!$B$15,Paramètres!$A$1:$I$89,5,0)</f>
        <v>77.500000000000014</v>
      </c>
      <c r="EL34" s="13">
        <f t="shared" si="45"/>
        <v>21.524796250766268</v>
      </c>
      <c r="EM34" s="20">
        <f t="shared" si="19"/>
        <v>172.46818680341792</v>
      </c>
      <c r="EN34" s="59">
        <f t="shared" si="20"/>
        <v>412.51631001623548</v>
      </c>
      <c r="EO34" s="59">
        <f ca="1">AVERAGE(OFFSET($EN$3,0,0,'Données projet'!$E$15+1,1))-AVERAGE(OFFSET($H$3,0,0,'Données projet'!$E$15+1,1))</f>
        <v>217.53602321474159</v>
      </c>
      <c r="EP34" s="59">
        <f t="shared" si="46"/>
        <v>215.75909414893025</v>
      </c>
      <c r="EQ34" s="15">
        <f>IF(ISNA(VLOOKUP(A34,'Données projet'!$A$191:$I$211,3,0)),0,VLOOKUP(A34,'Données projet'!$A$191:$I$211,3,0))</f>
        <v>4</v>
      </c>
      <c r="ER34" s="15">
        <f>IF(ISNA(VLOOKUP(A34,'Données projet'!$A$191:$I$211,4,0)),0,VLOOKUP(A34,'Données projet'!$A$191:$I$211,4,0))</f>
        <v>23.076923076923077</v>
      </c>
      <c r="ES34" s="16">
        <f>IF(ISNA(VLOOKUP(A34,'Données projet'!$A$191:$I$211,5,0)),0%,VLOOKUP(A34,'Données projet'!$A$191:$I$211,5,0)*VLOOKUP('Données projet'!$B$15,Paramètres!$A$1:$I$89,7,0))</f>
        <v>0.43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8.5563407375850336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8.5563407375850336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15.881076919999998</v>
      </c>
      <c r="FE34" s="12">
        <f>IF('Données projet'!$A$218&gt;35,FE33+FD34-FM33,IF(A34&lt;'Données projet'!$A$218,$FB$205^A34,IF(A34='Données projet'!$A$218,'Données projet'!$B$218,FE33+FD34-FM33)))</f>
        <v>137.76569232</v>
      </c>
      <c r="FF34" s="17">
        <f>FE34*VLOOKUP('Données projet'!$B$16,Paramètres!$A$1:$I$89,3,0)*VLOOKUP('Données projet'!$B$16,Paramètres!$A$1:$I$89,5,0)</f>
        <v>92.413226408256008</v>
      </c>
      <c r="FG34" s="13">
        <f t="shared" si="47"/>
        <v>25.146337768822566</v>
      </c>
      <c r="FH34" s="20">
        <f t="shared" si="22"/>
        <v>204.74957427507852</v>
      </c>
      <c r="FI34" s="59">
        <f t="shared" si="23"/>
        <v>444.79769748789607</v>
      </c>
      <c r="FJ34" s="59">
        <f ca="1">AVERAGE(OFFSET($FI$3,0,0,'Données projet'!$E$16+1,1))-AVERAGE(OFFSET($H$3,0,0,'Données projet'!$E$16+1,1))</f>
        <v>441.20130048888439</v>
      </c>
      <c r="FK34" s="59">
        <f t="shared" si="48"/>
        <v>237.47732532183946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7.2</v>
      </c>
      <c r="FZ34" s="12">
        <f>IF('Données projet'!$A$244&gt;35,FZ33+FY34-GH33,IF(A34&lt;'Données projet'!$A$244,$FW$205^A34,IF(A34='Données projet'!$A$244,'Données projet'!$B$244,FZ33+FY34-GH33)))</f>
        <v>124.20000000000002</v>
      </c>
      <c r="GA34" s="17">
        <f>FZ34*VLOOKUP('Données projet'!$B$17,Paramètres!$A$1:$I$89,3,0)*VLOOKUP('Données projet'!$B$17,Paramètres!$A$1:$I$89,5,0)</f>
        <v>81.375840000000011</v>
      </c>
      <c r="GB34" s="13">
        <f t="shared" si="49"/>
        <v>22.473249586041131</v>
      </c>
      <c r="GC34" s="20">
        <f t="shared" si="25"/>
        <v>180.87049769568833</v>
      </c>
      <c r="GD34" s="59">
        <f t="shared" si="26"/>
        <v>420.91862090850589</v>
      </c>
      <c r="GE34" s="59">
        <f ca="1">AVERAGE(OFFSET($GD$3,0,0,'Données projet'!$E$17+1,1))-AVERAGE(OFFSET($H$3,0,0,'Données projet'!$E$17+1,1))</f>
        <v>257.66104339896992</v>
      </c>
      <c r="GF34" s="59">
        <f t="shared" si="50"/>
        <v>254.79488636184996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5.8</v>
      </c>
      <c r="GU34" s="12">
        <f>IF('Données projet'!$A$270&gt;35,GU33+GT34-HC33,IF(A34&lt;'Données projet'!$A$270,$GR$205^A34,IF(A34='Données projet'!$A$270,'Données projet'!$B$270,GU33+GT34-HC33)))</f>
        <v>97.799999999999983</v>
      </c>
      <c r="GV34" s="17">
        <f>GU34*VLOOKUP('Données projet'!$B$18,Paramètres!$A$1:$I$89,3,0)*VLOOKUP('Données projet'!$B$18,Paramètres!$A$1:$I$89,5,0)</f>
        <v>79.335359999999994</v>
      </c>
      <c r="GW34" s="13">
        <f t="shared" si="51"/>
        <v>21.974597372641874</v>
      </c>
      <c r="GX34" s="20">
        <f t="shared" si="28"/>
        <v>176.44817575735124</v>
      </c>
      <c r="GY34" s="59">
        <f t="shared" si="29"/>
        <v>416.49629897016882</v>
      </c>
      <c r="GZ34" s="59">
        <f ca="1">AVERAGE(OFFSET($GY$3,0,0,'Données projet'!$E$18+1,1))-AVERAGE(OFFSET($H$3,0,0,'Données projet'!$E$18+1,1))</f>
        <v>299.98377156721153</v>
      </c>
      <c r="HA34" s="59">
        <f t="shared" si="52"/>
        <v>241.36164657721102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15.881076919999998</v>
      </c>
      <c r="N35" s="13">
        <f>IF('Données projet'!$A$36&gt;35,N34+M35-V34,IF(A35&lt;'Données projet'!$A$36,$K$205^A35,IF(A35='Données projet'!$A$36,'Données projet'!$B$36,N34+M35-V34)))</f>
        <v>153.64676924</v>
      </c>
      <c r="O35" s="13">
        <f>N35*VLOOKUP('Données projet'!$B$9,Paramètres!$A$1:$I$89,3,0)*VLOOKUP('Données projet'!$B$9,Paramètres!$A$1:$I$89,5,0)</f>
        <v>139.01959680835199</v>
      </c>
      <c r="P35" s="13">
        <f t="shared" si="33"/>
        <v>36.072317113336823</v>
      </c>
      <c r="Q35" s="20">
        <f t="shared" ref="Q35:Q66" si="53">(O35+P35)*0.475*44/12</f>
        <v>304.95175008027468</v>
      </c>
      <c r="R35" s="59">
        <f t="shared" si="0"/>
        <v>545.92425256080003</v>
      </c>
      <c r="S35" s="59">
        <f ca="1">AVERAGE(OFFSET($R$3,0,0,'Données projet'!$E$9+1,1))-AVERAGE(OFFSET($H$3,0,0,'Données projet'!$E$9+1,1))</f>
        <v>567.42635821507474</v>
      </c>
      <c r="T35" s="59">
        <f t="shared" si="34"/>
        <v>299.04735309930152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</v>
      </c>
      <c r="AI35" s="13">
        <f>IF('Données projet'!$A$62&gt;35,AI34+AH35-AQ34,IF(A35&lt;'Données projet'!$A$62,$AF$205^A35,IF(A35='Données projet'!$A$62,'Données projet'!$B$62,AI34+AH35-AQ34)))</f>
        <v>136.60000000000002</v>
      </c>
      <c r="AJ35" s="13">
        <f>AI35*VLOOKUP('Données projet'!$B$10,Paramètres!$A$1:$I$89,3,0)*VLOOKUP('Données projet'!$B$10,Paramètres!$A$1:$I$89,5,0)</f>
        <v>117.20280000000004</v>
      </c>
      <c r="AK35" s="13">
        <f t="shared" si="35"/>
        <v>31.021705481209352</v>
      </c>
      <c r="AL35" s="20">
        <f t="shared" si="4"/>
        <v>258.15768037977301</v>
      </c>
      <c r="AM35" s="59">
        <f t="shared" si="5"/>
        <v>499.13018286029831</v>
      </c>
      <c r="AN35" s="59">
        <f ca="1">AVERAGE(OFFSET($AM$3,0,0,'Données projet'!$E$10+1,1))-AVERAGE(OFFSET($H$3,0,0,'Données projet'!$E$10+1,1))</f>
        <v>569.97793593332699</v>
      </c>
      <c r="AO35" s="59">
        <f t="shared" si="36"/>
        <v>331.25104323342907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</v>
      </c>
      <c r="BD35" s="12">
        <f>IF('Données projet'!$A$88&gt;35,BD34+BC35-BL34,IF(A35&lt;'Données projet'!$A$88,$BA$205^A35,IF(A35='Données projet'!$A$88,'Données projet'!$B$88,BD34+BC35-BL34)))</f>
        <v>208.99999999999994</v>
      </c>
      <c r="BE35" s="13">
        <f>BD35*VLOOKUP('Données projet'!$B$11,Paramètres!$A$1:$I$89,3,0)*VLOOKUP('Données projet'!$B$11,Paramètres!$A$1:$I$89,5,0)</f>
        <v>114.11399999999996</v>
      </c>
      <c r="BF35" s="13">
        <f t="shared" si="37"/>
        <v>30.298194021728271</v>
      </c>
      <c r="BG35" s="20">
        <f t="shared" si="7"/>
        <v>251.5179045878433</v>
      </c>
      <c r="BH35" s="59">
        <f t="shared" si="8"/>
        <v>492.49040706836865</v>
      </c>
      <c r="BI35" s="59">
        <f ca="1">AVERAGE(OFFSET($BH$3,0,0,'Données projet'!$E$11+1,1))-AVERAGE(OFFSET($H$3,0,0,'Données projet'!$E$11+1,1))</f>
        <v>215.37314197175104</v>
      </c>
      <c r="BJ35" s="59">
        <f t="shared" si="38"/>
        <v>361.17630426655978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90.860767438207418</v>
      </c>
      <c r="BR35" s="21">
        <f>EXP(-LN(2)/2)*BR34+(1-EXP(-LN(2)/2))/(LN(2)/2)*BL35*BO35*VLOOKUP('Données projet'!$B$11,Paramètres!$A$1:$I$89,3,0)*0.475*44/12</f>
        <v>1.2677905784607868E-2</v>
      </c>
      <c r="BS35" s="22">
        <f t="shared" si="9"/>
        <v>90.873445343992032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28.661666666666662</v>
      </c>
      <c r="BY35" s="12">
        <f>IF('Données projet'!$A$114&gt;35,BY34+BX35-CG34,IF(A35&lt;'Données projet'!$A$114,$BV$205^A35,IF(A35='Données projet'!$A$114,'Données projet'!$B$114,BY34+BX35-CG34)))</f>
        <v>387.04333333333329</v>
      </c>
      <c r="BZ35" s="13">
        <f>BY35*VLOOKUP('Données projet'!$B$12,Paramètres!$A$1:$I$89,3,0)*VLOOKUP('Données projet'!$B$12,Paramètres!$A$1:$I$89,5,0)</f>
        <v>216.35722333333334</v>
      </c>
      <c r="CA35" s="13">
        <f t="shared" si="39"/>
        <v>53.322378483830668</v>
      </c>
      <c r="CB35" s="20">
        <f t="shared" si="10"/>
        <v>469.69197316489391</v>
      </c>
      <c r="CC35" s="59">
        <f t="shared" si="11"/>
        <v>710.6644756454192</v>
      </c>
      <c r="CD35" s="59">
        <f ca="1">AVERAGE(OFFSET($CC$3,0,0,'Données projet'!$E$12+1,1))-AVERAGE(OFFSET($H$3,0,0,'Données projet'!$E$12+1,1))</f>
        <v>420.4890915162182</v>
      </c>
      <c r="CE35" s="59">
        <f t="shared" si="40"/>
        <v>553.48432338023565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47.843338145197379</v>
      </c>
      <c r="CM35" s="21">
        <f>EXP(-LN(2)/2)*CM34+(1-EXP(-LN(2)/2))/(LN(2)/2)*CG35*CJ35*VLOOKUP('Données projet'!$B$12,Paramètres!$A$1:$I$89,3,0)*0.475*44/12</f>
        <v>0.36996026453140607</v>
      </c>
      <c r="CN35" s="22">
        <f t="shared" si="12"/>
        <v>48.213298409728786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15.2</v>
      </c>
      <c r="CT35" s="12">
        <f>IF('Données projet'!$A$140&gt;35,CT34+CS35-DB34,IF(A35&lt;'Données projet'!$A$140,$CQ$205^A35,IF(A35='Données projet'!$A$140,'Données projet'!$B$140,CT34+CS35-DB34)))</f>
        <v>193.40000000000003</v>
      </c>
      <c r="CU35" s="17">
        <f>CT35*VLOOKUP('Données projet'!$B$13,Paramètres!$A$1:$I$89,3,0)*VLOOKUP('Données projet'!$B$13,Paramètres!$A$1:$I$89,5,0)</f>
        <v>141.80088000000003</v>
      </c>
      <c r="CV35" s="13">
        <f t="shared" si="41"/>
        <v>36.709254421801973</v>
      </c>
      <c r="CW35" s="20">
        <f t="shared" si="13"/>
        <v>310.90515078463847</v>
      </c>
      <c r="CX35" s="59">
        <f t="shared" si="14"/>
        <v>551.87765326516376</v>
      </c>
      <c r="CY35" s="59">
        <f ca="1">AVERAGE(OFFSET($CX$3,0,0,'Données projet'!$E$13+1,1))-AVERAGE(OFFSET($H$3,0,0,'Données projet'!$E$13+1,1))</f>
        <v>400.48995908576177</v>
      </c>
      <c r="CZ35" s="59">
        <f t="shared" si="42"/>
        <v>384.86917865380076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15.2</v>
      </c>
      <c r="DO35" s="12">
        <f>IF('Données projet'!$A$166&gt;35,DO34+DN35-DW34,IF(A35&lt;'Données projet'!$A$166,$DL$205^A35,IF(A35='Données projet'!$A$166,'Données projet'!$B$166,DO34+DN35-DW34)))</f>
        <v>193.40000000000003</v>
      </c>
      <c r="DP35" s="17">
        <f>DO35*VLOOKUP('Données projet'!$B$14,Paramètres!$A$1:$I$89,3,0)*VLOOKUP('Données projet'!$B$14,Paramètres!$A$1:$I$89,5,0)</f>
        <v>153.86904000000004</v>
      </c>
      <c r="DQ35" s="13">
        <f t="shared" si="43"/>
        <v>39.456531419736123</v>
      </c>
      <c r="DR35" s="20">
        <f t="shared" si="16"/>
        <v>336.70870355604046</v>
      </c>
      <c r="DS35" s="59">
        <f t="shared" si="17"/>
        <v>577.68120603656575</v>
      </c>
      <c r="DT35" s="59">
        <f ca="1">AVERAGE(OFFSET($DS$3,0,0,'Données projet'!$E$14+1,1))-AVERAGE(OFFSET($H$3,0,0,'Données projet'!$E$14+1,1))</f>
        <v>429.30603040255431</v>
      </c>
      <c r="DU35" s="59">
        <f t="shared" si="44"/>
        <v>412.18613903804726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7.3717948717948731</v>
      </c>
      <c r="EJ35" s="12">
        <f>IF('Données projet'!$A$192&gt;35,EJ34+EI35-ER34,IF(A35&lt;'Données projet'!$A$192,$EG$205^A35,IF(A35='Données projet'!$A$192,'Données projet'!$B$192,EJ34+EI35-ER34)))</f>
        <v>83.653846153846175</v>
      </c>
      <c r="EK35" s="17">
        <f>EJ35*VLOOKUP('Données projet'!$B$15,Paramètres!$A$1:$I$89,3,0)*VLOOKUP('Données projet'!$B$15,Paramètres!$A$1:$I$89,5,0)</f>
        <v>65.250000000000014</v>
      </c>
      <c r="EL35" s="13">
        <f t="shared" si="45"/>
        <v>18.489084564748591</v>
      </c>
      <c r="EM35" s="20">
        <f t="shared" si="19"/>
        <v>145.84557228360381</v>
      </c>
      <c r="EN35" s="59">
        <f t="shared" si="20"/>
        <v>386.81807476412916</v>
      </c>
      <c r="EO35" s="59">
        <f ca="1">AVERAGE(OFFSET($EN$3,0,0,'Données projet'!$E$15+1,1))-AVERAGE(OFFSET($H$3,0,0,'Données projet'!$E$15+1,1))</f>
        <v>217.53602321474159</v>
      </c>
      <c r="EP35" s="59">
        <f t="shared" si="46"/>
        <v>215.75909414893025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8.3885561145735217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8.3885561145735217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15.881076919999998</v>
      </c>
      <c r="FE35" s="12">
        <f>IF('Données projet'!$A$218&gt;35,FE34+FD35-FM34,IF(A35&lt;'Données projet'!$A$218,$FB$205^A35,IF(A35='Données projet'!$A$218,'Données projet'!$B$218,FE34+FD35-FM34)))</f>
        <v>153.64676924</v>
      </c>
      <c r="FF35" s="17">
        <f>FE35*VLOOKUP('Données projet'!$B$16,Paramètres!$A$1:$I$89,3,0)*VLOOKUP('Données projet'!$B$16,Paramètres!$A$1:$I$89,5,0)</f>
        <v>103.06625280619201</v>
      </c>
      <c r="FG35" s="13">
        <f t="shared" si="47"/>
        <v>27.691201027928322</v>
      </c>
      <c r="FH35" s="20">
        <f t="shared" si="22"/>
        <v>227.7358987610929</v>
      </c>
      <c r="FI35" s="59">
        <f t="shared" si="23"/>
        <v>468.70840124161822</v>
      </c>
      <c r="FJ35" s="59">
        <f ca="1">AVERAGE(OFFSET($FI$3,0,0,'Données projet'!$E$16+1,1))-AVERAGE(OFFSET($H$3,0,0,'Données projet'!$E$16+1,1))</f>
        <v>441.20130048888439</v>
      </c>
      <c r="FK35" s="59">
        <f t="shared" si="48"/>
        <v>237.47732532183946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7.2</v>
      </c>
      <c r="FZ35" s="12">
        <f>IF('Données projet'!$A$244&gt;35,FZ34+FY35-GH34,IF(A35&lt;'Données projet'!$A$244,$FW$205^A35,IF(A35='Données projet'!$A$244,'Données projet'!$B$244,FZ34+FY35-GH34)))</f>
        <v>131.4</v>
      </c>
      <c r="GA35" s="17">
        <f>FZ35*VLOOKUP('Données projet'!$B$17,Paramètres!$A$1:$I$89,3,0)*VLOOKUP('Données projet'!$B$17,Paramètres!$A$1:$I$89,5,0)</f>
        <v>86.093280000000007</v>
      </c>
      <c r="GB35" s="13">
        <f t="shared" si="49"/>
        <v>23.620598504835936</v>
      </c>
      <c r="GC35" s="20">
        <f t="shared" si="25"/>
        <v>191.08500506258926</v>
      </c>
      <c r="GD35" s="59">
        <f t="shared" si="26"/>
        <v>432.05750754311458</v>
      </c>
      <c r="GE35" s="59">
        <f ca="1">AVERAGE(OFFSET($GD$3,0,0,'Données projet'!$E$17+1,1))-AVERAGE(OFFSET($H$3,0,0,'Données projet'!$E$17+1,1))</f>
        <v>257.66104339896992</v>
      </c>
      <c r="GF35" s="59">
        <f t="shared" si="50"/>
        <v>254.79488636184996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5.8</v>
      </c>
      <c r="GU35" s="12">
        <f>IF('Données projet'!$A$270&gt;35,GU34+GT35-HC34,IF(A35&lt;'Données projet'!$A$270,$GR$205^A35,IF(A35='Données projet'!$A$270,'Données projet'!$B$270,GU34+GT35-HC34)))</f>
        <v>103.59999999999998</v>
      </c>
      <c r="GV35" s="17">
        <f>GU35*VLOOKUP('Données projet'!$B$18,Paramètres!$A$1:$I$89,3,0)*VLOOKUP('Données projet'!$B$18,Paramètres!$A$1:$I$89,5,0)</f>
        <v>84.040319999999994</v>
      </c>
      <c r="GW35" s="13">
        <f t="shared" si="51"/>
        <v>23.122212826195224</v>
      </c>
      <c r="GX35" s="20">
        <f t="shared" si="28"/>
        <v>186.64141133895666</v>
      </c>
      <c r="GY35" s="59">
        <f t="shared" si="29"/>
        <v>427.61391381948198</v>
      </c>
      <c r="GZ35" s="59">
        <f ca="1">AVERAGE(OFFSET($GY$3,0,0,'Données projet'!$E$18+1,1))-AVERAGE(OFFSET($H$3,0,0,'Données projet'!$E$18+1,1))</f>
        <v>299.98377156721153</v>
      </c>
      <c r="HA35" s="59">
        <f t="shared" si="52"/>
        <v>241.36164657721102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15.881076919999998</v>
      </c>
      <c r="N36" s="13">
        <f>IF('Données projet'!$A$36&gt;35,N35+M36-V35,IF(A36&lt;'Données projet'!$A$36,$K$205^A36,IF(A36='Données projet'!$A$36,'Données projet'!$B$36,N35+M36-V35)))</f>
        <v>169.52784616</v>
      </c>
      <c r="O36" s="13">
        <f>N36*VLOOKUP('Données projet'!$B$9,Paramètres!$A$1:$I$89,3,0)*VLOOKUP('Données projet'!$B$9,Paramètres!$A$1:$I$89,5,0)</f>
        <v>153.38879520556799</v>
      </c>
      <c r="P36" s="13">
        <f t="shared" si="33"/>
        <v>39.347697315453154</v>
      </c>
      <c r="Q36" s="20">
        <f t="shared" si="53"/>
        <v>335.68272447411181</v>
      </c>
      <c r="R36" s="59">
        <f t="shared" si="0"/>
        <v>577.56357030865252</v>
      </c>
      <c r="S36" s="59">
        <f ca="1">AVERAGE(OFFSET($R$3,0,0,'Données projet'!$E$9+1,1))-AVERAGE(OFFSET($H$3,0,0,'Données projet'!$E$9+1,1))</f>
        <v>567.42635821507474</v>
      </c>
      <c r="T36" s="59">
        <f t="shared" si="34"/>
        <v>299.04735309930152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</v>
      </c>
      <c r="AI36" s="13">
        <f>IF('Données projet'!$A$62&gt;35,AI35+AH36-AQ35,IF(A36&lt;'Données projet'!$A$62,$AF$205^A36,IF(A36='Données projet'!$A$62,'Données projet'!$B$62,AI35+AH36-AQ35)))</f>
        <v>149.40000000000003</v>
      </c>
      <c r="AJ36" s="13">
        <f>AI36*VLOOKUP('Données projet'!$B$10,Paramètres!$A$1:$I$89,3,0)*VLOOKUP('Données projet'!$B$10,Paramètres!$A$1:$I$89,5,0)</f>
        <v>128.18520000000004</v>
      </c>
      <c r="AK36" s="13">
        <f t="shared" si="35"/>
        <v>33.57666984533806</v>
      </c>
      <c r="AL36" s="20">
        <f t="shared" si="4"/>
        <v>281.73525664729715</v>
      </c>
      <c r="AM36" s="59">
        <f t="shared" si="5"/>
        <v>523.61610248183786</v>
      </c>
      <c r="AN36" s="59">
        <f ca="1">AVERAGE(OFFSET($AM$3,0,0,'Données projet'!$E$10+1,1))-AVERAGE(OFFSET($H$3,0,0,'Données projet'!$E$10+1,1))</f>
        <v>569.97793593332699</v>
      </c>
      <c r="AO36" s="59">
        <f t="shared" si="36"/>
        <v>331.25104323342907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</v>
      </c>
      <c r="BD36" s="12">
        <f>IF('Données projet'!$A$88&gt;35,BD35+BC36-BL35,IF(A36&lt;'Données projet'!$A$88,$BA$205^A36,IF(A36='Données projet'!$A$88,'Données projet'!$B$88,BD35+BC36-BL35)))</f>
        <v>223.99999999999994</v>
      </c>
      <c r="BE36" s="13">
        <f>BD36*VLOOKUP('Données projet'!$B$11,Paramètres!$A$1:$I$89,3,0)*VLOOKUP('Données projet'!$B$11,Paramètres!$A$1:$I$89,5,0)</f>
        <v>122.30399999999996</v>
      </c>
      <c r="BF36" s="13">
        <f t="shared" si="37"/>
        <v>32.211773226559373</v>
      </c>
      <c r="BG36" s="20">
        <f t="shared" si="7"/>
        <v>269.11497170292415</v>
      </c>
      <c r="BH36" s="59">
        <f t="shared" si="8"/>
        <v>510.99581753746486</v>
      </c>
      <c r="BI36" s="59">
        <f ca="1">AVERAGE(OFFSET($BH$3,0,0,'Données projet'!$E$11+1,1))-AVERAGE(OFFSET($H$3,0,0,'Données projet'!$E$11+1,1))</f>
        <v>215.37314197175104</v>
      </c>
      <c r="BJ36" s="59">
        <f t="shared" si="38"/>
        <v>361.17630426655978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88.37617497444954</v>
      </c>
      <c r="BR36" s="21">
        <f>EXP(-LN(2)/2)*BR35+(1-EXP(-LN(2)/2))/(LN(2)/2)*BL36*BO36*VLOOKUP('Données projet'!$B$11,Paramètres!$A$1:$I$89,3,0)*0.475*44/12</f>
        <v>8.9646331515403806E-3</v>
      </c>
      <c r="BS36" s="22">
        <f t="shared" si="9"/>
        <v>88.385139607601076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28.661666666666662</v>
      </c>
      <c r="BY36" s="12">
        <f>IF('Données projet'!$A$114&gt;35,BY35+BX36-CG35,IF(A36&lt;'Données projet'!$A$114,$BV$205^A36,IF(A36='Données projet'!$A$114,'Données projet'!$B$114,BY35+BX36-CG35)))</f>
        <v>415.70499999999993</v>
      </c>
      <c r="BZ36" s="13">
        <f>BY36*VLOOKUP('Données projet'!$B$12,Paramètres!$A$1:$I$89,3,0)*VLOOKUP('Données projet'!$B$12,Paramètres!$A$1:$I$89,5,0)</f>
        <v>232.37909499999998</v>
      </c>
      <c r="CA36" s="13">
        <f t="shared" si="39"/>
        <v>56.796788993130136</v>
      </c>
      <c r="CB36" s="20">
        <f t="shared" si="10"/>
        <v>503.64799795470162</v>
      </c>
      <c r="CC36" s="59">
        <f t="shared" si="11"/>
        <v>745.52884378924239</v>
      </c>
      <c r="CD36" s="59">
        <f ca="1">AVERAGE(OFFSET($CC$3,0,0,'Données projet'!$E$12+1,1))-AVERAGE(OFFSET($H$3,0,0,'Données projet'!$E$12+1,1))</f>
        <v>420.4890915162182</v>
      </c>
      <c r="CE36" s="59">
        <f t="shared" si="40"/>
        <v>553.48432338023565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46.535059547645147</v>
      </c>
      <c r="CM36" s="21">
        <f>EXP(-LN(2)/2)*CM35+(1-EXP(-LN(2)/2))/(LN(2)/2)*CG36*CJ36*VLOOKUP('Données projet'!$B$12,Paramètres!$A$1:$I$89,3,0)*0.475*44/12</f>
        <v>0.26160141181972618</v>
      </c>
      <c r="CN36" s="22">
        <f t="shared" si="12"/>
        <v>46.796660959464873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15.2</v>
      </c>
      <c r="CT36" s="12">
        <f>IF('Données projet'!$A$140&gt;35,CT35+CS36-DB35,IF(A36&lt;'Données projet'!$A$140,$CQ$205^A36,IF(A36='Données projet'!$A$140,'Données projet'!$B$140,CT35+CS36-DB35)))</f>
        <v>208.60000000000002</v>
      </c>
      <c r="CU36" s="17">
        <f>CT36*VLOOKUP('Données projet'!$B$13,Paramètres!$A$1:$I$89,3,0)*VLOOKUP('Données projet'!$B$13,Paramètres!$A$1:$I$89,5,0)</f>
        <v>152.94552000000002</v>
      </c>
      <c r="CV36" s="13">
        <f t="shared" si="41"/>
        <v>39.247206134585156</v>
      </c>
      <c r="CW36" s="20">
        <f t="shared" si="13"/>
        <v>334.73566468440248</v>
      </c>
      <c r="CX36" s="59">
        <f t="shared" si="14"/>
        <v>576.61651051894319</v>
      </c>
      <c r="CY36" s="59">
        <f ca="1">AVERAGE(OFFSET($CX$3,0,0,'Données projet'!$E$13+1,1))-AVERAGE(OFFSET($H$3,0,0,'Données projet'!$E$13+1,1))</f>
        <v>400.48995908576177</v>
      </c>
      <c r="CZ36" s="59">
        <f t="shared" si="42"/>
        <v>384.86917865380076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15.2</v>
      </c>
      <c r="DO36" s="12">
        <f>IF('Données projet'!$A$166&gt;35,DO35+DN36-DW35,IF(A36&lt;'Données projet'!$A$166,$DL$205^A36,IF(A36='Données projet'!$A$166,'Données projet'!$B$166,DO35+DN36-DW35)))</f>
        <v>208.60000000000002</v>
      </c>
      <c r="DP36" s="17">
        <f>DO36*VLOOKUP('Données projet'!$B$14,Paramètres!$A$1:$I$89,3,0)*VLOOKUP('Données projet'!$B$14,Paramètres!$A$1:$I$89,5,0)</f>
        <v>165.96216000000001</v>
      </c>
      <c r="DQ36" s="13">
        <f t="shared" si="43"/>
        <v>42.184420424142857</v>
      </c>
      <c r="DR36" s="20">
        <f t="shared" si="16"/>
        <v>362.52196090538217</v>
      </c>
      <c r="DS36" s="59">
        <f t="shared" si="17"/>
        <v>604.40280673992288</v>
      </c>
      <c r="DT36" s="59">
        <f ca="1">AVERAGE(OFFSET($DS$3,0,0,'Données projet'!$E$14+1,1))-AVERAGE(OFFSET($H$3,0,0,'Données projet'!$E$14+1,1))</f>
        <v>429.30603040255431</v>
      </c>
      <c r="DU36" s="59">
        <f t="shared" si="44"/>
        <v>412.18613903804726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7.3717948717948731</v>
      </c>
      <c r="EJ36" s="12">
        <f>IF('Données projet'!$A$192&gt;35,EJ35+EI36-ER35,IF(A36&lt;'Données projet'!$A$192,$EG$205^A36,IF(A36='Données projet'!$A$192,'Données projet'!$B$192,EJ35+EI36-ER35)))</f>
        <v>91.02564102564105</v>
      </c>
      <c r="EK36" s="17">
        <f>EJ36*VLOOKUP('Données projet'!$B$15,Paramètres!$A$1:$I$89,3,0)*VLOOKUP('Données projet'!$B$15,Paramètres!$A$1:$I$89,5,0)</f>
        <v>71.000000000000028</v>
      </c>
      <c r="EL36" s="13">
        <f t="shared" si="45"/>
        <v>19.921587432217475</v>
      </c>
      <c r="EM36" s="20">
        <f t="shared" si="19"/>
        <v>158.35509811111217</v>
      </c>
      <c r="EN36" s="59">
        <f t="shared" si="20"/>
        <v>400.23594394565293</v>
      </c>
      <c r="EO36" s="59">
        <f ca="1">AVERAGE(OFFSET($EN$3,0,0,'Données projet'!$E$15+1,1))-AVERAGE(OFFSET($H$3,0,0,'Données projet'!$E$15+1,1))</f>
        <v>217.53602321474159</v>
      </c>
      <c r="EP36" s="59">
        <f t="shared" si="46"/>
        <v>215.75909414893025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8.2240616456807505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8.2240616456807505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15.881076919999998</v>
      </c>
      <c r="FE36" s="12">
        <f>IF('Données projet'!$A$218&gt;35,FE35+FD36-FM35,IF(A36&lt;'Données projet'!$A$218,$FB$205^A36,IF(A36='Données projet'!$A$218,'Données projet'!$B$218,FE35+FD36-FM35)))</f>
        <v>169.52784616</v>
      </c>
      <c r="FF36" s="17">
        <f>FE36*VLOOKUP('Données projet'!$B$16,Paramètres!$A$1:$I$89,3,0)*VLOOKUP('Données projet'!$B$16,Paramètres!$A$1:$I$89,5,0)</f>
        <v>113.719279204128</v>
      </c>
      <c r="FG36" s="13">
        <f t="shared" si="47"/>
        <v>30.205572681258158</v>
      </c>
      <c r="FH36" s="20">
        <f t="shared" si="22"/>
        <v>250.6691170337142</v>
      </c>
      <c r="FI36" s="59">
        <f t="shared" si="23"/>
        <v>492.54996286825497</v>
      </c>
      <c r="FJ36" s="59">
        <f ca="1">AVERAGE(OFFSET($FI$3,0,0,'Données projet'!$E$16+1,1))-AVERAGE(OFFSET($H$3,0,0,'Données projet'!$E$16+1,1))</f>
        <v>441.20130048888439</v>
      </c>
      <c r="FK36" s="59">
        <f t="shared" si="48"/>
        <v>237.47732532183946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7.2</v>
      </c>
      <c r="FZ36" s="12">
        <f>IF('Données projet'!$A$244&gt;35,FZ35+FY36-GH35,IF(A36&lt;'Données projet'!$A$244,$FW$205^A36,IF(A36='Données projet'!$A$244,'Données projet'!$B$244,FZ35+FY36-GH35)))</f>
        <v>138.6</v>
      </c>
      <c r="GA36" s="17">
        <f>FZ36*VLOOKUP('Données projet'!$B$17,Paramètres!$A$1:$I$89,3,0)*VLOOKUP('Données projet'!$B$17,Paramètres!$A$1:$I$89,5,0)</f>
        <v>90.810720000000003</v>
      </c>
      <c r="GB36" s="13">
        <f t="shared" si="49"/>
        <v>24.760648970178448</v>
      </c>
      <c r="GC36" s="20">
        <f t="shared" si="25"/>
        <v>201.28680095639413</v>
      </c>
      <c r="GD36" s="59">
        <f t="shared" si="26"/>
        <v>443.1676467909349</v>
      </c>
      <c r="GE36" s="59">
        <f ca="1">AVERAGE(OFFSET($GD$3,0,0,'Données projet'!$E$17+1,1))-AVERAGE(OFFSET($H$3,0,0,'Données projet'!$E$17+1,1))</f>
        <v>257.66104339896992</v>
      </c>
      <c r="GF36" s="59">
        <f t="shared" si="50"/>
        <v>254.79488636184996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5.8</v>
      </c>
      <c r="GU36" s="12">
        <f>IF('Données projet'!$A$270&gt;35,GU35+GT36-HC35,IF(A36&lt;'Données projet'!$A$270,$GR$205^A36,IF(A36='Données projet'!$A$270,'Données projet'!$B$270,GU35+GT36-HC35)))</f>
        <v>109.39999999999998</v>
      </c>
      <c r="GV36" s="17">
        <f>GU36*VLOOKUP('Données projet'!$B$18,Paramètres!$A$1:$I$89,3,0)*VLOOKUP('Données projet'!$B$18,Paramètres!$A$1:$I$89,5,0)</f>
        <v>88.745279999999994</v>
      </c>
      <c r="GW36" s="13">
        <f t="shared" si="51"/>
        <v>24.262369928218718</v>
      </c>
      <c r="GX36" s="20">
        <f t="shared" si="28"/>
        <v>196.82165695831426</v>
      </c>
      <c r="GY36" s="59">
        <f t="shared" si="29"/>
        <v>438.702502792855</v>
      </c>
      <c r="GZ36" s="59">
        <f ca="1">AVERAGE(OFFSET($GY$3,0,0,'Données projet'!$E$18+1,1))-AVERAGE(OFFSET($H$3,0,0,'Données projet'!$E$18+1,1))</f>
        <v>299.98377156721153</v>
      </c>
      <c r="HA36" s="59">
        <f t="shared" si="52"/>
        <v>241.36164657721102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15.881076919999998</v>
      </c>
      <c r="N37" s="13">
        <f>IF('Données projet'!$A$36&gt;35,N36+M37-V36,IF(A37&lt;'Données projet'!$A$36,$K$205^A37,IF(A37='Données projet'!$A$36,'Données projet'!$B$36,N36+M37-V36)))</f>
        <v>185.40892307999999</v>
      </c>
      <c r="O37" s="13">
        <f>N37*VLOOKUP('Données projet'!$B$9,Paramètres!$A$1:$I$89,3,0)*VLOOKUP('Données projet'!$B$9,Paramètres!$A$1:$I$89,5,0)</f>
        <v>167.75799360278398</v>
      </c>
      <c r="P37" s="13">
        <f t="shared" si="33"/>
        <v>42.587501411908057</v>
      </c>
      <c r="Q37" s="20">
        <f t="shared" si="53"/>
        <v>366.35173715058863</v>
      </c>
      <c r="R37" s="59">
        <f t="shared" si="0"/>
        <v>609.12516861270421</v>
      </c>
      <c r="S37" s="59">
        <f ca="1">AVERAGE(OFFSET($R$3,0,0,'Données projet'!$E$9+1,1))-AVERAGE(OFFSET($H$3,0,0,'Données projet'!$E$9+1,1))</f>
        <v>567.42635821507474</v>
      </c>
      <c r="T37" s="59">
        <f t="shared" si="34"/>
        <v>299.04735309930152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</v>
      </c>
      <c r="AI37" s="13">
        <f>IF('Données projet'!$A$62&gt;35,AI36+AH37-AQ36,IF(A37&lt;'Données projet'!$A$62,$AF$205^A37,IF(A37='Données projet'!$A$62,'Données projet'!$B$62,AI36+AH37-AQ36)))</f>
        <v>162.20000000000005</v>
      </c>
      <c r="AJ37" s="13">
        <f>AI37*VLOOKUP('Données projet'!$B$10,Paramètres!$A$1:$I$89,3,0)*VLOOKUP('Données projet'!$B$10,Paramètres!$A$1:$I$89,5,0)</f>
        <v>139.16760000000005</v>
      </c>
      <c r="AK37" s="13">
        <f t="shared" si="35"/>
        <v>36.106248210614609</v>
      </c>
      <c r="AL37" s="20">
        <f t="shared" si="4"/>
        <v>305.2686189668205</v>
      </c>
      <c r="AM37" s="59">
        <f t="shared" si="5"/>
        <v>548.04205042893614</v>
      </c>
      <c r="AN37" s="59">
        <f ca="1">AVERAGE(OFFSET($AM$3,0,0,'Données projet'!$E$10+1,1))-AVERAGE(OFFSET($H$3,0,0,'Données projet'!$E$10+1,1))</f>
        <v>569.97793593332699</v>
      </c>
      <c r="AO37" s="59">
        <f t="shared" si="36"/>
        <v>331.25104323342907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</v>
      </c>
      <c r="BD37" s="12">
        <f>IF('Données projet'!$A$88&gt;35,BD36+BC37-BL36,IF(A37&lt;'Données projet'!$A$88,$BA$205^A37,IF(A37='Données projet'!$A$88,'Données projet'!$B$88,BD36+BC37-BL36)))</f>
        <v>238.99999999999994</v>
      </c>
      <c r="BE37" s="13">
        <f>BD37*VLOOKUP('Données projet'!$B$11,Paramètres!$A$1:$I$89,3,0)*VLOOKUP('Données projet'!$B$11,Paramètres!$A$1:$I$89,5,0)</f>
        <v>130.49399999999997</v>
      </c>
      <c r="BF37" s="13">
        <f t="shared" si="37"/>
        <v>34.110483018610772</v>
      </c>
      <c r="BG37" s="20">
        <f t="shared" si="7"/>
        <v>286.68614125741368</v>
      </c>
      <c r="BH37" s="59">
        <f t="shared" si="8"/>
        <v>529.45957271952921</v>
      </c>
      <c r="BI37" s="59">
        <f ca="1">AVERAGE(OFFSET($BH$3,0,0,'Données projet'!$E$11+1,1))-AVERAGE(OFFSET($H$3,0,0,'Données projet'!$E$11+1,1))</f>
        <v>215.37314197175104</v>
      </c>
      <c r="BJ37" s="59">
        <f t="shared" si="38"/>
        <v>361.17630426655978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85.95952382227216</v>
      </c>
      <c r="BR37" s="21">
        <f>EXP(-LN(2)/2)*BR36+(1-EXP(-LN(2)/2))/(LN(2)/2)*BL37*BO37*VLOOKUP('Données projet'!$B$11,Paramètres!$A$1:$I$89,3,0)*0.475*44/12</f>
        <v>6.338952892303934E-3</v>
      </c>
      <c r="BS37" s="22">
        <f t="shared" si="9"/>
        <v>85.965862775164467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28.661666666666662</v>
      </c>
      <c r="BY37" s="12">
        <f>IF('Données projet'!$A$114&gt;35,BY36+BX37-CG36,IF(A37&lt;'Données projet'!$A$114,$BV$205^A37,IF(A37='Données projet'!$A$114,'Données projet'!$B$114,BY36+BX37-CG36)))</f>
        <v>444.36666666666656</v>
      </c>
      <c r="BZ37" s="13">
        <f>BY37*VLOOKUP('Données projet'!$B$12,Paramètres!$A$1:$I$89,3,0)*VLOOKUP('Données projet'!$B$12,Paramètres!$A$1:$I$89,5,0)</f>
        <v>248.40096666666662</v>
      </c>
      <c r="CA37" s="13">
        <f t="shared" si="39"/>
        <v>60.243404162664191</v>
      </c>
      <c r="CB37" s="20">
        <f t="shared" si="10"/>
        <v>537.55561252775112</v>
      </c>
      <c r="CC37" s="59">
        <f t="shared" si="11"/>
        <v>780.3290439898667</v>
      </c>
      <c r="CD37" s="59">
        <f ca="1">AVERAGE(OFFSET($CC$3,0,0,'Données projet'!$E$12+1,1))-AVERAGE(OFFSET($H$3,0,0,'Données projet'!$E$12+1,1))</f>
        <v>420.4890915162182</v>
      </c>
      <c r="CE37" s="59">
        <f t="shared" si="40"/>
        <v>553.48432338023565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45.26255589714237</v>
      </c>
      <c r="CM37" s="21">
        <f>EXP(-LN(2)/2)*CM36+(1-EXP(-LN(2)/2))/(LN(2)/2)*CG37*CJ37*VLOOKUP('Données projet'!$B$12,Paramètres!$A$1:$I$89,3,0)*0.475*44/12</f>
        <v>0.18498013226570303</v>
      </c>
      <c r="CN37" s="22">
        <f t="shared" si="12"/>
        <v>45.44753602940807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15.2</v>
      </c>
      <c r="CT37" s="12">
        <f>IF('Données projet'!$A$140&gt;35,CT36+CS37-DB36,IF(A37&lt;'Données projet'!$A$140,$CQ$205^A37,IF(A37='Données projet'!$A$140,'Données projet'!$B$140,CT36+CS37-DB36)))</f>
        <v>223.8</v>
      </c>
      <c r="CU37" s="17">
        <f>CT37*VLOOKUP('Données projet'!$B$13,Paramètres!$A$1:$I$89,3,0)*VLOOKUP('Données projet'!$B$13,Paramètres!$A$1:$I$89,5,0)</f>
        <v>164.09016</v>
      </c>
      <c r="CV37" s="13">
        <f t="shared" si="41"/>
        <v>41.763702733606458</v>
      </c>
      <c r="CW37" s="20">
        <f t="shared" si="13"/>
        <v>358.52881092769786</v>
      </c>
      <c r="CX37" s="59">
        <f t="shared" si="14"/>
        <v>601.3022423898135</v>
      </c>
      <c r="CY37" s="59">
        <f ca="1">AVERAGE(OFFSET($CX$3,0,0,'Données projet'!$E$13+1,1))-AVERAGE(OFFSET($H$3,0,0,'Données projet'!$E$13+1,1))</f>
        <v>400.48995908576177</v>
      </c>
      <c r="CZ37" s="59">
        <f t="shared" si="42"/>
        <v>384.86917865380076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15.2</v>
      </c>
      <c r="DO37" s="12">
        <f>IF('Données projet'!$A$166&gt;35,DO36+DN37-DW36,IF(A37&lt;'Données projet'!$A$166,$DL$205^A37,IF(A37='Données projet'!$A$166,'Données projet'!$B$166,DO36+DN37-DW36)))</f>
        <v>223.8</v>
      </c>
      <c r="DP37" s="17">
        <f>DO37*VLOOKUP('Données projet'!$B$14,Paramètres!$A$1:$I$89,3,0)*VLOOKUP('Données projet'!$B$14,Paramètres!$A$1:$I$89,5,0)</f>
        <v>178.05528000000001</v>
      </c>
      <c r="DQ37" s="13">
        <f t="shared" si="43"/>
        <v>44.889248639558041</v>
      </c>
      <c r="DR37" s="20">
        <f t="shared" si="16"/>
        <v>388.29505404723028</v>
      </c>
      <c r="DS37" s="59">
        <f t="shared" si="17"/>
        <v>631.06848550934592</v>
      </c>
      <c r="DT37" s="59">
        <f ca="1">AVERAGE(OFFSET($DS$3,0,0,'Données projet'!$E$14+1,1))-AVERAGE(OFFSET($H$3,0,0,'Données projet'!$E$14+1,1))</f>
        <v>429.30603040255431</v>
      </c>
      <c r="DU37" s="59">
        <f t="shared" si="44"/>
        <v>412.18613903804726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7.3717948717948731</v>
      </c>
      <c r="EJ37" s="12">
        <f>IF('Données projet'!$A$192&gt;35,EJ36+EI37-ER36,IF(A37&lt;'Données projet'!$A$192,$EG$205^A37,IF(A37='Données projet'!$A$192,'Données projet'!$B$192,EJ36+EI37-ER36)))</f>
        <v>98.397435897435926</v>
      </c>
      <c r="EK37" s="17">
        <f>EJ37*VLOOKUP('Données projet'!$B$15,Paramètres!$A$1:$I$89,3,0)*VLOOKUP('Données projet'!$B$15,Paramètres!$A$1:$I$89,5,0)</f>
        <v>76.750000000000028</v>
      </c>
      <c r="EL37" s="13">
        <f t="shared" si="45"/>
        <v>21.340634370994778</v>
      </c>
      <c r="EM37" s="20">
        <f t="shared" si="19"/>
        <v>170.84118819614926</v>
      </c>
      <c r="EN37" s="59">
        <f t="shared" si="20"/>
        <v>413.61461965826481</v>
      </c>
      <c r="EO37" s="59">
        <f ca="1">AVERAGE(OFFSET($EN$3,0,0,'Données projet'!$E$15+1,1))-AVERAGE(OFFSET($H$3,0,0,'Données projet'!$E$15+1,1))</f>
        <v>217.53602321474159</v>
      </c>
      <c r="EP37" s="59">
        <f t="shared" si="46"/>
        <v>215.75909414893025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8.0627928129912476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8.0627928129912476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15.881076919999998</v>
      </c>
      <c r="FE37" s="12">
        <f>IF('Données projet'!$A$218&gt;35,FE36+FD37-FM36,IF(A37&lt;'Données projet'!$A$218,$FB$205^A37,IF(A37='Données projet'!$A$218,'Données projet'!$B$218,FE36+FD37-FM36)))</f>
        <v>185.40892307999999</v>
      </c>
      <c r="FF37" s="17">
        <f>FE37*VLOOKUP('Données projet'!$B$16,Paramètres!$A$1:$I$89,3,0)*VLOOKUP('Données projet'!$B$16,Paramètres!$A$1:$I$89,5,0)</f>
        <v>124.372305602064</v>
      </c>
      <c r="FG37" s="13">
        <f t="shared" si="47"/>
        <v>32.692634054226289</v>
      </c>
      <c r="FH37" s="20">
        <f t="shared" si="22"/>
        <v>273.55476990137225</v>
      </c>
      <c r="FI37" s="59">
        <f t="shared" si="23"/>
        <v>516.32820136348778</v>
      </c>
      <c r="FJ37" s="59">
        <f ca="1">AVERAGE(OFFSET($FI$3,0,0,'Données projet'!$E$16+1,1))-AVERAGE(OFFSET($H$3,0,0,'Données projet'!$E$16+1,1))</f>
        <v>441.20130048888439</v>
      </c>
      <c r="FK37" s="59">
        <f t="shared" si="48"/>
        <v>237.47732532183946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7.2</v>
      </c>
      <c r="FZ37" s="12">
        <f>IF('Données projet'!$A$244&gt;35,FZ36+FY37-GH36,IF(A37&lt;'Données projet'!$A$244,$FW$205^A37,IF(A37='Données projet'!$A$244,'Données projet'!$B$244,FZ36+FY37-GH36)))</f>
        <v>145.79999999999998</v>
      </c>
      <c r="GA37" s="17">
        <f>FZ37*VLOOKUP('Données projet'!$B$17,Paramètres!$A$1:$I$89,3,0)*VLOOKUP('Données projet'!$B$17,Paramètres!$A$1:$I$89,5,0)</f>
        <v>95.528159999999986</v>
      </c>
      <c r="GB37" s="13">
        <f t="shared" si="49"/>
        <v>25.893823366813653</v>
      </c>
      <c r="GC37" s="20">
        <f t="shared" si="25"/>
        <v>211.47662103053372</v>
      </c>
      <c r="GD37" s="59">
        <f t="shared" si="26"/>
        <v>454.25005249264927</v>
      </c>
      <c r="GE37" s="59">
        <f ca="1">AVERAGE(OFFSET($GD$3,0,0,'Données projet'!$E$17+1,1))-AVERAGE(OFFSET($H$3,0,0,'Données projet'!$E$17+1,1))</f>
        <v>257.66104339896992</v>
      </c>
      <c r="GF37" s="59">
        <f t="shared" si="50"/>
        <v>254.79488636184996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5.8</v>
      </c>
      <c r="GU37" s="12">
        <f>IF('Données projet'!$A$270&gt;35,GU36+GT37-HC36,IF(A37&lt;'Données projet'!$A$270,$GR$205^A37,IF(A37='Données projet'!$A$270,'Données projet'!$B$270,GU36+GT37-HC36)))</f>
        <v>115.19999999999997</v>
      </c>
      <c r="GV37" s="17">
        <f>GU37*VLOOKUP('Données projet'!$B$18,Paramètres!$A$1:$I$89,3,0)*VLOOKUP('Données projet'!$B$18,Paramètres!$A$1:$I$89,5,0)</f>
        <v>93.45023999999998</v>
      </c>
      <c r="GW37" s="13">
        <f t="shared" si="51"/>
        <v>25.395509184428445</v>
      </c>
      <c r="GX37" s="20">
        <f t="shared" si="28"/>
        <v>206.98967982954616</v>
      </c>
      <c r="GY37" s="59">
        <f t="shared" si="29"/>
        <v>449.76311129166174</v>
      </c>
      <c r="GZ37" s="59">
        <f ca="1">AVERAGE(OFFSET($GY$3,0,0,'Données projet'!$E$18+1,1))-AVERAGE(OFFSET($H$3,0,0,'Données projet'!$E$18+1,1))</f>
        <v>299.98377156721153</v>
      </c>
      <c r="HA37" s="59">
        <f t="shared" si="52"/>
        <v>241.36164657721102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201.29</v>
      </c>
      <c r="L38" s="12">
        <f>VLOOKUP(A38,'Données projet'!$A$35:$I$55,9,0)</f>
        <v>15.881076919999998</v>
      </c>
      <c r="M38" s="12">
        <f t="array" ref="M38">INDEX(L:L,MIN(IF(ISNUMBER(L38:L234),ROW(L38:L234),"")))</f>
        <v>15.881076919999998</v>
      </c>
      <c r="N38" s="13">
        <f>IF('Données projet'!$A$36&gt;35,N37+M38-V37,IF(A38&lt;'Données projet'!$A$36,$K$205^A38,IF(A38='Données projet'!$A$36,'Données projet'!$B$36,N37+M38-V37)))</f>
        <v>201.29</v>
      </c>
      <c r="O38" s="13">
        <f>N38*VLOOKUP('Données projet'!$B$9,Paramètres!$A$1:$I$89,3,0)*VLOOKUP('Données projet'!$B$9,Paramètres!$A$1:$I$89,5,0)</f>
        <v>182.12719199999998</v>
      </c>
      <c r="P38" s="13">
        <f t="shared" si="33"/>
        <v>45.795123112801811</v>
      </c>
      <c r="Q38" s="20">
        <f t="shared" si="53"/>
        <v>396.96469882146312</v>
      </c>
      <c r="R38" s="59">
        <f t="shared" si="0"/>
        <v>640.61523154603765</v>
      </c>
      <c r="S38" s="59">
        <f ca="1">AVERAGE(OFFSET($R$3,0,0,'Données projet'!$E$9+1,1))-AVERAGE(OFFSET($H$3,0,0,'Données projet'!$E$9+1,1))</f>
        <v>567.42635821507474</v>
      </c>
      <c r="T38" s="59">
        <f t="shared" si="34"/>
        <v>299.04735309930152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69.58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29.926269476330646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29.926269476330646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175</v>
      </c>
      <c r="AG38" s="12">
        <f>VLOOKUP(A38,'Données projet'!$A$61:$I$81,9,0)</f>
        <v>12.8</v>
      </c>
      <c r="AH38" s="12">
        <f t="array" ref="AH38">INDEX(AG:AG,MIN(IF(ISNUMBER(AG38:AG234),ROW(AG38:AG234),"")))</f>
        <v>12.8</v>
      </c>
      <c r="AI38" s="13">
        <f>IF('Données projet'!$A$62&gt;35,AI37+AH38-AQ37,IF(A38&lt;'Données projet'!$A$62,$AF$205^A38,IF(A38='Données projet'!$A$62,'Données projet'!$B$62,AI37+AH38-AQ37)))</f>
        <v>175.00000000000006</v>
      </c>
      <c r="AJ38" s="13">
        <f>AI38*VLOOKUP('Données projet'!$B$10,Paramètres!$A$1:$I$89,3,0)*VLOOKUP('Données projet'!$B$10,Paramètres!$A$1:$I$89,5,0)</f>
        <v>150.15000000000006</v>
      </c>
      <c r="AK38" s="13">
        <f t="shared" si="35"/>
        <v>38.612671675922371</v>
      </c>
      <c r="AL38" s="20">
        <f t="shared" si="4"/>
        <v>328.76165316889825</v>
      </c>
      <c r="AM38" s="59">
        <f t="shared" si="5"/>
        <v>572.41218589347272</v>
      </c>
      <c r="AN38" s="59">
        <f ca="1">AVERAGE(OFFSET($AM$3,0,0,'Données projet'!$E$10+1,1))-AVERAGE(OFFSET($H$3,0,0,'Données projet'!$E$10+1,1))</f>
        <v>569.97793593332699</v>
      </c>
      <c r="AO38" s="59">
        <f t="shared" si="36"/>
        <v>331.25104323342907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35</v>
      </c>
      <c r="AR38" s="16">
        <f>IF(ISNA(VLOOKUP(A38,'Données projet'!$A$61:$I$81,5,0)),0%,VLOOKUP(A38,'Données projet'!$A$61:$I$81,5,0)*VLOOKUP('Données projet'!$B$10,Paramètres!$A$1:$I$89,7,0))</f>
        <v>0.53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17.594556013608486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17.594556013608486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15</v>
      </c>
      <c r="BD38" s="12">
        <f>IF('Données projet'!$A$88&gt;35,BD37+BC38-BL37,IF(A38&lt;'Données projet'!$A$88,$BA$205^A38,IF(A38='Données projet'!$A$88,'Données projet'!$B$88,BD37+BC38-BL37)))</f>
        <v>253.99999999999994</v>
      </c>
      <c r="BE38" s="13">
        <f>BD38*VLOOKUP('Données projet'!$B$11,Paramètres!$A$1:$I$89,3,0)*VLOOKUP('Données projet'!$B$11,Paramètres!$A$1:$I$89,5,0)</f>
        <v>138.68399999999997</v>
      </c>
      <c r="BF38" s="13">
        <f t="shared" si="37"/>
        <v>35.995362862956796</v>
      </c>
      <c r="BG38" s="20">
        <f t="shared" si="7"/>
        <v>304.23322365298299</v>
      </c>
      <c r="BH38" s="59">
        <f t="shared" si="8"/>
        <v>547.88375637755746</v>
      </c>
      <c r="BI38" s="59">
        <f ca="1">AVERAGE(OFFSET($BH$3,0,0,'Données projet'!$E$11+1,1))-AVERAGE(OFFSET($H$3,0,0,'Données projet'!$E$11+1,1))</f>
        <v>215.37314197175104</v>
      </c>
      <c r="BJ38" s="59">
        <f t="shared" si="38"/>
        <v>361.17630426655978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83.608956122937229</v>
      </c>
      <c r="BR38" s="21">
        <f>EXP(-LN(2)/2)*BR37+(1-EXP(-LN(2)/2))/(LN(2)/2)*BL38*BO38*VLOOKUP('Données projet'!$B$11,Paramètres!$A$1:$I$89,3,0)*0.475*44/12</f>
        <v>4.4823165757701903E-3</v>
      </c>
      <c r="BS38" s="22">
        <f t="shared" si="9"/>
        <v>83.613438439513004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28.661666666666662</v>
      </c>
      <c r="BY38" s="12">
        <f>IF('Données projet'!$A$114&gt;35,BY37+BX38-CG37,IF(A38&lt;'Données projet'!$A$114,$BV$205^A38,IF(A38='Données projet'!$A$114,'Données projet'!$B$114,BY37+BX38-CG37)))</f>
        <v>473.02833333333319</v>
      </c>
      <c r="BZ38" s="13">
        <f>BY38*VLOOKUP('Données projet'!$B$12,Paramètres!$A$1:$I$89,3,0)*VLOOKUP('Données projet'!$B$12,Paramètres!$A$1:$I$89,5,0)</f>
        <v>264.42283833333329</v>
      </c>
      <c r="CA38" s="13">
        <f t="shared" si="39"/>
        <v>63.664220837814945</v>
      </c>
      <c r="CB38" s="20">
        <f t="shared" si="10"/>
        <v>571.41829472308314</v>
      </c>
      <c r="CC38" s="59">
        <f t="shared" si="11"/>
        <v>815.06882744765767</v>
      </c>
      <c r="CD38" s="59">
        <f ca="1">AVERAGE(OFFSET($CC$3,0,0,'Données projet'!$E$12+1,1))-AVERAGE(OFFSET($H$3,0,0,'Données projet'!$E$12+1,1))</f>
        <v>420.4890915162182</v>
      </c>
      <c r="CE38" s="59">
        <f t="shared" si="40"/>
        <v>553.48432338023565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44.024848925880647</v>
      </c>
      <c r="CM38" s="21">
        <f>EXP(-LN(2)/2)*CM37+(1-EXP(-LN(2)/2))/(LN(2)/2)*CG38*CJ38*VLOOKUP('Données projet'!$B$12,Paramètres!$A$1:$I$89,3,0)*0.475*44/12</f>
        <v>0.13080070590986309</v>
      </c>
      <c r="CN38" s="22">
        <f t="shared" si="12"/>
        <v>44.15564963179051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239</v>
      </c>
      <c r="CR38" s="12">
        <f>VLOOKUP(A38,'Données projet'!$A$139:$I$159,9,0)</f>
        <v>15.2</v>
      </c>
      <c r="CS38" s="12">
        <f t="array" ref="CS38">INDEX(CR:CR,MIN(IF(ISNUMBER(CR38:CR234),ROW(CR38:CR234),"")))</f>
        <v>15.2</v>
      </c>
      <c r="CT38" s="12">
        <f>IF('Données projet'!$A$140&gt;35,CT37+CS38-DB37,IF(A38&lt;'Données projet'!$A$140,$CQ$205^A38,IF(A38='Données projet'!$A$140,'Données projet'!$B$140,CT37+CS38-DB37)))</f>
        <v>239</v>
      </c>
      <c r="CU38" s="17">
        <f>CT38*VLOOKUP('Données projet'!$B$13,Paramètres!$A$1:$I$89,3,0)*VLOOKUP('Données projet'!$B$13,Paramètres!$A$1:$I$89,5,0)</f>
        <v>175.23480000000001</v>
      </c>
      <c r="CV38" s="13">
        <f t="shared" si="41"/>
        <v>44.260367185241513</v>
      </c>
      <c r="CW38" s="20">
        <f t="shared" si="13"/>
        <v>382.28741618096228</v>
      </c>
      <c r="CX38" s="59">
        <f t="shared" si="14"/>
        <v>625.93794890553681</v>
      </c>
      <c r="CY38" s="59">
        <f ca="1">AVERAGE(OFFSET($CX$3,0,0,'Données projet'!$E$13+1,1))-AVERAGE(OFFSET($H$3,0,0,'Données projet'!$E$13+1,1))</f>
        <v>400.48995908576177</v>
      </c>
      <c r="CZ38" s="59">
        <f t="shared" si="42"/>
        <v>384.86917865380076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14.638187733860475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14.638187733860475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239</v>
      </c>
      <c r="DM38" s="12">
        <f>VLOOKUP(A38,'Données projet'!$A$165:$I$185,9,0)</f>
        <v>15.2</v>
      </c>
      <c r="DN38" s="12">
        <f t="array" ref="DN38">INDEX(DM:DM,MIN(IF(ISNUMBER(DM38:DM234),ROW(DM38:DM234),"")))</f>
        <v>15.2</v>
      </c>
      <c r="DO38" s="12">
        <f>IF('Données projet'!$A$166&gt;35,DO37+DN38-DW37,IF(A38&lt;'Données projet'!$A$166,$DL$205^A38,IF(A38='Données projet'!$A$166,'Données projet'!$B$166,DO37+DN38-DW37)))</f>
        <v>239</v>
      </c>
      <c r="DP38" s="17">
        <f>DO38*VLOOKUP('Données projet'!$B$14,Paramètres!$A$1:$I$89,3,0)*VLOOKUP('Données projet'!$B$14,Paramètres!$A$1:$I$89,5,0)</f>
        <v>190.14840000000001</v>
      </c>
      <c r="DQ38" s="13">
        <f t="shared" si="43"/>
        <v>47.572760493232991</v>
      </c>
      <c r="DR38" s="20">
        <f t="shared" si="16"/>
        <v>414.03102119238082</v>
      </c>
      <c r="DS38" s="59">
        <f t="shared" si="17"/>
        <v>657.68155391695529</v>
      </c>
      <c r="DT38" s="59">
        <f ca="1">AVERAGE(OFFSET($DS$3,0,0,'Données projet'!$E$14+1,1))-AVERAGE(OFFSET($H$3,0,0,'Données projet'!$E$14+1,1))</f>
        <v>429.30603040255431</v>
      </c>
      <c r="DU38" s="59">
        <f t="shared" si="44"/>
        <v>412.18613903804726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42</v>
      </c>
      <c r="DX38" s="16">
        <f>IF(ISNA(VLOOKUP(A38,'Données projet'!$A$165:$I$185,5,0)),0%,VLOOKUP(A38,'Données projet'!$A$165:$I$185,5,0)*VLOOKUP('Données projet'!$B$14,Paramètres!$A$1:$I$89,7,0))</f>
        <v>0.53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19.577942327869806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19.577942327869806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7.3717948717948731</v>
      </c>
      <c r="EJ38" s="12">
        <f>IF('Données projet'!$A$192&gt;35,EJ37+EI38-ER37,IF(A38&lt;'Données projet'!$A$192,$EG$205^A38,IF(A38='Données projet'!$A$192,'Données projet'!$B$192,EJ37+EI38-ER37)))</f>
        <v>105.7692307692308</v>
      </c>
      <c r="EK38" s="17">
        <f>EJ38*VLOOKUP('Données projet'!$B$15,Paramètres!$A$1:$I$89,3,0)*VLOOKUP('Données projet'!$B$15,Paramètres!$A$1:$I$89,5,0)</f>
        <v>82.500000000000028</v>
      </c>
      <c r="EL38" s="13">
        <f t="shared" si="45"/>
        <v>22.747348109696244</v>
      </c>
      <c r="EM38" s="20">
        <f t="shared" si="19"/>
        <v>183.30579795772098</v>
      </c>
      <c r="EN38" s="59">
        <f t="shared" si="20"/>
        <v>426.95633068229552</v>
      </c>
      <c r="EO38" s="59">
        <f ca="1">AVERAGE(OFFSET($EN$3,0,0,'Données projet'!$E$15+1,1))-AVERAGE(OFFSET($H$3,0,0,'Données projet'!$E$15+1,1))</f>
        <v>217.53602321474159</v>
      </c>
      <c r="EP38" s="59">
        <f t="shared" si="46"/>
        <v>215.75909414893025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7.904686363746511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7.904686363746511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201.29</v>
      </c>
      <c r="FC38" s="12">
        <f>VLOOKUP(A38,'Données projet'!$A$217:$I$237,9,0)</f>
        <v>15.881076919999998</v>
      </c>
      <c r="FD38" s="12">
        <f t="array" ref="FD38">INDEX(FC:FC,MIN(IF(ISNUMBER(FC38:FC234),ROW(FC38:FC234),"")))</f>
        <v>15.881076919999998</v>
      </c>
      <c r="FE38" s="12">
        <f>IF('Données projet'!$A$218&gt;35,FE37+FD38-FM37,IF(A38&lt;'Données projet'!$A$218,$FB$205^A38,IF(A38='Données projet'!$A$218,'Données projet'!$B$218,FE37+FD38-FM37)))</f>
        <v>201.29</v>
      </c>
      <c r="FF38" s="17">
        <f>FE38*VLOOKUP('Données projet'!$B$16,Paramètres!$A$1:$I$89,3,0)*VLOOKUP('Données projet'!$B$16,Paramètres!$A$1:$I$89,5,0)</f>
        <v>135.02533199999999</v>
      </c>
      <c r="FG38" s="13">
        <f t="shared" si="47"/>
        <v>35.154990355373222</v>
      </c>
      <c r="FH38" s="20">
        <f t="shared" si="22"/>
        <v>296.39739476894164</v>
      </c>
      <c r="FI38" s="59">
        <f t="shared" si="23"/>
        <v>540.04792749351611</v>
      </c>
      <c r="FJ38" s="59">
        <f ca="1">AVERAGE(OFFSET($FI$3,0,0,'Données projet'!$E$16+1,1))-AVERAGE(OFFSET($H$3,0,0,'Données projet'!$E$16+1,1))</f>
        <v>441.20130048888439</v>
      </c>
      <c r="FK38" s="59">
        <f t="shared" si="48"/>
        <v>237.47732532183946</v>
      </c>
      <c r="FL38" s="15">
        <f>IF(ISNA(VLOOKUP(A38,'Données projet'!$A$217:$I$237,3,0)),0,VLOOKUP(A38,'Données projet'!$A$217:$I$237,3,0))</f>
        <v>1</v>
      </c>
      <c r="FM38" s="15">
        <f>IF(ISNA(VLOOKUP(A38,'Données projet'!$A$217:$I$237,4,0)),0,VLOOKUP(A38,'Données projet'!$A$217:$I$237,4,0))</f>
        <v>69.58</v>
      </c>
      <c r="FN38" s="16">
        <f>IF(ISNA(VLOOKUP(A38,'Données projet'!$A$217:$I$237,5,0)),0%,VLOOKUP(A38,'Données projet'!$A$217:$I$237,5,0)*VLOOKUP('Données projet'!$B$16,Paramètres!$A$1:$I$89,7,0))</f>
        <v>0.53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27.34641865940559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27.34641865940559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153</v>
      </c>
      <c r="FX38" s="12">
        <f>VLOOKUP(A38,'Données projet'!$A$243:$I$263,9,0)</f>
        <v>7.2</v>
      </c>
      <c r="FY38" s="12">
        <f t="array" ref="FY38">INDEX(FX:FX,MIN(IF(ISNUMBER(FX38:FX234),ROW(FX38:FX234),"")))</f>
        <v>7.2</v>
      </c>
      <c r="FZ38" s="12">
        <f>IF('Données projet'!$A$244&gt;35,FZ37+FY38-GH37,IF(A38&lt;'Données projet'!$A$244,$FW$205^A38,IF(A38='Données projet'!$A$244,'Données projet'!$B$244,FZ37+FY38-GH37)))</f>
        <v>152.99999999999997</v>
      </c>
      <c r="GA38" s="17">
        <f>FZ38*VLOOKUP('Données projet'!$B$17,Paramètres!$A$1:$I$89,3,0)*VLOOKUP('Données projet'!$B$17,Paramètres!$A$1:$I$89,5,0)</f>
        <v>100.2456</v>
      </c>
      <c r="GB38" s="13">
        <f t="shared" si="49"/>
        <v>27.020500005754936</v>
      </c>
      <c r="GC38" s="20">
        <f t="shared" si="25"/>
        <v>221.65512417668984</v>
      </c>
      <c r="GD38" s="59">
        <f t="shared" si="26"/>
        <v>465.30565690126434</v>
      </c>
      <c r="GE38" s="59">
        <f ca="1">AVERAGE(OFFSET($GD$3,0,0,'Données projet'!$E$17+1,1))-AVERAGE(OFFSET($H$3,0,0,'Données projet'!$E$17+1,1))</f>
        <v>257.66104339896992</v>
      </c>
      <c r="GF38" s="59">
        <f t="shared" si="50"/>
        <v>254.79488636184996</v>
      </c>
      <c r="GG38" s="15">
        <f>IF(ISNA(VLOOKUP(A38,'Données projet'!$A$243:$I$263,3,0)),0,VLOOKUP(A38,'Données projet'!$A$243:$I$263,3,0))</f>
        <v>6</v>
      </c>
      <c r="GH38" s="15">
        <f>IF(ISNA(VLOOKUP(A38,'Données projet'!$A$243:$I$263,4,0)),0,VLOOKUP(A38,'Données projet'!$A$243:$I$263,4,0))</f>
        <v>21</v>
      </c>
      <c r="GI38" s="16">
        <f>IF(ISNA(VLOOKUP(A38,'Données projet'!$A$243:$I$263,5,0)),0%,VLOOKUP(A38,'Données projet'!$A$243:$I$263,5,0)*VLOOKUP('Données projet'!$B$17,Paramètres!$A$1:$I$89,7,0))</f>
        <v>0.43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6.5404668598099995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6.5404668598099995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121</v>
      </c>
      <c r="GS38" s="12">
        <f>VLOOKUP(A38,'Données projet'!$A$269:$I$289,9,0)</f>
        <v>5.8</v>
      </c>
      <c r="GT38" s="12">
        <f t="array" ref="GT38">INDEX(GS:GS,MIN(IF(ISNUMBER(GS38:GS234),ROW(GS38:GS234),"")))</f>
        <v>5.8</v>
      </c>
      <c r="GU38" s="12">
        <f>IF('Données projet'!$A$270&gt;35,GU37+GT38-HC37,IF(A38&lt;'Données projet'!$A$270,$GR$205^A38,IF(A38='Données projet'!$A$270,'Données projet'!$B$270,GU37+GT38-HC37)))</f>
        <v>120.99999999999997</v>
      </c>
      <c r="GV38" s="17">
        <f>GU38*VLOOKUP('Données projet'!$B$18,Paramètres!$A$1:$I$89,3,0)*VLOOKUP('Données projet'!$B$18,Paramètres!$A$1:$I$89,5,0)</f>
        <v>98.155199999999979</v>
      </c>
      <c r="GW38" s="13">
        <f t="shared" si="51"/>
        <v>26.522024238465775</v>
      </c>
      <c r="GX38" s="20">
        <f t="shared" si="28"/>
        <v>217.14616554866117</v>
      </c>
      <c r="GY38" s="59">
        <f t="shared" si="29"/>
        <v>460.79669827323568</v>
      </c>
      <c r="GZ38" s="59">
        <f ca="1">AVERAGE(OFFSET($GY$3,0,0,'Données projet'!$E$18+1,1))-AVERAGE(OFFSET($H$3,0,0,'Données projet'!$E$18+1,1))</f>
        <v>299.98377156721153</v>
      </c>
      <c r="HA38" s="59">
        <f t="shared" si="52"/>
        <v>241.36164657721102</v>
      </c>
      <c r="HB38" s="15">
        <f>IF(ISNA(VLOOKUP(A38,'Données projet'!$A$269:$I$289,3,0)),0,VLOOKUP(A38,'Données projet'!$A$269:$I$289,3,0))</f>
        <v>4</v>
      </c>
      <c r="HC38" s="15">
        <f>IF(ISNA(VLOOKUP(A38,'Données projet'!$A$269:$I$289,4,0)),0,VLOOKUP(A38,'Données projet'!$A$269:$I$289,4,0))</f>
        <v>12</v>
      </c>
      <c r="HD38" s="16">
        <f>IF(ISNA(VLOOKUP(A38,'Données projet'!$A$269:$I$289,5,0)),0%,VLOOKUP(A38,'Données projet'!$A$269:$I$289,5,0)*VLOOKUP('Données projet'!$B$18,Paramètres!$A$1:$I$89,7,0))</f>
        <v>0.43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4.627269070885986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4.627269070885986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12.86166666666667</v>
      </c>
      <c r="N39" s="13">
        <f>IF('Données projet'!$A$36&gt;35,N38+M39-V38,IF(A39&lt;'Données projet'!$A$36,$K$205^A39,IF(A39='Données projet'!$A$36,'Données projet'!$B$36,N38+M39-V38)))</f>
        <v>144.57166666666666</v>
      </c>
      <c r="O39" s="13">
        <f>N39*VLOOKUP('Données projet'!$B$9,Paramètres!$A$1:$I$89,3,0)*VLOOKUP('Données projet'!$B$9,Paramètres!$A$1:$I$89,5,0)</f>
        <v>130.80844399999998</v>
      </c>
      <c r="P39" s="13">
        <f t="shared" si="33"/>
        <v>34.183099548128496</v>
      </c>
      <c r="Q39" s="20">
        <f t="shared" si="53"/>
        <v>287.3602716796571</v>
      </c>
      <c r="R39" s="59">
        <f t="shared" si="0"/>
        <v>531.87268992069153</v>
      </c>
      <c r="S39" s="59">
        <f ca="1">AVERAGE(OFFSET($R$3,0,0,'Données projet'!$E$9+1,1))-AVERAGE(OFFSET($H$3,0,0,'Données projet'!$E$9+1,1))</f>
        <v>567.42635821507474</v>
      </c>
      <c r="T39" s="59">
        <f t="shared" si="34"/>
        <v>299.04735309930152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29.339433585121828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29.339433585121828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13.4</v>
      </c>
      <c r="AI39" s="13">
        <f>IF('Données projet'!$A$62&gt;35,AI38+AH39-AQ38,IF(A39&lt;'Données projet'!$A$62,$AF$205^A39,IF(A39='Données projet'!$A$62,'Données projet'!$B$62,AI38+AH39-AQ38)))</f>
        <v>153.40000000000006</v>
      </c>
      <c r="AJ39" s="13">
        <f>AI39*VLOOKUP('Données projet'!$B$10,Paramètres!$A$1:$I$89,3,0)*VLOOKUP('Données projet'!$B$10,Paramètres!$A$1:$I$89,5,0)</f>
        <v>131.61720000000008</v>
      </c>
      <c r="AK39" s="13">
        <f t="shared" si="35"/>
        <v>34.369777461794328</v>
      </c>
      <c r="AL39" s="20">
        <f t="shared" si="4"/>
        <v>289.09398574595861</v>
      </c>
      <c r="AM39" s="59">
        <f t="shared" si="5"/>
        <v>533.60640398699297</v>
      </c>
      <c r="AN39" s="59">
        <f ca="1">AVERAGE(OFFSET($AM$3,0,0,'Données projet'!$E$10+1,1))-AVERAGE(OFFSET($H$3,0,0,'Données projet'!$E$10+1,1))</f>
        <v>569.97793593332699</v>
      </c>
      <c r="AO39" s="59">
        <f t="shared" si="36"/>
        <v>331.25104323342907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17.249537501801132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17.249537501801132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269</v>
      </c>
      <c r="BB39" s="12">
        <f>VLOOKUP(A39,'Données projet'!$A$87:$I$107,9,0)</f>
        <v>15</v>
      </c>
      <c r="BC39" s="12">
        <f t="array" ref="BC39">INDEX(BB:BB,MIN(IF(ISNUMBER(BB39:BB235),ROW(BB39:BB235),"")))</f>
        <v>15</v>
      </c>
      <c r="BD39" s="12">
        <f>IF('Données projet'!$A$88&gt;35,BD38+BC39-BL38,IF(A39&lt;'Données projet'!$A$88,$BA$205^A39,IF(A39='Données projet'!$A$88,'Données projet'!$B$88,BD38+BC39-BL38)))</f>
        <v>268.99999999999994</v>
      </c>
      <c r="BE39" s="13">
        <f>BD39*VLOOKUP('Données projet'!$B$11,Paramètres!$A$1:$I$89,3,0)*VLOOKUP('Données projet'!$B$11,Paramètres!$A$1:$I$89,5,0)</f>
        <v>146.87399999999997</v>
      </c>
      <c r="BF39" s="13">
        <f t="shared" si="37"/>
        <v>37.867322517591383</v>
      </c>
      <c r="BG39" s="20">
        <f t="shared" si="7"/>
        <v>321.75780338480496</v>
      </c>
      <c r="BH39" s="59">
        <f t="shared" si="8"/>
        <v>566.27022162583944</v>
      </c>
      <c r="BI39" s="59">
        <f ca="1">AVERAGE(OFFSET($BH$3,0,0,'Données projet'!$E$11+1,1))-AVERAGE(OFFSET($H$3,0,0,'Données projet'!$E$11+1,1))</f>
        <v>215.37314197175104</v>
      </c>
      <c r="BJ39" s="59">
        <f t="shared" si="38"/>
        <v>361.17630426655978</v>
      </c>
      <c r="BK39" s="15">
        <f>IF(ISNA(VLOOKUP(A39,'Données projet'!$A$87:$I$107,3,0)),0,VLOOKUP(A39,'Données projet'!$A$87:$I$107,3,0))</f>
        <v>6</v>
      </c>
      <c r="BL39" s="15">
        <f>IF(ISNA(VLOOKUP(A39,'Données projet'!$A$87:$I$107,4,0)),0,VLOOKUP(A39,'Données projet'!$A$87:$I$107,4,0))</f>
        <v>75</v>
      </c>
      <c r="BM39" s="16">
        <f>IF(ISNA(VLOOKUP(A39,'Données projet'!$A$87:$I$107,5,0)),0%,VLOOKUP(A39,'Données projet'!$A$87:$I$107,5,0)*VLOOKUP('Données projet'!$B$11,Paramètres!$A$1:$I$89,7,0))</f>
        <v>0.6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32.593688670149504</v>
      </c>
      <c r="BQ39" s="21">
        <f>EXP(-LN(2)/25)*BQ38+(1-EXP(-LN(2)/25))/(LN(2)/25)*Calculateur!BL39*Calculateur!BN39*VLOOKUP('Données projet'!$B$11,Paramètres!$A$1:$I$89,3,0)*0.475*44/12</f>
        <v>81.322664820951601</v>
      </c>
      <c r="BR39" s="21">
        <f>EXP(-LN(2)/2)*BR38+(1-EXP(-LN(2)/2))/(LN(2)/2)*BL39*BO39*VLOOKUP('Données projet'!$B$11,Paramètres!$A$1:$I$89,3,0)*0.475*44/12</f>
        <v>3.169476446151967E-3</v>
      </c>
      <c r="BS39" s="22">
        <f t="shared" si="9"/>
        <v>113.91952296754725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>
        <f>VLOOKUP(A39,'Données projet'!$A$113:$I$133,2,0)</f>
        <v>501.69</v>
      </c>
      <c r="BW39" s="12">
        <f>VLOOKUP(A39,'Données projet'!$A$113:$I$133,9,0)</f>
        <v>28.661666666666662</v>
      </c>
      <c r="BX39" s="12">
        <f t="array" ref="BX39">INDEX(BW:BW,MIN(IF(ISNUMBER(BW39:BW235),ROW(BW39:BW235),"")))</f>
        <v>28.661666666666662</v>
      </c>
      <c r="BY39" s="12">
        <f>IF('Données projet'!$A$114&gt;35,BY38+BX39-CG38,IF(A39&lt;'Données projet'!$A$114,$BV$205^A39,IF(A39='Données projet'!$A$114,'Données projet'!$B$114,BY38+BX39-CG38)))</f>
        <v>501.68999999999983</v>
      </c>
      <c r="BZ39" s="13">
        <f>BY39*VLOOKUP('Données projet'!$B$12,Paramètres!$A$1:$I$89,3,0)*VLOOKUP('Données projet'!$B$12,Paramètres!$A$1:$I$89,5,0)</f>
        <v>280.44470999999987</v>
      </c>
      <c r="CA39" s="13">
        <f t="shared" si="39"/>
        <v>67.06098020598759</v>
      </c>
      <c r="CB39" s="20">
        <f t="shared" si="10"/>
        <v>605.23907710876153</v>
      </c>
      <c r="CC39" s="59">
        <f t="shared" si="11"/>
        <v>849.75149534979596</v>
      </c>
      <c r="CD39" s="59">
        <f ca="1">AVERAGE(OFFSET($CC$3,0,0,'Données projet'!$E$12+1,1))-AVERAGE(OFFSET($H$3,0,0,'Données projet'!$E$12+1,1))</f>
        <v>420.4890915162182</v>
      </c>
      <c r="CE39" s="59">
        <f t="shared" si="40"/>
        <v>553.48432338023565</v>
      </c>
      <c r="CF39" s="15">
        <f>IF(ISNA(VLOOKUP(A39,'Données projet'!$A$113:$I$133,3,0)),0,VLOOKUP(A39,'Données projet'!$A$113:$I$133,3,0))</f>
        <v>4</v>
      </c>
      <c r="CG39" s="15">
        <f>IF(ISNA(VLOOKUP(A39,'Données projet'!$A$113:$I$133,4,0)),0,VLOOKUP(A39,'Données projet'!$A$113:$I$133,4,0))</f>
        <v>85.88</v>
      </c>
      <c r="CH39" s="16">
        <f>IF(ISNA(VLOOKUP(A39,'Données projet'!$A$113:$I$133,5,0)),0%,VLOOKUP(A39,'Données projet'!$A$113:$I$133,5,0)*VLOOKUP('Données projet'!$B$12,Paramètres!$A$1:$I$89,7,0))</f>
        <v>0.55000000000000004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35.026350527921267</v>
      </c>
      <c r="CL39" s="21">
        <f>EXP(-LN(2)/25)*CL38+(1-EXP(-LN(2)/25))/(LN(2)/25)*Calculateur!CG39*Calculateur!CI39*VLOOKUP('Données projet'!$B$12,Paramètres!$A$1:$I$89,3,0)*0.475*44/12</f>
        <v>42.820987116836257</v>
      </c>
      <c r="CM39" s="21">
        <f>EXP(-LN(2)/2)*CM38+(1-EXP(-LN(2)/2))/(LN(2)/2)*CG39*CJ39*VLOOKUP('Données projet'!$B$12,Paramètres!$A$1:$I$89,3,0)*0.475*44/12</f>
        <v>9.2490066132851517E-2</v>
      </c>
      <c r="CN39" s="22">
        <f t="shared" si="12"/>
        <v>77.93982771089037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13.2</v>
      </c>
      <c r="CT39" s="12">
        <f>IF('Données projet'!$A$140&gt;35,CT38+CS39-DB38,IF(A39&lt;'Données projet'!$A$140,$CQ$205^A39,IF(A39='Données projet'!$A$140,'Données projet'!$B$140,CT38+CS39-DB38)))</f>
        <v>210.2</v>
      </c>
      <c r="CU39" s="17">
        <f>CT39*VLOOKUP('Données projet'!$B$13,Paramètres!$A$1:$I$89,3,0)*VLOOKUP('Données projet'!$B$13,Paramètres!$A$1:$I$89,5,0)</f>
        <v>154.11863999999997</v>
      </c>
      <c r="CV39" s="13">
        <f t="shared" si="41"/>
        <v>39.513080685376593</v>
      </c>
      <c r="CW39" s="20">
        <f t="shared" si="13"/>
        <v>337.24191352703082</v>
      </c>
      <c r="CX39" s="59">
        <f t="shared" si="14"/>
        <v>581.75433176806519</v>
      </c>
      <c r="CY39" s="59">
        <f ca="1">AVERAGE(OFFSET($CX$3,0,0,'Données projet'!$E$13+1,1))-AVERAGE(OFFSET($H$3,0,0,'Données projet'!$E$13+1,1))</f>
        <v>400.48995908576177</v>
      </c>
      <c r="CZ39" s="59">
        <f t="shared" si="42"/>
        <v>384.86917865380076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14.351141800812382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14.351141800812382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13.2</v>
      </c>
      <c r="DO39" s="12">
        <f>IF('Données projet'!$A$166&gt;35,DO38+DN39-DW38,IF(A39&lt;'Données projet'!$A$166,$DL$205^A39,IF(A39='Données projet'!$A$166,'Données projet'!$B$166,DO38+DN39-DW38)))</f>
        <v>210.2</v>
      </c>
      <c r="DP39" s="17">
        <f>DO39*VLOOKUP('Données projet'!$B$14,Paramètres!$A$1:$I$89,3,0)*VLOOKUP('Données projet'!$B$14,Paramètres!$A$1:$I$89,5,0)</f>
        <v>167.23511999999999</v>
      </c>
      <c r="DQ39" s="13">
        <f t="shared" si="43"/>
        <v>42.470192710511604</v>
      </c>
      <c r="DR39" s="20">
        <f t="shared" si="16"/>
        <v>365.23675297080769</v>
      </c>
      <c r="DS39" s="59">
        <f t="shared" si="17"/>
        <v>609.74917121184217</v>
      </c>
      <c r="DT39" s="59">
        <f ca="1">AVERAGE(OFFSET($DS$3,0,0,'Données projet'!$E$14+1,1))-AVERAGE(OFFSET($H$3,0,0,'Données projet'!$E$14+1,1))</f>
        <v>429.30603040255431</v>
      </c>
      <c r="DU39" s="59">
        <f t="shared" si="44"/>
        <v>412.18613903804726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19.194030820185986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19.194030820185986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7.3717948717948731</v>
      </c>
      <c r="EJ39" s="12">
        <f>IF('Données projet'!$A$192&gt;35,EJ38+EI39-ER38,IF(A39&lt;'Données projet'!$A$192,$EG$205^A39,IF(A39='Données projet'!$A$192,'Données projet'!$B$192,EJ38+EI39-ER38)))</f>
        <v>113.14102564102568</v>
      </c>
      <c r="EK39" s="17">
        <f>EJ39*VLOOKUP('Données projet'!$B$15,Paramètres!$A$1:$I$89,3,0)*VLOOKUP('Données projet'!$B$15,Paramètres!$A$1:$I$89,5,0)</f>
        <v>88.250000000000028</v>
      </c>
      <c r="EL39" s="13">
        <f t="shared" si="45"/>
        <v>24.142686012928117</v>
      </c>
      <c r="EM39" s="20">
        <f t="shared" si="19"/>
        <v>195.75059480584989</v>
      </c>
      <c r="EN39" s="59">
        <f t="shared" si="20"/>
        <v>440.26301304688434</v>
      </c>
      <c r="EO39" s="59">
        <f ca="1">AVERAGE(OFFSET($EN$3,0,0,'Données projet'!$E$15+1,1))-AVERAGE(OFFSET($H$3,0,0,'Données projet'!$E$15+1,1))</f>
        <v>217.53602321474159</v>
      </c>
      <c r="EP39" s="59">
        <f t="shared" si="46"/>
        <v>215.75909414893025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7.7496802855360523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7.7496802855360523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12.86166666666667</v>
      </c>
      <c r="FE39" s="12">
        <f>IF('Données projet'!$A$218&gt;35,FE38+FD39-FM38,IF(A39&lt;'Données projet'!$A$218,$FB$205^A39,IF(A39='Données projet'!$A$218,'Données projet'!$B$218,FE38+FD39-FM38)))</f>
        <v>144.57166666666666</v>
      </c>
      <c r="FF39" s="17">
        <f>FE39*VLOOKUP('Données projet'!$B$16,Paramètres!$A$1:$I$89,3,0)*VLOOKUP('Données projet'!$B$16,Paramètres!$A$1:$I$89,5,0)</f>
        <v>96.978673999999998</v>
      </c>
      <c r="FG39" s="13">
        <f t="shared" si="47"/>
        <v>26.240928143619048</v>
      </c>
      <c r="FH39" s="20">
        <f t="shared" si="22"/>
        <v>214.60747373346979</v>
      </c>
      <c r="FI39" s="59">
        <f t="shared" si="23"/>
        <v>459.11989197450418</v>
      </c>
      <c r="FJ39" s="59">
        <f ca="1">AVERAGE(OFFSET($FI$3,0,0,'Données projet'!$E$16+1,1))-AVERAGE(OFFSET($H$3,0,0,'Données projet'!$E$16+1,1))</f>
        <v>441.20130048888439</v>
      </c>
      <c r="FK39" s="59">
        <f t="shared" si="48"/>
        <v>237.47732532183946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26.810172069163048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26.810172069163048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7</v>
      </c>
      <c r="FZ39" s="12">
        <f>IF('Données projet'!$A$244&gt;35,FZ38+FY39-GH38,IF(A39&lt;'Données projet'!$A$244,$FW$205^A39,IF(A39='Données projet'!$A$244,'Données projet'!$B$244,FZ38+FY39-GH38)))</f>
        <v>138.99999999999997</v>
      </c>
      <c r="GA39" s="17">
        <f>FZ39*VLOOKUP('Données projet'!$B$17,Paramètres!$A$1:$I$89,3,0)*VLOOKUP('Données projet'!$B$17,Paramètres!$A$1:$I$89,5,0)</f>
        <v>91.072799999999987</v>
      </c>
      <c r="GB39" s="13">
        <f t="shared" si="49"/>
        <v>24.823779817332358</v>
      </c>
      <c r="GC39" s="20">
        <f t="shared" si="25"/>
        <v>201.85320984852046</v>
      </c>
      <c r="GD39" s="59">
        <f t="shared" si="26"/>
        <v>446.36562808955489</v>
      </c>
      <c r="GE39" s="59">
        <f ca="1">AVERAGE(OFFSET($GD$3,0,0,'Données projet'!$E$17+1,1))-AVERAGE(OFFSET($H$3,0,0,'Données projet'!$E$17+1,1))</f>
        <v>257.66104339896992</v>
      </c>
      <c r="GF39" s="59">
        <f t="shared" si="50"/>
        <v>254.79488636184996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6.4122122939800006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6.4122122939800006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6</v>
      </c>
      <c r="GU39" s="12">
        <f>IF('Données projet'!$A$270&gt;35,GU38+GT39-HC38,IF(A39&lt;'Données projet'!$A$270,$GR$205^A39,IF(A39='Données projet'!$A$270,'Données projet'!$B$270,GU38+GT39-HC38)))</f>
        <v>114.99999999999997</v>
      </c>
      <c r="GV39" s="17">
        <f>GU39*VLOOKUP('Données projet'!$B$18,Paramètres!$A$1:$I$89,3,0)*VLOOKUP('Données projet'!$B$18,Paramètres!$A$1:$I$89,5,0)</f>
        <v>93.287999999999982</v>
      </c>
      <c r="GW39" s="13">
        <f t="shared" si="51"/>
        <v>25.356547829040977</v>
      </c>
      <c r="GX39" s="20">
        <f t="shared" si="28"/>
        <v>206.63925413557965</v>
      </c>
      <c r="GY39" s="59">
        <f t="shared" si="29"/>
        <v>451.1516723766141</v>
      </c>
      <c r="GZ39" s="59">
        <f ca="1">AVERAGE(OFFSET($GY$3,0,0,'Données projet'!$E$18+1,1))-AVERAGE(OFFSET($H$3,0,0,'Données projet'!$E$18+1,1))</f>
        <v>299.98377156721153</v>
      </c>
      <c r="HA39" s="59">
        <f t="shared" si="52"/>
        <v>241.36164657721102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4.5365311467613605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4.5365311467613605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12.86166666666667</v>
      </c>
      <c r="N40" s="13">
        <f>IF('Données projet'!$A$36&gt;35,N39+M40-V39,IF(A40&lt;'Données projet'!$A$36,$K$205^A40,IF(A40='Données projet'!$A$36,'Données projet'!$B$36,N39+M40-V39)))</f>
        <v>157.43333333333334</v>
      </c>
      <c r="O40" s="13">
        <f>N40*VLOOKUP('Données projet'!$B$9,Paramètres!$A$1:$I$89,3,0)*VLOOKUP('Données projet'!$B$9,Paramètres!$A$1:$I$89,5,0)</f>
        <v>142.44567999999998</v>
      </c>
      <c r="P40" s="13">
        <f t="shared" si="33"/>
        <v>36.856710479085137</v>
      </c>
      <c r="Q40" s="20">
        <f t="shared" si="53"/>
        <v>312.28499675107327</v>
      </c>
      <c r="R40" s="59">
        <f t="shared" si="0"/>
        <v>557.64434872174434</v>
      </c>
      <c r="S40" s="59">
        <f ca="1">AVERAGE(OFFSET($R$3,0,0,'Données projet'!$E$9+1,1))-AVERAGE(OFFSET($H$3,0,0,'Données projet'!$E$9+1,1))</f>
        <v>567.42635821507474</v>
      </c>
      <c r="T40" s="59">
        <f t="shared" si="34"/>
        <v>299.04735309930152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28.764105187805065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28.764105187805065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13.4</v>
      </c>
      <c r="AI40" s="13">
        <f>IF('Données projet'!$A$62&gt;35,AI39+AH40-AQ39,IF(A40&lt;'Données projet'!$A$62,$AF$205^A40,IF(A40='Données projet'!$A$62,'Données projet'!$B$62,AI39+AH40-AQ39)))</f>
        <v>166.80000000000007</v>
      </c>
      <c r="AJ40" s="13">
        <f>AI40*VLOOKUP('Données projet'!$B$10,Paramètres!$A$1:$I$89,3,0)*VLOOKUP('Données projet'!$B$10,Paramètres!$A$1:$I$89,5,0)</f>
        <v>143.11440000000007</v>
      </c>
      <c r="AK40" s="13">
        <f t="shared" si="35"/>
        <v>37.009554635379814</v>
      </c>
      <c r="AL40" s="20">
        <f t="shared" si="4"/>
        <v>313.71588765662</v>
      </c>
      <c r="AM40" s="59">
        <f t="shared" si="5"/>
        <v>559.07523962729113</v>
      </c>
      <c r="AN40" s="59">
        <f ca="1">AVERAGE(OFFSET($AM$3,0,0,'Données projet'!$E$10+1,1))-AVERAGE(OFFSET($H$3,0,0,'Données projet'!$E$10+1,1))</f>
        <v>569.97793593332699</v>
      </c>
      <c r="AO40" s="59">
        <f t="shared" si="36"/>
        <v>331.25104323342907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16.911284592569807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16.911284592569807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14</v>
      </c>
      <c r="BD40" s="12">
        <f>IF('Données projet'!$A$88&gt;35,BD39+BC40-BL39,IF(A40&lt;'Données projet'!$A$88,$BA$205^A40,IF(A40='Données projet'!$A$88,'Données projet'!$B$88,BD39+BC40-BL39)))</f>
        <v>207.99999999999994</v>
      </c>
      <c r="BE40" s="13">
        <f>BD40*VLOOKUP('Données projet'!$B$11,Paramètres!$A$1:$I$89,3,0)*VLOOKUP('Données projet'!$B$11,Paramètres!$A$1:$I$89,5,0)</f>
        <v>113.56799999999997</v>
      </c>
      <c r="BF40" s="13">
        <f t="shared" si="37"/>
        <v>30.170065062058185</v>
      </c>
      <c r="BG40" s="20">
        <f t="shared" si="7"/>
        <v>250.34379664975128</v>
      </c>
      <c r="BH40" s="59">
        <f t="shared" si="8"/>
        <v>495.70314862042238</v>
      </c>
      <c r="BI40" s="59">
        <f ca="1">AVERAGE(OFFSET($BH$3,0,0,'Données projet'!$E$11+1,1))-AVERAGE(OFFSET($H$3,0,0,'Données projet'!$E$11+1,1))</f>
        <v>215.37314197175104</v>
      </c>
      <c r="BJ40" s="59">
        <f t="shared" si="38"/>
        <v>361.17630426655978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31.954546315514957</v>
      </c>
      <c r="BQ40" s="21">
        <f>EXP(-LN(2)/25)*BQ39+(1-EXP(-LN(2)/25))/(LN(2)/25)*Calculateur!BL40*Calculateur!BN40*VLOOKUP('Données projet'!$B$11,Paramètres!$A$1:$I$89,3,0)*0.475*44/12</f>
        <v>79.098892274849604</v>
      </c>
      <c r="BR40" s="21">
        <f>EXP(-LN(2)/2)*BR39+(1-EXP(-LN(2)/2))/(LN(2)/2)*BL40*BO40*VLOOKUP('Données projet'!$B$11,Paramètres!$A$1:$I$89,3,0)*0.475*44/12</f>
        <v>2.2411582878850951E-3</v>
      </c>
      <c r="BS40" s="22">
        <f t="shared" si="9"/>
        <v>111.05567974865245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28.093333333333334</v>
      </c>
      <c r="BY40" s="12">
        <f>IF('Données projet'!$A$114&gt;35,BY39+BX40-CG39,IF(A40&lt;'Données projet'!$A$114,$BV$205^A40,IF(A40='Données projet'!$A$114,'Données projet'!$B$114,BY39+BX40-CG39)))</f>
        <v>443.90333333333319</v>
      </c>
      <c r="BZ40" s="13">
        <f>BY40*VLOOKUP('Données projet'!$B$12,Paramètres!$A$1:$I$89,3,0)*VLOOKUP('Données projet'!$B$12,Paramètres!$A$1:$I$89,5,0)</f>
        <v>248.14196333333328</v>
      </c>
      <c r="CA40" s="13">
        <f t="shared" si="39"/>
        <v>60.187897687681328</v>
      </c>
      <c r="CB40" s="20">
        <f t="shared" si="10"/>
        <v>537.00784127826716</v>
      </c>
      <c r="CC40" s="59">
        <f t="shared" si="11"/>
        <v>782.36719324893829</v>
      </c>
      <c r="CD40" s="59">
        <f ca="1">AVERAGE(OFFSET($CC$3,0,0,'Données projet'!$E$12+1,1))-AVERAGE(OFFSET($H$3,0,0,'Données projet'!$E$12+1,1))</f>
        <v>420.4890915162182</v>
      </c>
      <c r="CE40" s="59">
        <f t="shared" si="40"/>
        <v>553.48432338023565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34.339505158033035</v>
      </c>
      <c r="CL40" s="21">
        <f>EXP(-LN(2)/25)*CL39+(1-EXP(-LN(2)/25))/(LN(2)/25)*Calculateur!CG40*Calculateur!CI40*VLOOKUP('Données projet'!$B$12,Paramètres!$A$1:$I$89,3,0)*0.475*44/12</f>
        <v>41.650044972268525</v>
      </c>
      <c r="CM40" s="21">
        <f>EXP(-LN(2)/2)*CM39+(1-EXP(-LN(2)/2))/(LN(2)/2)*CG40*CJ40*VLOOKUP('Données projet'!$B$12,Paramètres!$A$1:$I$89,3,0)*0.475*44/12</f>
        <v>6.5400352954931545E-2</v>
      </c>
      <c r="CN40" s="22">
        <f t="shared" si="12"/>
        <v>76.054950483256491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13.2</v>
      </c>
      <c r="CT40" s="12">
        <f>IF('Données projet'!$A$140&gt;35,CT39+CS40-DB39,IF(A40&lt;'Données projet'!$A$140,$CQ$205^A40,IF(A40='Données projet'!$A$140,'Données projet'!$B$140,CT39+CS40-DB39)))</f>
        <v>223.39999999999998</v>
      </c>
      <c r="CU40" s="17">
        <f>CT40*VLOOKUP('Données projet'!$B$13,Paramètres!$A$1:$I$89,3,0)*VLOOKUP('Données projet'!$B$13,Paramètres!$A$1:$I$89,5,0)</f>
        <v>163.79687999999999</v>
      </c>
      <c r="CV40" s="13">
        <f t="shared" si="41"/>
        <v>41.697739822198329</v>
      </c>
      <c r="CW40" s="20">
        <f t="shared" si="13"/>
        <v>357.90312952366207</v>
      </c>
      <c r="CX40" s="59">
        <f t="shared" si="14"/>
        <v>603.2624814943332</v>
      </c>
      <c r="CY40" s="59">
        <f ca="1">AVERAGE(OFFSET($CX$3,0,0,'Données projet'!$E$13+1,1))-AVERAGE(OFFSET($H$3,0,0,'Données projet'!$E$13+1,1))</f>
        <v>400.48995908576177</v>
      </c>
      <c r="CZ40" s="59">
        <f t="shared" si="42"/>
        <v>384.86917865380076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14.06972466343063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14.06972466343063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13.2</v>
      </c>
      <c r="DO40" s="12">
        <f>IF('Données projet'!$A$166&gt;35,DO39+DN40-DW39,IF(A40&lt;'Données projet'!$A$166,$DL$205^A40,IF(A40='Données projet'!$A$166,'Données projet'!$B$166,DO39+DN40-DW39)))</f>
        <v>223.39999999999998</v>
      </c>
      <c r="DP40" s="17">
        <f>DO40*VLOOKUP('Données projet'!$B$14,Paramètres!$A$1:$I$89,3,0)*VLOOKUP('Données projet'!$B$14,Paramètres!$A$1:$I$89,5,0)</f>
        <v>177.73703999999998</v>
      </c>
      <c r="DQ40" s="13">
        <f t="shared" si="43"/>
        <v>44.818349142210366</v>
      </c>
      <c r="DR40" s="20">
        <f t="shared" si="16"/>
        <v>387.61730275601627</v>
      </c>
      <c r="DS40" s="59">
        <f t="shared" si="17"/>
        <v>632.97665472668734</v>
      </c>
      <c r="DT40" s="59">
        <f ca="1">AVERAGE(OFFSET($DS$3,0,0,'Données projet'!$E$14+1,1))-AVERAGE(OFFSET($H$3,0,0,'Données projet'!$E$14+1,1))</f>
        <v>429.30603040255431</v>
      </c>
      <c r="DU40" s="59">
        <f t="shared" si="44"/>
        <v>412.18613903804726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18.817647583004948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18.817647583004948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>
        <f>VLOOKUP(A40,'Données projet'!$A$191:$I$211,2,0)</f>
        <v>120.51282051282051</v>
      </c>
      <c r="EH40" s="12">
        <f>VLOOKUP(A40,'Données projet'!$A$191:$I$211,9,0)</f>
        <v>7.3717948717948731</v>
      </c>
      <c r="EI40" s="12">
        <f t="array" ref="EI40">INDEX(EH:EH,MIN(IF(ISNUMBER(EH40:EH236),ROW(EH40:EH236),"")))</f>
        <v>7.3717948717948731</v>
      </c>
      <c r="EJ40" s="12">
        <f>IF('Données projet'!$A$192&gt;35,EJ39+EI40-ER39,IF(A40&lt;'Données projet'!$A$192,$EG$205^A40,IF(A40='Données projet'!$A$192,'Données projet'!$B$192,EJ39+EI40-ER39)))</f>
        <v>120.51282051282055</v>
      </c>
      <c r="EK40" s="17">
        <f>EJ40*VLOOKUP('Données projet'!$B$15,Paramètres!$A$1:$I$89,3,0)*VLOOKUP('Données projet'!$B$15,Paramètres!$A$1:$I$89,5,0)</f>
        <v>94.000000000000028</v>
      </c>
      <c r="EL40" s="13">
        <f t="shared" si="45"/>
        <v>25.527473634349285</v>
      </c>
      <c r="EM40" s="20">
        <f t="shared" si="19"/>
        <v>208.17701657982505</v>
      </c>
      <c r="EN40" s="59">
        <f t="shared" si="20"/>
        <v>453.53636855049615</v>
      </c>
      <c r="EO40" s="59">
        <f ca="1">AVERAGE(OFFSET($EN$3,0,0,'Données projet'!$E$15+1,1))-AVERAGE(OFFSET($H$3,0,0,'Données projet'!$E$15+1,1))</f>
        <v>217.53602321474159</v>
      </c>
      <c r="EP40" s="59">
        <f t="shared" si="46"/>
        <v>215.75909414893025</v>
      </c>
      <c r="EQ40" s="15">
        <f>IF(ISNA(VLOOKUP(A40,'Données projet'!$A$191:$I$211,3,0)),0,VLOOKUP(A40,'Données projet'!$A$191:$I$211,3,0))</f>
        <v>5</v>
      </c>
      <c r="ER40" s="15">
        <f>IF(ISNA(VLOOKUP(A40,'Données projet'!$A$191:$I$211,4,0)),0,VLOOKUP(A40,'Données projet'!$A$191:$I$211,4,0))</f>
        <v>23.076923076923077</v>
      </c>
      <c r="ES40" s="16">
        <f>IF(ISNA(VLOOKUP(A40,'Données projet'!$A$191:$I$211,5,0)),0%,VLOOKUP(A40,'Données projet'!$A$191:$I$211,5,0)*VLOOKUP('Données projet'!$B$15,Paramètres!$A$1:$I$89,7,0))</f>
        <v>0.43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16.154054519559963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16.154054519559963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12.86166666666667</v>
      </c>
      <c r="FE40" s="12">
        <f>IF('Données projet'!$A$218&gt;35,FE39+FD40-FM39,IF(A40&lt;'Données projet'!$A$218,$FB$205^A40,IF(A40='Données projet'!$A$218,'Données projet'!$B$218,FE39+FD40-FM39)))</f>
        <v>157.43333333333334</v>
      </c>
      <c r="FF40" s="17">
        <f>FE40*VLOOKUP('Données projet'!$B$16,Paramètres!$A$1:$I$89,3,0)*VLOOKUP('Données projet'!$B$16,Paramètres!$A$1:$I$89,5,0)</f>
        <v>105.60628</v>
      </c>
      <c r="FG40" s="13">
        <f t="shared" si="47"/>
        <v>28.293346831527874</v>
      </c>
      <c r="FH40" s="20">
        <f t="shared" si="22"/>
        <v>233.2085167315777</v>
      </c>
      <c r="FI40" s="59">
        <f t="shared" si="23"/>
        <v>478.5678687022488</v>
      </c>
      <c r="FJ40" s="59">
        <f ca="1">AVERAGE(OFFSET($FI$3,0,0,'Données projet'!$E$16+1,1))-AVERAGE(OFFSET($H$3,0,0,'Données projet'!$E$16+1,1))</f>
        <v>441.20130048888439</v>
      </c>
      <c r="FK40" s="59">
        <f t="shared" si="48"/>
        <v>237.47732532183946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26.284440947477037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26.284440947477037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7</v>
      </c>
      <c r="FZ40" s="12">
        <f>IF('Données projet'!$A$244&gt;35,FZ39+FY40-GH39,IF(A40&lt;'Données projet'!$A$244,$FW$205^A40,IF(A40='Données projet'!$A$244,'Données projet'!$B$244,FZ39+FY40-GH39)))</f>
        <v>145.99999999999997</v>
      </c>
      <c r="GA40" s="17">
        <f>FZ40*VLOOKUP('Données projet'!$B$17,Paramètres!$A$1:$I$89,3,0)*VLOOKUP('Données projet'!$B$17,Paramètres!$A$1:$I$89,5,0)</f>
        <v>95.659199999999984</v>
      </c>
      <c r="GB40" s="13">
        <f t="shared" si="49"/>
        <v>25.92520602338745</v>
      </c>
      <c r="GC40" s="20">
        <f t="shared" si="25"/>
        <v>211.75950715739978</v>
      </c>
      <c r="GD40" s="59">
        <f t="shared" si="26"/>
        <v>457.11885912807088</v>
      </c>
      <c r="GE40" s="59">
        <f ca="1">AVERAGE(OFFSET($GD$3,0,0,'Données projet'!$E$17+1,1))-AVERAGE(OFFSET($H$3,0,0,'Données projet'!$E$17+1,1))</f>
        <v>257.66104339896992</v>
      </c>
      <c r="GF40" s="59">
        <f t="shared" si="50"/>
        <v>254.79488636184996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6.2864727219583667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6.2864727219583667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6</v>
      </c>
      <c r="GU40" s="12">
        <f>IF('Données projet'!$A$270&gt;35,GU39+GT40-HC39,IF(A40&lt;'Données projet'!$A$270,$GR$205^A40,IF(A40='Données projet'!$A$270,'Données projet'!$B$270,GU39+GT40-HC39)))</f>
        <v>120.99999999999997</v>
      </c>
      <c r="GV40" s="17">
        <f>GU40*VLOOKUP('Données projet'!$B$18,Paramètres!$A$1:$I$89,3,0)*VLOOKUP('Données projet'!$B$18,Paramètres!$A$1:$I$89,5,0)</f>
        <v>98.155199999999979</v>
      </c>
      <c r="GW40" s="13">
        <f t="shared" si="51"/>
        <v>26.522024238465775</v>
      </c>
      <c r="GX40" s="20">
        <f t="shared" si="28"/>
        <v>217.14616554866117</v>
      </c>
      <c r="GY40" s="59">
        <f t="shared" si="29"/>
        <v>462.50551751933227</v>
      </c>
      <c r="GZ40" s="59">
        <f ca="1">AVERAGE(OFFSET($GY$3,0,0,'Données projet'!$E$18+1,1))-AVERAGE(OFFSET($H$3,0,0,'Données projet'!$E$18+1,1))</f>
        <v>299.98377156721153</v>
      </c>
      <c r="HA40" s="59">
        <f t="shared" si="52"/>
        <v>241.36164657721102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4.4475725379841498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4.4475725379841498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12.86166666666667</v>
      </c>
      <c r="N41" s="13">
        <f>IF('Données projet'!$A$36&gt;35,N40+M41-V40,IF(A41&lt;'Données projet'!$A$36,$K$205^A41,IF(A41='Données projet'!$A$36,'Données projet'!$B$36,N40+M41-V40)))</f>
        <v>170.29500000000002</v>
      </c>
      <c r="O41" s="13">
        <f>N41*VLOOKUP('Données projet'!$B$9,Paramètres!$A$1:$I$89,3,0)*VLOOKUP('Données projet'!$B$9,Paramètres!$A$1:$I$89,5,0)</f>
        <v>154.08291600000001</v>
      </c>
      <c r="P41" s="13">
        <f t="shared" si="33"/>
        <v>39.504987725811617</v>
      </c>
      <c r="Q41" s="20">
        <f t="shared" si="53"/>
        <v>337.16559898912192</v>
      </c>
      <c r="R41" s="59">
        <f t="shared" si="0"/>
        <v>583.35719228268067</v>
      </c>
      <c r="S41" s="59">
        <f ca="1">AVERAGE(OFFSET($R$3,0,0,'Données projet'!$E$9+1,1))-AVERAGE(OFFSET($H$3,0,0,'Données projet'!$E$9+1,1))</f>
        <v>567.42635821507474</v>
      </c>
      <c r="T41" s="59">
        <f t="shared" si="34"/>
        <v>299.04735309930152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28.200058629444008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28.200058629444008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13.4</v>
      </c>
      <c r="AI41" s="13">
        <f>IF('Données projet'!$A$62&gt;35,AI40+AH41-AQ40,IF(A41&lt;'Données projet'!$A$62,$AF$205^A41,IF(A41='Données projet'!$A$62,'Données projet'!$B$62,AI40+AH41-AQ40)))</f>
        <v>180.20000000000007</v>
      </c>
      <c r="AJ41" s="13">
        <f>AI41*VLOOKUP('Données projet'!$B$10,Paramètres!$A$1:$I$89,3,0)*VLOOKUP('Données projet'!$B$10,Paramètres!$A$1:$I$89,5,0)</f>
        <v>154.61160000000007</v>
      </c>
      <c r="AK41" s="13">
        <f t="shared" si="35"/>
        <v>39.624734188365885</v>
      </c>
      <c r="AL41" s="20">
        <f t="shared" si="4"/>
        <v>338.294948711404</v>
      </c>
      <c r="AM41" s="59">
        <f t="shared" si="5"/>
        <v>584.48654200496276</v>
      </c>
      <c r="AN41" s="59">
        <f ca="1">AVERAGE(OFFSET($AM$3,0,0,'Données projet'!$E$10+1,1))-AVERAGE(OFFSET($H$3,0,0,'Données projet'!$E$10+1,1))</f>
        <v>569.97793593332699</v>
      </c>
      <c r="AO41" s="59">
        <f t="shared" si="36"/>
        <v>331.25104323342907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16.579664616574608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16.579664616574608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14</v>
      </c>
      <c r="BD41" s="12">
        <f>IF('Données projet'!$A$88&gt;35,BD40+BC41-BL40,IF(A41&lt;'Données projet'!$A$88,$BA$205^A41,IF(A41='Données projet'!$A$88,'Données projet'!$B$88,BD40+BC41-BL40)))</f>
        <v>221.99999999999994</v>
      </c>
      <c r="BE41" s="13">
        <f>BD41*VLOOKUP('Données projet'!$B$11,Paramètres!$A$1:$I$89,3,0)*VLOOKUP('Données projet'!$B$11,Paramètres!$A$1:$I$89,5,0)</f>
        <v>121.21199999999996</v>
      </c>
      <c r="BF41" s="13">
        <f t="shared" si="37"/>
        <v>31.95751284761706</v>
      </c>
      <c r="BG41" s="20">
        <f t="shared" si="7"/>
        <v>266.77023487626633</v>
      </c>
      <c r="BH41" s="59">
        <f t="shared" si="8"/>
        <v>512.96182816982503</v>
      </c>
      <c r="BI41" s="59">
        <f ca="1">AVERAGE(OFFSET($BH$3,0,0,'Données projet'!$E$11+1,1))-AVERAGE(OFFSET($H$3,0,0,'Données projet'!$E$11+1,1))</f>
        <v>215.37314197175104</v>
      </c>
      <c r="BJ41" s="59">
        <f t="shared" si="38"/>
        <v>361.17630426655978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31.32793715261645</v>
      </c>
      <c r="BQ41" s="21">
        <f>EXP(-LN(2)/25)*BQ40+(1-EXP(-LN(2)/25))/(LN(2)/25)*Calculateur!BL41*Calculateur!BN41*VLOOKUP('Données projet'!$B$11,Paramètres!$A$1:$I$89,3,0)*0.475*44/12</f>
        <v>76.935928905963877</v>
      </c>
      <c r="BR41" s="21">
        <f>EXP(-LN(2)/2)*BR40+(1-EXP(-LN(2)/2))/(LN(2)/2)*BL41*BO41*VLOOKUP('Données projet'!$B$11,Paramètres!$A$1:$I$89,3,0)*0.475*44/12</f>
        <v>1.5847382230759835E-3</v>
      </c>
      <c r="BS41" s="22">
        <f t="shared" si="9"/>
        <v>108.26545079680341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28.093333333333334</v>
      </c>
      <c r="BY41" s="12">
        <f>IF('Données projet'!$A$114&gt;35,BY40+BX41-CG40,IF(A41&lt;'Données projet'!$A$114,$BV$205^A41,IF(A41='Données projet'!$A$114,'Données projet'!$B$114,BY40+BX41-CG40)))</f>
        <v>471.99666666666656</v>
      </c>
      <c r="BZ41" s="13">
        <f>BY41*VLOOKUP('Données projet'!$B$12,Paramètres!$A$1:$I$89,3,0)*VLOOKUP('Données projet'!$B$12,Paramètres!$A$1:$I$89,5,0)</f>
        <v>263.84613666666661</v>
      </c>
      <c r="CA41" s="13">
        <f t="shared" si="39"/>
        <v>63.541516886809745</v>
      </c>
      <c r="CB41" s="20">
        <f t="shared" si="10"/>
        <v>570.20016327230462</v>
      </c>
      <c r="CC41" s="59">
        <f t="shared" si="11"/>
        <v>816.39175656586337</v>
      </c>
      <c r="CD41" s="59">
        <f ca="1">AVERAGE(OFFSET($CC$3,0,0,'Données projet'!$E$12+1,1))-AVERAGE(OFFSET($H$3,0,0,'Données projet'!$E$12+1,1))</f>
        <v>420.4890915162182</v>
      </c>
      <c r="CE41" s="59">
        <f t="shared" si="40"/>
        <v>553.48432338023565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33.666128406914005</v>
      </c>
      <c r="CL41" s="21">
        <f>EXP(-LN(2)/25)*CL40+(1-EXP(-LN(2)/25))/(LN(2)/25)*Calculateur!CG41*Calculateur!CI41*VLOOKUP('Données projet'!$B$12,Paramètres!$A$1:$I$89,3,0)*0.475*44/12</f>
        <v>40.511122302221168</v>
      </c>
      <c r="CM41" s="21">
        <f>EXP(-LN(2)/2)*CM40+(1-EXP(-LN(2)/2))/(LN(2)/2)*CG41*CJ41*VLOOKUP('Données projet'!$B$12,Paramètres!$A$1:$I$89,3,0)*0.475*44/12</f>
        <v>4.6245033066425759E-2</v>
      </c>
      <c r="CN41" s="22">
        <f t="shared" si="12"/>
        <v>74.223495742201592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13.2</v>
      </c>
      <c r="CT41" s="12">
        <f>IF('Données projet'!$A$140&gt;35,CT40+CS41-DB40,IF(A41&lt;'Données projet'!$A$140,$CQ$205^A41,IF(A41='Données projet'!$A$140,'Données projet'!$B$140,CT40+CS41-DB40)))</f>
        <v>236.59999999999997</v>
      </c>
      <c r="CU41" s="17">
        <f>CT41*VLOOKUP('Données projet'!$B$13,Paramètres!$A$1:$I$89,3,0)*VLOOKUP('Données projet'!$B$13,Paramètres!$A$1:$I$89,5,0)</f>
        <v>173.47511999999998</v>
      </c>
      <c r="CV41" s="13">
        <f t="shared" si="41"/>
        <v>43.867415861334891</v>
      </c>
      <c r="CW41" s="20">
        <f t="shared" si="13"/>
        <v>378.53824995849158</v>
      </c>
      <c r="CX41" s="59">
        <f t="shared" si="14"/>
        <v>624.72984325205027</v>
      </c>
      <c r="CY41" s="59">
        <f ca="1">AVERAGE(OFFSET($CX$3,0,0,'Données projet'!$E$13+1,1))-AVERAGE(OFFSET($H$3,0,0,'Données projet'!$E$13+1,1))</f>
        <v>400.48995908576177</v>
      </c>
      <c r="CZ41" s="59">
        <f t="shared" si="42"/>
        <v>384.86917865380076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13.793825944465429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13.793825944465429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13.2</v>
      </c>
      <c r="DO41" s="12">
        <f>IF('Données projet'!$A$166&gt;35,DO40+DN41-DW40,IF(A41&lt;'Données projet'!$A$166,$DL$205^A41,IF(A41='Données projet'!$A$166,'Données projet'!$B$166,DO40+DN41-DW40)))</f>
        <v>236.59999999999997</v>
      </c>
      <c r="DP41" s="17">
        <f>DO41*VLOOKUP('Données projet'!$B$14,Paramètres!$A$1:$I$89,3,0)*VLOOKUP('Données projet'!$B$14,Paramètres!$A$1:$I$89,5,0)</f>
        <v>188.23895999999999</v>
      </c>
      <c r="DQ41" s="13">
        <f t="shared" si="43"/>
        <v>47.150401158990007</v>
      </c>
      <c r="DR41" s="20">
        <f t="shared" si="16"/>
        <v>409.96980401857422</v>
      </c>
      <c r="DS41" s="59">
        <f t="shared" si="17"/>
        <v>656.16139731213298</v>
      </c>
      <c r="DT41" s="59">
        <f ca="1">AVERAGE(OFFSET($DS$3,0,0,'Données projet'!$E$14+1,1))-AVERAGE(OFFSET($H$3,0,0,'Données projet'!$E$14+1,1))</f>
        <v>429.30603040255431</v>
      </c>
      <c r="DU41" s="59">
        <f t="shared" si="44"/>
        <v>412.18613903804726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18.448644991533925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18.448644991533925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7.1428571428571432</v>
      </c>
      <c r="EJ41" s="12">
        <f>IF('Données projet'!$A$192&gt;35,EJ40+EI41-ER40,IF(A41&lt;'Données projet'!$A$192,$EG$205^A41,IF(A41='Données projet'!$A$192,'Données projet'!$B$192,EJ40+EI41-ER40)))</f>
        <v>104.57875457875461</v>
      </c>
      <c r="EK41" s="17">
        <f>EJ41*VLOOKUP('Données projet'!$B$15,Paramètres!$A$1:$I$89,3,0)*VLOOKUP('Données projet'!$B$15,Paramètres!$A$1:$I$89,5,0)</f>
        <v>81.571428571428598</v>
      </c>
      <c r="EL41" s="13">
        <f t="shared" si="45"/>
        <v>22.520970512999273</v>
      </c>
      <c r="EM41" s="20">
        <f t="shared" si="19"/>
        <v>181.29426173871184</v>
      </c>
      <c r="EN41" s="59">
        <f t="shared" si="20"/>
        <v>427.48585503227059</v>
      </c>
      <c r="EO41" s="59">
        <f ca="1">AVERAGE(OFFSET($EN$3,0,0,'Données projet'!$E$15+1,1))-AVERAGE(OFFSET($H$3,0,0,'Données projet'!$E$15+1,1))</f>
        <v>217.53602321474159</v>
      </c>
      <c r="EP41" s="59">
        <f t="shared" si="46"/>
        <v>215.75909414893025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15.837283363431746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15.837283363431746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12.86166666666667</v>
      </c>
      <c r="FE41" s="12">
        <f>IF('Données projet'!$A$218&gt;35,FE40+FD41-FM40,IF(A41&lt;'Données projet'!$A$218,$FB$205^A41,IF(A41='Données projet'!$A$218,'Données projet'!$B$218,FE40+FD41-FM40)))</f>
        <v>170.29500000000002</v>
      </c>
      <c r="FF41" s="17">
        <f>FE41*VLOOKUP('Données projet'!$B$16,Paramètres!$A$1:$I$89,3,0)*VLOOKUP('Données projet'!$B$16,Paramètres!$A$1:$I$89,5,0)</f>
        <v>114.233886</v>
      </c>
      <c r="FG41" s="13">
        <f t="shared" si="47"/>
        <v>30.326317915319962</v>
      </c>
      <c r="FH41" s="20">
        <f t="shared" si="22"/>
        <v>251.77568848584892</v>
      </c>
      <c r="FI41" s="59">
        <f t="shared" si="23"/>
        <v>497.96728177940764</v>
      </c>
      <c r="FJ41" s="59">
        <f ca="1">AVERAGE(OFFSET($FI$3,0,0,'Données projet'!$E$16+1,1))-AVERAGE(OFFSET($H$3,0,0,'Données projet'!$E$16+1,1))</f>
        <v>441.20130048888439</v>
      </c>
      <c r="FK41" s="59">
        <f t="shared" si="48"/>
        <v>237.47732532183946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25.769019092422969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25.769019092422969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7</v>
      </c>
      <c r="FZ41" s="12">
        <f>IF('Données projet'!$A$244&gt;35,FZ40+FY41-GH40,IF(A41&lt;'Données projet'!$A$244,$FW$205^A41,IF(A41='Données projet'!$A$244,'Données projet'!$B$244,FZ40+FY41-GH40)))</f>
        <v>152.99999999999997</v>
      </c>
      <c r="GA41" s="17">
        <f>FZ41*VLOOKUP('Données projet'!$B$17,Paramètres!$A$1:$I$89,3,0)*VLOOKUP('Données projet'!$B$17,Paramètres!$A$1:$I$89,5,0)</f>
        <v>100.2456</v>
      </c>
      <c r="GB41" s="13">
        <f t="shared" si="49"/>
        <v>27.020500005754936</v>
      </c>
      <c r="GC41" s="20">
        <f t="shared" si="25"/>
        <v>221.65512417668984</v>
      </c>
      <c r="GD41" s="59">
        <f t="shared" si="26"/>
        <v>467.84671747024856</v>
      </c>
      <c r="GE41" s="59">
        <f ca="1">AVERAGE(OFFSET($GD$3,0,0,'Données projet'!$E$17+1,1))-AVERAGE(OFFSET($H$3,0,0,'Données projet'!$E$17+1,1))</f>
        <v>257.66104339896992</v>
      </c>
      <c r="GF41" s="59">
        <f t="shared" si="50"/>
        <v>254.79488636184996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6.1631988262505111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6.1631988262505111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6</v>
      </c>
      <c r="GU41" s="12">
        <f>IF('Données projet'!$A$270&gt;35,GU40+GT41-HC40,IF(A41&lt;'Données projet'!$A$270,$GR$205^A41,IF(A41='Données projet'!$A$270,'Données projet'!$B$270,GU40+GT41-HC40)))</f>
        <v>126.99999999999997</v>
      </c>
      <c r="GV41" s="17">
        <f>GU41*VLOOKUP('Données projet'!$B$18,Paramètres!$A$1:$I$89,3,0)*VLOOKUP('Données projet'!$B$18,Paramètres!$A$1:$I$89,5,0)</f>
        <v>103.02239999999999</v>
      </c>
      <c r="GW41" s="13">
        <f t="shared" si="51"/>
        <v>27.680790106744631</v>
      </c>
      <c r="GX41" s="20">
        <f t="shared" si="28"/>
        <v>227.64138943591354</v>
      </c>
      <c r="GY41" s="59">
        <f t="shared" si="29"/>
        <v>473.83298272947229</v>
      </c>
      <c r="GZ41" s="59">
        <f ca="1">AVERAGE(OFFSET($GY$3,0,0,'Données projet'!$E$18+1,1))-AVERAGE(OFFSET($H$3,0,0,'Données projet'!$E$18+1,1))</f>
        <v>299.98377156721153</v>
      </c>
      <c r="HA41" s="59">
        <f t="shared" si="52"/>
        <v>241.36164657721102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4.3603583532656671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4.3603583532656671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12.86166666666667</v>
      </c>
      <c r="N42" s="13">
        <f>IF('Données projet'!$A$36&gt;35,N41+M42-V41,IF(A42&lt;'Données projet'!$A$36,$K$205^A42,IF(A42='Données projet'!$A$36,'Données projet'!$B$36,N41+M42-V41)))</f>
        <v>183.15666666666669</v>
      </c>
      <c r="O42" s="13">
        <f>N42*VLOOKUP('Données projet'!$B$9,Paramètres!$A$1:$I$89,3,0)*VLOOKUP('Données projet'!$B$9,Paramètres!$A$1:$I$89,5,0)</f>
        <v>165.72015200000001</v>
      </c>
      <c r="P42" s="13">
        <f t="shared" si="33"/>
        <v>42.130062193248868</v>
      </c>
      <c r="Q42" s="20">
        <f t="shared" si="53"/>
        <v>362.00578971990848</v>
      </c>
      <c r="R42" s="59">
        <f t="shared" si="0"/>
        <v>609.01518681001562</v>
      </c>
      <c r="S42" s="59">
        <f ca="1">AVERAGE(OFFSET($R$3,0,0,'Données projet'!$E$9+1,1))-AVERAGE(OFFSET($H$3,0,0,'Données projet'!$E$9+1,1))</f>
        <v>567.42635821507474</v>
      </c>
      <c r="T42" s="59">
        <f t="shared" si="34"/>
        <v>299.04735309930152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27.647072680057985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27.647072680057985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13.4</v>
      </c>
      <c r="AI42" s="13">
        <f>IF('Données projet'!$A$62&gt;35,AI41+AH42-AQ41,IF(A42&lt;'Données projet'!$A$62,$AF$205^A42,IF(A42='Données projet'!$A$62,'Données projet'!$B$62,AI41+AH42-AQ41)))</f>
        <v>193.60000000000008</v>
      </c>
      <c r="AJ42" s="13">
        <f>AI42*VLOOKUP('Données projet'!$B$10,Paramètres!$A$1:$I$89,3,0)*VLOOKUP('Données projet'!$B$10,Paramètres!$A$1:$I$89,5,0)</f>
        <v>166.10880000000009</v>
      </c>
      <c r="AK42" s="13">
        <f t="shared" si="35"/>
        <v>42.217353238107833</v>
      </c>
      <c r="AL42" s="20">
        <f t="shared" si="4"/>
        <v>362.83471688970462</v>
      </c>
      <c r="AM42" s="59">
        <f t="shared" si="5"/>
        <v>609.84411397981171</v>
      </c>
      <c r="AN42" s="59">
        <f ca="1">AVERAGE(OFFSET($AM$3,0,0,'Données projet'!$E$10+1,1))-AVERAGE(OFFSET($H$3,0,0,'Données projet'!$E$10+1,1))</f>
        <v>569.97793593332699</v>
      </c>
      <c r="AO42" s="59">
        <f t="shared" si="36"/>
        <v>331.25104323342907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16.25454750604046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16.25454750604046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14</v>
      </c>
      <c r="BD42" s="12">
        <f>IF('Données projet'!$A$88&gt;35,BD41+BC42-BL41,IF(A42&lt;'Données projet'!$A$88,$BA$205^A42,IF(A42='Données projet'!$A$88,'Données projet'!$B$88,BD41+BC42-BL41)))</f>
        <v>235.99999999999994</v>
      </c>
      <c r="BE42" s="13">
        <f>BD42*VLOOKUP('Données projet'!$B$11,Paramètres!$A$1:$I$89,3,0)*VLOOKUP('Données projet'!$B$11,Paramètres!$A$1:$I$89,5,0)</f>
        <v>128.85599999999997</v>
      </c>
      <c r="BF42" s="13">
        <f t="shared" si="37"/>
        <v>33.731878688740906</v>
      </c>
      <c r="BG42" s="20">
        <f t="shared" si="7"/>
        <v>283.1738887162237</v>
      </c>
      <c r="BH42" s="59">
        <f t="shared" si="8"/>
        <v>530.18328580633079</v>
      </c>
      <c r="BI42" s="59">
        <f ca="1">AVERAGE(OFFSET($BH$3,0,0,'Données projet'!$E$11+1,1))-AVERAGE(OFFSET($H$3,0,0,'Données projet'!$E$11+1,1))</f>
        <v>215.37314197175104</v>
      </c>
      <c r="BJ42" s="59">
        <f t="shared" si="38"/>
        <v>361.17630426655978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30.71361541320853</v>
      </c>
      <c r="BQ42" s="21">
        <f>EXP(-LN(2)/25)*BQ41+(1-EXP(-LN(2)/25))/(LN(2)/25)*Calculateur!BL42*Calculateur!BN42*VLOOKUP('Données projet'!$B$11,Paramètres!$A$1:$I$89,3,0)*0.475*44/12</f>
        <v>74.832111884145633</v>
      </c>
      <c r="BR42" s="21">
        <f>EXP(-LN(2)/2)*BR41+(1-EXP(-LN(2)/2))/(LN(2)/2)*BL42*BO42*VLOOKUP('Données projet'!$B$11,Paramètres!$A$1:$I$89,3,0)*0.475*44/12</f>
        <v>1.1205791439425476E-3</v>
      </c>
      <c r="BS42" s="22">
        <f t="shared" si="9"/>
        <v>105.54684787649811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28.093333333333334</v>
      </c>
      <c r="BY42" s="12">
        <f>IF('Données projet'!$A$114&gt;35,BY41+BX42-CG41,IF(A42&lt;'Données projet'!$A$114,$BV$205^A42,IF(A42='Données projet'!$A$114,'Données projet'!$B$114,BY41+BX42-CG41)))</f>
        <v>500.08999999999992</v>
      </c>
      <c r="BZ42" s="13">
        <f>BY42*VLOOKUP('Données projet'!$B$12,Paramètres!$A$1:$I$89,3,0)*VLOOKUP('Données projet'!$B$12,Paramètres!$A$1:$I$89,5,0)</f>
        <v>279.55030999999997</v>
      </c>
      <c r="CA42" s="13">
        <f t="shared" si="39"/>
        <v>66.871967568934934</v>
      </c>
      <c r="CB42" s="20">
        <f t="shared" si="10"/>
        <v>603.35213343256157</v>
      </c>
      <c r="CC42" s="59">
        <f t="shared" si="11"/>
        <v>850.36153052266866</v>
      </c>
      <c r="CD42" s="59">
        <f ca="1">AVERAGE(OFFSET($CC$3,0,0,'Données projet'!$E$12+1,1))-AVERAGE(OFFSET($H$3,0,0,'Données projet'!$E$12+1,1))</f>
        <v>420.4890915162182</v>
      </c>
      <c r="CE42" s="59">
        <f t="shared" si="40"/>
        <v>553.48432338023565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33.005956163165152</v>
      </c>
      <c r="CL42" s="21">
        <f>EXP(-LN(2)/25)*CL41+(1-EXP(-LN(2)/25))/(LN(2)/25)*Calculateur!CG42*Calculateur!CI42*VLOOKUP('Données projet'!$B$12,Paramètres!$A$1:$I$89,3,0)*0.475*44/12</f>
        <v>39.403343532479596</v>
      </c>
      <c r="CM42" s="21">
        <f>EXP(-LN(2)/2)*CM41+(1-EXP(-LN(2)/2))/(LN(2)/2)*CG42*CJ42*VLOOKUP('Données projet'!$B$12,Paramètres!$A$1:$I$89,3,0)*0.475*44/12</f>
        <v>3.2700176477465773E-2</v>
      </c>
      <c r="CN42" s="22">
        <f t="shared" si="12"/>
        <v>72.44199987212221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13.2</v>
      </c>
      <c r="CT42" s="12">
        <f>IF('Données projet'!$A$140&gt;35,CT41+CS42-DB41,IF(A42&lt;'Données projet'!$A$140,$CQ$205^A42,IF(A42='Données projet'!$A$140,'Données projet'!$B$140,CT41+CS42-DB41)))</f>
        <v>249.79999999999995</v>
      </c>
      <c r="CU42" s="17">
        <f>CT42*VLOOKUP('Données projet'!$B$13,Paramètres!$A$1:$I$89,3,0)*VLOOKUP('Données projet'!$B$13,Paramètres!$A$1:$I$89,5,0)</f>
        <v>183.15335999999996</v>
      </c>
      <c r="CV42" s="13">
        <f t="shared" si="41"/>
        <v>46.023039984246878</v>
      </c>
      <c r="CW42" s="20">
        <f t="shared" si="13"/>
        <v>399.14889663922986</v>
      </c>
      <c r="CX42" s="59">
        <f t="shared" si="14"/>
        <v>646.15829372933695</v>
      </c>
      <c r="CY42" s="59">
        <f ca="1">AVERAGE(OFFSET($CX$3,0,0,'Données projet'!$E$13+1,1))-AVERAGE(OFFSET($H$3,0,0,'Données projet'!$E$13+1,1))</f>
        <v>400.48995908576177</v>
      </c>
      <c r="CZ42" s="59">
        <f t="shared" si="42"/>
        <v>384.86917865380076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13.523337431097533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13.523337431097533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13.2</v>
      </c>
      <c r="DO42" s="12">
        <f>IF('Données projet'!$A$166&gt;35,DO41+DN42-DW41,IF(A42&lt;'Données projet'!$A$166,$DL$205^A42,IF(A42='Données projet'!$A$166,'Données projet'!$B$166,DO41+DN42-DW41)))</f>
        <v>249.79999999999995</v>
      </c>
      <c r="DP42" s="17">
        <f>DO42*VLOOKUP('Données projet'!$B$14,Paramètres!$A$1:$I$89,3,0)*VLOOKUP('Données projet'!$B$14,Paramètres!$A$1:$I$89,5,0)</f>
        <v>198.74087999999998</v>
      </c>
      <c r="DQ42" s="13">
        <f t="shared" si="43"/>
        <v>49.467349630825638</v>
      </c>
      <c r="DR42" s="20">
        <f t="shared" si="16"/>
        <v>432.29599994035453</v>
      </c>
      <c r="DS42" s="59">
        <f t="shared" si="17"/>
        <v>679.30539703046168</v>
      </c>
      <c r="DT42" s="59">
        <f ca="1">AVERAGE(OFFSET($DS$3,0,0,'Données projet'!$E$14+1,1))-AVERAGE(OFFSET($H$3,0,0,'Données projet'!$E$14+1,1))</f>
        <v>429.30603040255431</v>
      </c>
      <c r="DU42" s="59">
        <f t="shared" si="44"/>
        <v>412.18613903804726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18.086878315812292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18.086878315812292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7.1428571428571432</v>
      </c>
      <c r="EJ42" s="12">
        <f>IF('Données projet'!$A$192&gt;35,EJ41+EI42-ER41,IF(A42&lt;'Données projet'!$A$192,$EG$205^A42,IF(A42='Données projet'!$A$192,'Données projet'!$B$192,EJ41+EI42-ER41)))</f>
        <v>111.72161172161175</v>
      </c>
      <c r="EK42" s="17">
        <f>EJ42*VLOOKUP('Données projet'!$B$15,Paramètres!$A$1:$I$89,3,0)*VLOOKUP('Données projet'!$B$15,Paramètres!$A$1:$I$89,5,0)</f>
        <v>87.142857142857167</v>
      </c>
      <c r="EL42" s="13">
        <f t="shared" si="45"/>
        <v>23.874862491880062</v>
      </c>
      <c r="EM42" s="20">
        <f t="shared" si="19"/>
        <v>193.35586169716734</v>
      </c>
      <c r="EN42" s="59">
        <f t="shared" si="20"/>
        <v>440.36525878727446</v>
      </c>
      <c r="EO42" s="59">
        <f ca="1">AVERAGE(OFFSET($EN$3,0,0,'Données projet'!$E$15+1,1))-AVERAGE(OFFSET($H$3,0,0,'Données projet'!$E$15+1,1))</f>
        <v>217.53602321474159</v>
      </c>
      <c r="EP42" s="59">
        <f t="shared" si="46"/>
        <v>215.75909414893025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15.526723896463876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15.526723896463876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12.86166666666667</v>
      </c>
      <c r="FE42" s="12">
        <f>IF('Données projet'!$A$218&gt;35,FE41+FD42-FM41,IF(A42&lt;'Données projet'!$A$218,$FB$205^A42,IF(A42='Données projet'!$A$218,'Données projet'!$B$218,FE41+FD42-FM41)))</f>
        <v>183.15666666666669</v>
      </c>
      <c r="FF42" s="17">
        <f>FE42*VLOOKUP('Données projet'!$B$16,Paramètres!$A$1:$I$89,3,0)*VLOOKUP('Données projet'!$B$16,Paramètres!$A$1:$I$89,5,0)</f>
        <v>122.86149200000003</v>
      </c>
      <c r="FG42" s="13">
        <f t="shared" si="47"/>
        <v>32.341477201115048</v>
      </c>
      <c r="FH42" s="20">
        <f t="shared" si="22"/>
        <v>270.31183802527539</v>
      </c>
      <c r="FI42" s="59">
        <f t="shared" si="23"/>
        <v>517.32123511538248</v>
      </c>
      <c r="FJ42" s="59">
        <f ca="1">AVERAGE(OFFSET($FI$3,0,0,'Données projet'!$E$16+1,1))-AVERAGE(OFFSET($H$3,0,0,'Données projet'!$E$16+1,1))</f>
        <v>441.20130048888439</v>
      </c>
      <c r="FK42" s="59">
        <f t="shared" si="48"/>
        <v>237.47732532183946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25.263704345570222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25.263704345570222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7</v>
      </c>
      <c r="FZ42" s="12">
        <f>IF('Données projet'!$A$244&gt;35,FZ41+FY42-GH41,IF(A42&lt;'Données projet'!$A$244,$FW$205^A42,IF(A42='Données projet'!$A$244,'Données projet'!$B$244,FZ41+FY42-GH41)))</f>
        <v>159.99999999999997</v>
      </c>
      <c r="GA42" s="17">
        <f>FZ42*VLOOKUP('Données projet'!$B$17,Paramètres!$A$1:$I$89,3,0)*VLOOKUP('Données projet'!$B$17,Paramètres!$A$1:$I$89,5,0)</f>
        <v>104.83199999999998</v>
      </c>
      <c r="GB42" s="13">
        <f t="shared" si="49"/>
        <v>28.109974371137692</v>
      </c>
      <c r="GC42" s="20">
        <f t="shared" si="25"/>
        <v>231.54060536306474</v>
      </c>
      <c r="GD42" s="59">
        <f t="shared" si="26"/>
        <v>478.55000245317183</v>
      </c>
      <c r="GE42" s="59">
        <f ca="1">AVERAGE(OFFSET($GD$3,0,0,'Données projet'!$E$17+1,1))-AVERAGE(OFFSET($H$3,0,0,'Données projet'!$E$17+1,1))</f>
        <v>257.66104339896992</v>
      </c>
      <c r="GF42" s="59">
        <f t="shared" si="50"/>
        <v>254.79488636184996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6.0423422564478342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6.0423422564478342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6</v>
      </c>
      <c r="GU42" s="12">
        <f>IF('Données projet'!$A$270&gt;35,GU41+GT42-HC41,IF(A42&lt;'Données projet'!$A$270,$GR$205^A42,IF(A42='Données projet'!$A$270,'Données projet'!$B$270,GU41+GT42-HC41)))</f>
        <v>132.99999999999997</v>
      </c>
      <c r="GV42" s="17">
        <f>GU42*VLOOKUP('Données projet'!$B$18,Paramètres!$A$1:$I$89,3,0)*VLOOKUP('Données projet'!$B$18,Paramètres!$A$1:$I$89,5,0)</f>
        <v>107.88959999999997</v>
      </c>
      <c r="GW42" s="13">
        <f t="shared" si="51"/>
        <v>28.833198667365593</v>
      </c>
      <c r="GX42" s="20">
        <f t="shared" si="28"/>
        <v>238.12554101232834</v>
      </c>
      <c r="GY42" s="59">
        <f t="shared" si="29"/>
        <v>485.13493810243546</v>
      </c>
      <c r="GZ42" s="59">
        <f ca="1">AVERAGE(OFFSET($GY$3,0,0,'Données projet'!$E$18+1,1))-AVERAGE(OFFSET($H$3,0,0,'Données projet'!$E$18+1,1))</f>
        <v>299.98377156721153</v>
      </c>
      <c r="HA42" s="59">
        <f t="shared" si="52"/>
        <v>241.36164657721102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4.2748543855141135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4.2748543855141135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12.86166666666667</v>
      </c>
      <c r="N43" s="13">
        <f>IF('Données projet'!$A$36&gt;35,N42+M43-V42,IF(A43&lt;'Données projet'!$A$36,$K$205^A43,IF(A43='Données projet'!$A$36,'Données projet'!$B$36,N42+M43-V42)))</f>
        <v>196.01833333333337</v>
      </c>
      <c r="O43" s="13">
        <f>N43*VLOOKUP('Données projet'!$B$9,Paramètres!$A$1:$I$89,3,0)*VLOOKUP('Données projet'!$B$9,Paramètres!$A$1:$I$89,5,0)</f>
        <v>177.35738800000004</v>
      </c>
      <c r="P43" s="13">
        <f t="shared" si="33"/>
        <v>44.733748562033469</v>
      </c>
      <c r="Q43" s="20">
        <f t="shared" si="53"/>
        <v>386.80872951220834</v>
      </c>
      <c r="R43" s="59">
        <f t="shared" si="0"/>
        <v>634.62174333132918</v>
      </c>
      <c r="S43" s="59">
        <f ca="1">AVERAGE(OFFSET($R$3,0,0,'Données projet'!$E$9+1,1))-AVERAGE(OFFSET($H$3,0,0,'Données projet'!$E$9+1,1))</f>
        <v>567.42635821507474</v>
      </c>
      <c r="T43" s="59">
        <f t="shared" si="34"/>
        <v>299.04735309930152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27.104930447851295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27.104930447851295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207</v>
      </c>
      <c r="AG43" s="12">
        <f>VLOOKUP(A43,'Données projet'!$A$61:$I$81,9,0)</f>
        <v>13.4</v>
      </c>
      <c r="AH43" s="12">
        <f t="array" ref="AH43">INDEX(AG:AG,MIN(IF(ISNUMBER(AG43:AG239),ROW(AG43:AG239),"")))</f>
        <v>13.4</v>
      </c>
      <c r="AI43" s="13">
        <f>IF('Données projet'!$A$62&gt;35,AI42+AH43-AQ42,IF(A43&lt;'Données projet'!$A$62,$AF$205^A43,IF(A43='Données projet'!$A$62,'Données projet'!$B$62,AI42+AH43-AQ42)))</f>
        <v>207.00000000000009</v>
      </c>
      <c r="AJ43" s="13">
        <f>AI43*VLOOKUP('Données projet'!$B$10,Paramètres!$A$1:$I$89,3,0)*VLOOKUP('Données projet'!$B$10,Paramètres!$A$1:$I$89,5,0)</f>
        <v>177.60600000000008</v>
      </c>
      <c r="AK43" s="13">
        <f t="shared" si="35"/>
        <v>44.789150937858665</v>
      </c>
      <c r="AL43" s="20">
        <f t="shared" si="4"/>
        <v>387.33822121677059</v>
      </c>
      <c r="AM43" s="59">
        <f t="shared" si="5"/>
        <v>635.15123503589143</v>
      </c>
      <c r="AN43" s="59">
        <f ca="1">AVERAGE(OFFSET($AM$3,0,0,'Données projet'!$E$10+1,1))-AVERAGE(OFFSET($H$3,0,0,'Données projet'!$E$10+1,1))</f>
        <v>569.97793593332699</v>
      </c>
      <c r="AO43" s="59">
        <f t="shared" si="36"/>
        <v>331.25104323342907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35</v>
      </c>
      <c r="AR43" s="16">
        <f>IF(ISNA(VLOOKUP(A43,'Données projet'!$A$61:$I$81,5,0)),0%,VLOOKUP(A43,'Données projet'!$A$61:$I$81,5,0)*VLOOKUP('Données projet'!$B$10,Paramètres!$A$1:$I$89,7,0))</f>
        <v>0.53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33.530361757350519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33.530361757350519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14</v>
      </c>
      <c r="BD43" s="12">
        <f>IF('Données projet'!$A$88&gt;35,BD42+BC43-BL42,IF(A43&lt;'Données projet'!$A$88,$BA$205^A43,IF(A43='Données projet'!$A$88,'Données projet'!$B$88,BD42+BC43-BL42)))</f>
        <v>249.99999999999994</v>
      </c>
      <c r="BE43" s="13">
        <f>BD43*VLOOKUP('Données projet'!$B$11,Paramètres!$A$1:$I$89,3,0)*VLOOKUP('Données projet'!$B$11,Paramètres!$A$1:$I$89,5,0)</f>
        <v>136.49999999999997</v>
      </c>
      <c r="BF43" s="13">
        <f t="shared" si="37"/>
        <v>35.494027024087352</v>
      </c>
      <c r="BG43" s="20">
        <f t="shared" si="7"/>
        <v>299.55626373361878</v>
      </c>
      <c r="BH43" s="59">
        <f t="shared" si="8"/>
        <v>547.36927755273962</v>
      </c>
      <c r="BI43" s="59">
        <f ca="1">AVERAGE(OFFSET($BH$3,0,0,'Données projet'!$E$11+1,1))-AVERAGE(OFFSET($H$3,0,0,'Données projet'!$E$11+1,1))</f>
        <v>215.37314197175104</v>
      </c>
      <c r="BJ43" s="59">
        <f t="shared" si="38"/>
        <v>361.17630426655978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30.111340148411138</v>
      </c>
      <c r="BQ43" s="21">
        <f>EXP(-LN(2)/25)*BQ42+(1-EXP(-LN(2)/25))/(LN(2)/25)*Calculateur!BL43*Calculateur!BN43*VLOOKUP('Données projet'!$B$11,Paramètres!$A$1:$I$89,3,0)*0.475*44/12</f>
        <v>72.785823849423934</v>
      </c>
      <c r="BR43" s="21">
        <f>EXP(-LN(2)/2)*BR42+(1-EXP(-LN(2)/2))/(LN(2)/2)*BL43*BO43*VLOOKUP('Données projet'!$B$11,Paramètres!$A$1:$I$89,3,0)*0.475*44/12</f>
        <v>7.9236911153799175E-4</v>
      </c>
      <c r="BS43" s="22">
        <f t="shared" si="9"/>
        <v>102.8979563669466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28.093333333333334</v>
      </c>
      <c r="BY43" s="12">
        <f>IF('Données projet'!$A$114&gt;35,BY42+BX43-CG42,IF(A43&lt;'Données projet'!$A$114,$BV$205^A43,IF(A43='Données projet'!$A$114,'Données projet'!$B$114,BY42+BX43-CG42)))</f>
        <v>528.18333333333328</v>
      </c>
      <c r="BZ43" s="13">
        <f>BY43*VLOOKUP('Données projet'!$B$12,Paramètres!$A$1:$I$89,3,0)*VLOOKUP('Données projet'!$B$12,Paramètres!$A$1:$I$89,5,0)</f>
        <v>295.25448333333333</v>
      </c>
      <c r="CA43" s="13">
        <f t="shared" si="39"/>
        <v>70.180699585942122</v>
      </c>
      <c r="CB43" s="20">
        <f t="shared" si="10"/>
        <v>636.46627691773801</v>
      </c>
      <c r="CC43" s="59">
        <f t="shared" si="11"/>
        <v>884.2792907368588</v>
      </c>
      <c r="CD43" s="59">
        <f ca="1">AVERAGE(OFFSET($CC$3,0,0,'Données projet'!$E$12+1,1))-AVERAGE(OFFSET($H$3,0,0,'Données projet'!$E$12+1,1))</f>
        <v>420.4890915162182</v>
      </c>
      <c r="CE43" s="59">
        <f t="shared" si="40"/>
        <v>553.48432338023565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32.358729494450905</v>
      </c>
      <c r="CL43" s="21">
        <f>EXP(-LN(2)/25)*CL42+(1-EXP(-LN(2)/25))/(LN(2)/25)*Calculateur!CG43*Calculateur!CI43*VLOOKUP('Données projet'!$B$12,Paramètres!$A$1:$I$89,3,0)*0.475*44/12</f>
        <v>38.325857031452159</v>
      </c>
      <c r="CM43" s="21">
        <f>EXP(-LN(2)/2)*CM42+(1-EXP(-LN(2)/2))/(LN(2)/2)*CG43*CJ43*VLOOKUP('Données projet'!$B$12,Paramètres!$A$1:$I$89,3,0)*0.475*44/12</f>
        <v>2.3122516533212879E-2</v>
      </c>
      <c r="CN43" s="22">
        <f t="shared" si="12"/>
        <v>70.707709042436264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13.2</v>
      </c>
      <c r="CS43" s="12">
        <f t="array" ref="CS43">INDEX(CR:CR,MIN(IF(ISNUMBER(CR43:CR239),ROW(CR43:CR239),"")))</f>
        <v>13.2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192.83159999999995</v>
      </c>
      <c r="CV43" s="13">
        <f t="shared" si="41"/>
        <v>48.165439402688818</v>
      </c>
      <c r="CW43" s="20">
        <f t="shared" si="13"/>
        <v>419.73651029301618</v>
      </c>
      <c r="CX43" s="59">
        <f t="shared" si="14"/>
        <v>667.54952411213696</v>
      </c>
      <c r="CY43" s="59">
        <f ca="1">AVERAGE(OFFSET($CX$3,0,0,'Données projet'!$E$13+1,1))-AVERAGE(OFFSET($H$3,0,0,'Données projet'!$E$13+1,1))</f>
        <v>400.48995908576177</v>
      </c>
      <c r="CZ43" s="59">
        <f t="shared" si="42"/>
        <v>384.86917865380076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40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27.199284207600293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27.199284207600293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13.2</v>
      </c>
      <c r="DN43" s="12">
        <f t="array" ref="DN43">INDEX(DM:DM,MIN(IF(ISNUMBER(DM43:DM239),ROW(DM43:DM239),"")))</f>
        <v>13.2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209.24279999999996</v>
      </c>
      <c r="DQ43" s="13">
        <f t="shared" si="43"/>
        <v>51.770083677016814</v>
      </c>
      <c r="DR43" s="20">
        <f t="shared" si="16"/>
        <v>454.59743907080411</v>
      </c>
      <c r="DS43" s="59">
        <f t="shared" si="17"/>
        <v>702.41045288992495</v>
      </c>
      <c r="DT43" s="59">
        <f ca="1">AVERAGE(OFFSET($DS$3,0,0,'Données projet'!$E$14+1,1))-AVERAGE(OFFSET($H$3,0,0,'Données projet'!$E$14+1,1))</f>
        <v>429.30603040255431</v>
      </c>
      <c r="DU43" s="59">
        <f t="shared" si="44"/>
        <v>412.18613903804726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40</v>
      </c>
      <c r="DX43" s="16">
        <f>IF(ISNA(VLOOKUP(A43,'Données projet'!$A$165:$I$185,5,0)),0%,VLOOKUP(A43,'Données projet'!$A$165:$I$185,5,0)*VLOOKUP('Données projet'!$B$14,Paramètres!$A$1:$I$89,7,0))</f>
        <v>0.53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36.377865023821677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36.377865023821677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7.1428571428571432</v>
      </c>
      <c r="EJ43" s="12">
        <f>IF('Données projet'!$A$192&gt;35,EJ42+EI43-ER42,IF(A43&lt;'Données projet'!$A$192,$EG$205^A43,IF(A43='Données projet'!$A$192,'Données projet'!$B$192,EJ42+EI43-ER42)))</f>
        <v>118.86446886446889</v>
      </c>
      <c r="EK43" s="17">
        <f>EJ43*VLOOKUP('Données projet'!$B$15,Paramètres!$A$1:$I$89,3,0)*VLOOKUP('Données projet'!$B$15,Paramètres!$A$1:$I$89,5,0)</f>
        <v>92.714285714285737</v>
      </c>
      <c r="EL43" s="13">
        <f t="shared" si="45"/>
        <v>25.218709027237011</v>
      </c>
      <c r="EM43" s="20">
        <f t="shared" si="19"/>
        <v>205.39996584148545</v>
      </c>
      <c r="EN43" s="59">
        <f t="shared" si="20"/>
        <v>453.21297966060627</v>
      </c>
      <c r="EO43" s="59">
        <f ca="1">AVERAGE(OFFSET($EN$3,0,0,'Données projet'!$E$15+1,1))-AVERAGE(OFFSET($H$3,0,0,'Données projet'!$E$15+1,1))</f>
        <v>217.53602321474159</v>
      </c>
      <c r="EP43" s="59">
        <f t="shared" si="46"/>
        <v>215.75909414893025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15.222254311220675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15.222254311220675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12.86166666666667</v>
      </c>
      <c r="FE43" s="12">
        <f>IF('Données projet'!$A$218&gt;35,FE42+FD43-FM42,IF(A43&lt;'Données projet'!$A$218,$FB$205^A43,IF(A43='Données projet'!$A$218,'Données projet'!$B$218,FE42+FD43-FM42)))</f>
        <v>196.01833333333337</v>
      </c>
      <c r="FF43" s="17">
        <f>FE43*VLOOKUP('Données projet'!$B$16,Paramètres!$A$1:$I$89,3,0)*VLOOKUP('Données projet'!$B$16,Paramètres!$A$1:$I$89,5,0)</f>
        <v>131.48909800000004</v>
      </c>
      <c r="FG43" s="13">
        <f t="shared" si="47"/>
        <v>34.340217742931678</v>
      </c>
      <c r="FH43" s="20">
        <f t="shared" si="22"/>
        <v>288.81939158560607</v>
      </c>
      <c r="FI43" s="59">
        <f t="shared" si="23"/>
        <v>536.63240540472691</v>
      </c>
      <c r="FJ43" s="59">
        <f ca="1">AVERAGE(OFFSET($FI$3,0,0,'Données projet'!$E$16+1,1))-AVERAGE(OFFSET($H$3,0,0,'Données projet'!$E$16+1,1))</f>
        <v>441.20130048888439</v>
      </c>
      <c r="FK43" s="59">
        <f t="shared" si="48"/>
        <v>237.47732532183946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24.768298512691693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24.768298512691693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167</v>
      </c>
      <c r="FX43" s="12">
        <f>VLOOKUP(A43,'Données projet'!$A$243:$I$263,9,0)</f>
        <v>7</v>
      </c>
      <c r="FY43" s="12">
        <f t="array" ref="FY43">INDEX(FX:FX,MIN(IF(ISNUMBER(FX43:FX239),ROW(FX43:FX239),"")))</f>
        <v>7</v>
      </c>
      <c r="FZ43" s="12">
        <f>IF('Données projet'!$A$244&gt;35,FZ42+FY43-GH42,IF(A43&lt;'Données projet'!$A$244,$FW$205^A43,IF(A43='Données projet'!$A$244,'Données projet'!$B$244,FZ42+FY43-GH42)))</f>
        <v>166.99999999999997</v>
      </c>
      <c r="GA43" s="17">
        <f>FZ43*VLOOKUP('Données projet'!$B$17,Paramètres!$A$1:$I$89,3,0)*VLOOKUP('Données projet'!$B$17,Paramètres!$A$1:$I$89,5,0)</f>
        <v>109.41839999999998</v>
      </c>
      <c r="GB43" s="13">
        <f t="shared" si="49"/>
        <v>29.193912826430967</v>
      </c>
      <c r="GC43" s="20">
        <f t="shared" si="25"/>
        <v>241.41644483936719</v>
      </c>
      <c r="GD43" s="59">
        <f t="shared" si="26"/>
        <v>489.229458658488</v>
      </c>
      <c r="GE43" s="59">
        <f ca="1">AVERAGE(OFFSET($GD$3,0,0,'Données projet'!$E$17+1,1))-AVERAGE(OFFSET($H$3,0,0,'Données projet'!$E$17+1,1))</f>
        <v>257.66104339896992</v>
      </c>
      <c r="GF43" s="59">
        <f t="shared" si="50"/>
        <v>254.79488636184996</v>
      </c>
      <c r="GG43" s="15">
        <f>IF(ISNA(VLOOKUP(A43,'Données projet'!$A$243:$I$263,3,0)),0,VLOOKUP(A43,'Données projet'!$A$243:$I$263,3,0))</f>
        <v>7</v>
      </c>
      <c r="GH43" s="15">
        <f>IF(ISNA(VLOOKUP(A43,'Données projet'!$A$243:$I$263,4,0)),0,VLOOKUP(A43,'Données projet'!$A$243:$I$263,4,0))</f>
        <v>22</v>
      </c>
      <c r="GI43" s="16">
        <f>IF(ISNA(VLOOKUP(A43,'Données projet'!$A$243:$I$263,5,0)),0%,VLOOKUP(A43,'Données projet'!$A$243:$I$263,5,0)*VLOOKUP('Données projet'!$B$17,Paramètres!$A$1:$I$89,7,0))</f>
        <v>0.43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12.775773272921855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12.775773272921855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139</v>
      </c>
      <c r="GS43" s="12">
        <f>VLOOKUP(A43,'Données projet'!$A$269:$I$289,9,0)</f>
        <v>6</v>
      </c>
      <c r="GT43" s="12">
        <f t="array" ref="GT43">INDEX(GS:GS,MIN(IF(ISNUMBER(GS43:GS239),ROW(GS43:GS239),"")))</f>
        <v>6</v>
      </c>
      <c r="GU43" s="12">
        <f>IF('Données projet'!$A$270&gt;35,GU42+GT43-HC42,IF(A43&lt;'Données projet'!$A$270,$GR$205^A43,IF(A43='Données projet'!$A$270,'Données projet'!$B$270,GU42+GT43-HC42)))</f>
        <v>138.99999999999997</v>
      </c>
      <c r="GV43" s="17">
        <f>GU43*VLOOKUP('Données projet'!$B$18,Paramètres!$A$1:$I$89,3,0)*VLOOKUP('Données projet'!$B$18,Paramètres!$A$1:$I$89,5,0)</f>
        <v>112.75679999999998</v>
      </c>
      <c r="GW43" s="13">
        <f t="shared" si="51"/>
        <v>29.979569481474449</v>
      </c>
      <c r="GX43" s="20">
        <f t="shared" si="28"/>
        <v>248.59917684690132</v>
      </c>
      <c r="GY43" s="59">
        <f t="shared" si="29"/>
        <v>496.41219066602213</v>
      </c>
      <c r="GZ43" s="59">
        <f ca="1">AVERAGE(OFFSET($GY$3,0,0,'Données projet'!$E$18+1,1))-AVERAGE(OFFSET($H$3,0,0,'Données projet'!$E$18+1,1))</f>
        <v>299.98377156721153</v>
      </c>
      <c r="HA43" s="59">
        <f t="shared" si="52"/>
        <v>241.36164657721102</v>
      </c>
      <c r="HB43" s="15">
        <f>IF(ISNA(VLOOKUP(A43,'Données projet'!$A$269:$I$289,3,0)),0,VLOOKUP(A43,'Données projet'!$A$269:$I$289,3,0))</f>
        <v>5</v>
      </c>
      <c r="HC43" s="15">
        <f>IF(ISNA(VLOOKUP(A43,'Données projet'!$A$269:$I$289,4,0)),0,VLOOKUP(A43,'Données projet'!$A$269:$I$289,4,0))</f>
        <v>13</v>
      </c>
      <c r="HD43" s="16">
        <f>IF(ISNA(VLOOKUP(A43,'Données projet'!$A$269:$I$289,5,0)),0%,VLOOKUP(A43,'Données projet'!$A$269:$I$289,5,0)*VLOOKUP('Données projet'!$B$18,Paramètres!$A$1:$I$89,7,0))</f>
        <v>0.43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9.2039019252110492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9.2039019252110492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208.88</v>
      </c>
      <c r="L44" s="12">
        <f>VLOOKUP(A44,'Données projet'!$A$35:$I$55,9,0)</f>
        <v>12.86166666666667</v>
      </c>
      <c r="M44" s="12">
        <f t="array" ref="M44">INDEX(L:L,MIN(IF(ISNUMBER(L44:L240),ROW(L44:L240),"")))</f>
        <v>12.86166666666667</v>
      </c>
      <c r="N44" s="13">
        <f>IF('Données projet'!$A$36&gt;35,N43+M44-V43,IF(A44&lt;'Données projet'!$A$36,$K$205^A44,IF(A44='Données projet'!$A$36,'Données projet'!$B$36,N43+M44-V43)))</f>
        <v>208.88000000000005</v>
      </c>
      <c r="O44" s="13">
        <f>N44*VLOOKUP('Données projet'!$B$9,Paramètres!$A$1:$I$89,3,0)*VLOOKUP('Données projet'!$B$9,Paramètres!$A$1:$I$89,5,0)</f>
        <v>188.99462400000004</v>
      </c>
      <c r="P44" s="13">
        <f t="shared" si="33"/>
        <v>47.317609904825126</v>
      </c>
      <c r="Q44" s="20">
        <f t="shared" si="53"/>
        <v>411.5771407175705</v>
      </c>
      <c r="R44" s="59">
        <f t="shared" si="0"/>
        <v>660.1798303120745</v>
      </c>
      <c r="S44" s="59">
        <f ca="1">AVERAGE(OFFSET($R$3,0,0,'Données projet'!$E$9+1,1))-AVERAGE(OFFSET($H$3,0,0,'Données projet'!$E$9+1,1))</f>
        <v>567.42635821507474</v>
      </c>
      <c r="T44" s="59">
        <f t="shared" si="34"/>
        <v>299.04735309930152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47.41</v>
      </c>
      <c r="W44" s="16">
        <f>IF(ISNA(VLOOKUP(A44,'Données projet'!$A$35:$I$55,5,0)),0%,VLOOKUP(A44,'Données projet'!$A$35:$I$55,5,0)*VLOOKUP('Données projet'!$B$9,Paramètres!$A$1:$I$89,7,0))</f>
        <v>0.43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46.964399976421092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46.964399976421092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</v>
      </c>
      <c r="AI44" s="13">
        <f>IF('Données projet'!$A$62&gt;35,AI43+AH44-AQ43,IF(A44&lt;'Données projet'!$A$62,$AF$205^A44,IF(A44='Données projet'!$A$62,'Données projet'!$B$62,AI43+AH44-AQ43)))</f>
        <v>185.8000000000001</v>
      </c>
      <c r="AJ44" s="13">
        <f>AI44*VLOOKUP('Données projet'!$B$10,Paramètres!$A$1:$I$89,3,0)*VLOOKUP('Données projet'!$B$10,Paramètres!$A$1:$I$89,5,0)</f>
        <v>159.4164000000001</v>
      </c>
      <c r="AK44" s="13">
        <f t="shared" si="35"/>
        <v>40.710854816108295</v>
      </c>
      <c r="AL44" s="20">
        <f t="shared" si="4"/>
        <v>348.55496880472214</v>
      </c>
      <c r="AM44" s="59">
        <f t="shared" si="5"/>
        <v>597.15765839922608</v>
      </c>
      <c r="AN44" s="59">
        <f ca="1">AVERAGE(OFFSET($AM$3,0,0,'Données projet'!$E$10+1,1))-AVERAGE(OFFSET($H$3,0,0,'Données projet'!$E$10+1,1))</f>
        <v>569.97793593332699</v>
      </c>
      <c r="AO44" s="59">
        <f t="shared" si="36"/>
        <v>331.25104323342907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32.872851814790131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32.872851814790131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14</v>
      </c>
      <c r="BD44" s="12">
        <f>IF('Données projet'!$A$88&gt;35,BD43+BC44-BL43,IF(A44&lt;'Données projet'!$A$88,$BA$205^A44,IF(A44='Données projet'!$A$88,'Données projet'!$B$88,BD43+BC44-BL43)))</f>
        <v>263.99999999999994</v>
      </c>
      <c r="BE44" s="13">
        <f>BD44*VLOOKUP('Données projet'!$B$11,Paramètres!$A$1:$I$89,3,0)*VLOOKUP('Données projet'!$B$11,Paramètres!$A$1:$I$89,5,0)</f>
        <v>144.14399999999995</v>
      </c>
      <c r="BF44" s="13">
        <f t="shared" si="37"/>
        <v>37.244720006976216</v>
      </c>
      <c r="BG44" s="20">
        <f t="shared" si="7"/>
        <v>315.91868734548348</v>
      </c>
      <c r="BH44" s="59">
        <f t="shared" si="8"/>
        <v>564.52137693998748</v>
      </c>
      <c r="BI44" s="59">
        <f ca="1">AVERAGE(OFFSET($BH$3,0,0,'Données projet'!$E$11+1,1))-AVERAGE(OFFSET($H$3,0,0,'Données projet'!$E$11+1,1))</f>
        <v>215.37314197175104</v>
      </c>
      <c r="BJ44" s="59">
        <f t="shared" si="38"/>
        <v>361.17630426655978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29.520875134204783</v>
      </c>
      <c r="BQ44" s="21">
        <f>EXP(-LN(2)/25)*BQ43+(1-EXP(-LN(2)/25))/(LN(2)/25)*Calculateur!BL44*Calculateur!BN44*VLOOKUP('Données projet'!$B$11,Paramètres!$A$1:$I$89,3,0)*0.475*44/12</f>
        <v>70.79549166862131</v>
      </c>
      <c r="BR44" s="21">
        <f>EXP(-LN(2)/2)*BR43+(1-EXP(-LN(2)/2))/(LN(2)/2)*BL44*BO44*VLOOKUP('Données projet'!$B$11,Paramètres!$A$1:$I$89,3,0)*0.475*44/12</f>
        <v>5.6028957197127379E-4</v>
      </c>
      <c r="BS44" s="22">
        <f t="shared" si="9"/>
        <v>100.31692709239806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28.093333333333334</v>
      </c>
      <c r="BY44" s="12">
        <f>IF('Données projet'!$A$114&gt;35,BY43+BX44-CG43,IF(A44&lt;'Données projet'!$A$114,$BV$205^A44,IF(A44='Données projet'!$A$114,'Données projet'!$B$114,BY43+BX44-CG43)))</f>
        <v>556.27666666666664</v>
      </c>
      <c r="BZ44" s="13">
        <f>BY44*VLOOKUP('Données projet'!$B$12,Paramètres!$A$1:$I$89,3,0)*VLOOKUP('Données projet'!$B$12,Paramètres!$A$1:$I$89,5,0)</f>
        <v>310.95865666666663</v>
      </c>
      <c r="CA44" s="13">
        <f t="shared" si="39"/>
        <v>73.468999847738303</v>
      </c>
      <c r="CB44" s="20">
        <f t="shared" si="10"/>
        <v>669.54483509592194</v>
      </c>
      <c r="CC44" s="59">
        <f t="shared" si="11"/>
        <v>918.14752469042594</v>
      </c>
      <c r="CD44" s="59">
        <f ca="1">AVERAGE(OFFSET($CC$3,0,0,'Données projet'!$E$12+1,1))-AVERAGE(OFFSET($H$3,0,0,'Données projet'!$E$12+1,1))</f>
        <v>420.4890915162182</v>
      </c>
      <c r="CE44" s="59">
        <f t="shared" si="40"/>
        <v>553.48432338023565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31.724194545940861</v>
      </c>
      <c r="CL44" s="21">
        <f>EXP(-LN(2)/25)*CL43+(1-EXP(-LN(2)/25))/(LN(2)/25)*Calculateur!CG44*Calculateur!CI44*VLOOKUP('Données projet'!$B$12,Paramètres!$A$1:$I$89,3,0)*0.475*44/12</f>
        <v>37.277834455457871</v>
      </c>
      <c r="CM44" s="21">
        <f>EXP(-LN(2)/2)*CM43+(1-EXP(-LN(2)/2))/(LN(2)/2)*CG44*CJ44*VLOOKUP('Données projet'!$B$12,Paramètres!$A$1:$I$89,3,0)*0.475*44/12</f>
        <v>1.6350088238732886E-2</v>
      </c>
      <c r="CN44" s="22">
        <f t="shared" si="12"/>
        <v>69.018379089637477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234.39999999999992</v>
      </c>
      <c r="CU44" s="17">
        <f>CT44*VLOOKUP('Données projet'!$B$13,Paramètres!$A$1:$I$89,3,0)*VLOOKUP('Données projet'!$B$13,Paramètres!$A$1:$I$89,5,0)</f>
        <v>171.86207999999993</v>
      </c>
      <c r="CV44" s="13">
        <f t="shared" si="41"/>
        <v>43.506802778694762</v>
      </c>
      <c r="CW44" s="20">
        <f t="shared" si="13"/>
        <v>375.10080417289322</v>
      </c>
      <c r="CX44" s="59">
        <f t="shared" si="14"/>
        <v>623.70349376739716</v>
      </c>
      <c r="CY44" s="59">
        <f ca="1">AVERAGE(OFFSET($CX$3,0,0,'Données projet'!$E$13+1,1))-AVERAGE(OFFSET($H$3,0,0,'Données projet'!$E$13+1,1))</f>
        <v>400.48995908576177</v>
      </c>
      <c r="CZ44" s="59">
        <f t="shared" si="42"/>
        <v>384.86917865380076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26.665922834214498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26.665922834214498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11.4</v>
      </c>
      <c r="DO44" s="12">
        <f>IF('Données projet'!$A$166&gt;35,DO43+DN44-DW43,IF(A44&lt;'Données projet'!$A$166,$DL$205^A44,IF(A44='Données projet'!$A$166,'Données projet'!$B$166,DO43+DN44-DW43)))</f>
        <v>234.39999999999992</v>
      </c>
      <c r="DP44" s="17">
        <f>DO44*VLOOKUP('Données projet'!$B$14,Paramètres!$A$1:$I$89,3,0)*VLOOKUP('Données projet'!$B$14,Paramètres!$A$1:$I$89,5,0)</f>
        <v>186.48863999999995</v>
      </c>
      <c r="DQ44" s="13">
        <f t="shared" si="43"/>
        <v>46.762800221578807</v>
      </c>
      <c r="DR44" s="20">
        <f t="shared" si="16"/>
        <v>406.24625838591629</v>
      </c>
      <c r="DS44" s="59">
        <f t="shared" si="17"/>
        <v>654.84894798042023</v>
      </c>
      <c r="DT44" s="59">
        <f ca="1">AVERAGE(OFFSET($DS$3,0,0,'Données projet'!$E$14+1,1))-AVERAGE(OFFSET($H$3,0,0,'Données projet'!$E$14+1,1))</f>
        <v>429.30603040255431</v>
      </c>
      <c r="DU44" s="59">
        <f t="shared" si="44"/>
        <v>412.18613903804726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35.664517279011285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35.664517279011285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7.1428571428571432</v>
      </c>
      <c r="EJ44" s="12">
        <f>IF('Données projet'!$A$192&gt;35,EJ43+EI44-ER43,IF(A44&lt;'Données projet'!$A$192,$EG$205^A44,IF(A44='Données projet'!$A$192,'Données projet'!$B$192,EJ43+EI44-ER43)))</f>
        <v>126.00732600732603</v>
      </c>
      <c r="EK44" s="17">
        <f>EJ44*VLOOKUP('Données projet'!$B$15,Paramètres!$A$1:$I$89,3,0)*VLOOKUP('Données projet'!$B$15,Paramètres!$A$1:$I$89,5,0)</f>
        <v>98.285714285714306</v>
      </c>
      <c r="EL44" s="13">
        <f t="shared" si="45"/>
        <v>26.553182521641848</v>
      </c>
      <c r="EM44" s="20">
        <f t="shared" si="19"/>
        <v>217.42774527281196</v>
      </c>
      <c r="EN44" s="59">
        <f t="shared" si="20"/>
        <v>466.03043486731593</v>
      </c>
      <c r="EO44" s="59">
        <f ca="1">AVERAGE(OFFSET($EN$3,0,0,'Données projet'!$E$15+1,1))-AVERAGE(OFFSET($H$3,0,0,'Données projet'!$E$15+1,1))</f>
        <v>217.53602321474159</v>
      </c>
      <c r="EP44" s="59">
        <f t="shared" si="46"/>
        <v>215.75909414893025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14.923755188835983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14.923755188835983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>
        <f>VLOOKUP(A44,'Données projet'!$A$217:$I$237,2,0)</f>
        <v>208.88</v>
      </c>
      <c r="FC44" s="12">
        <f>VLOOKUP(A44,'Données projet'!$A$217:$I$237,9,0)</f>
        <v>12.86166666666667</v>
      </c>
      <c r="FD44" s="12">
        <f t="array" ref="FD44">INDEX(FC:FC,MIN(IF(ISNUMBER(FC44:FC240),ROW(FC44:FC240),"")))</f>
        <v>12.86166666666667</v>
      </c>
      <c r="FE44" s="12">
        <f>IF('Données projet'!$A$218&gt;35,FE43+FD44-FM43,IF(A44&lt;'Données projet'!$A$218,$FB$205^A44,IF(A44='Données projet'!$A$218,'Données projet'!$B$218,FE43+FD44-FM43)))</f>
        <v>208.88000000000005</v>
      </c>
      <c r="FF44" s="17">
        <f>FE44*VLOOKUP('Données projet'!$B$16,Paramètres!$A$1:$I$89,3,0)*VLOOKUP('Données projet'!$B$16,Paramètres!$A$1:$I$89,5,0)</f>
        <v>140.11670400000006</v>
      </c>
      <c r="FG44" s="13">
        <f t="shared" si="47"/>
        <v>36.323739445924353</v>
      </c>
      <c r="FH44" s="20">
        <f t="shared" si="22"/>
        <v>307.30043900165168</v>
      </c>
      <c r="FI44" s="59">
        <f t="shared" si="23"/>
        <v>555.90312859615563</v>
      </c>
      <c r="FJ44" s="59">
        <f ca="1">AVERAGE(OFFSET($FI$3,0,0,'Données projet'!$E$16+1,1))-AVERAGE(OFFSET($H$3,0,0,'Données projet'!$E$16+1,1))</f>
        <v>441.20130048888439</v>
      </c>
      <c r="FK44" s="59">
        <f t="shared" si="48"/>
        <v>237.47732532183946</v>
      </c>
      <c r="FL44" s="15">
        <f>IF(ISNA(VLOOKUP(A44,'Données projet'!$A$217:$I$237,3,0)),0,VLOOKUP(A44,'Données projet'!$A$217:$I$237,3,0))</f>
        <v>2</v>
      </c>
      <c r="FM44" s="15">
        <f>IF(ISNA(VLOOKUP(A44,'Données projet'!$A$217:$I$237,4,0)),0,VLOOKUP(A44,'Données projet'!$A$217:$I$237,4,0))</f>
        <v>47.41</v>
      </c>
      <c r="FN44" s="16">
        <f>IF(ISNA(VLOOKUP(A44,'Données projet'!$A$217:$I$237,5,0)),0%,VLOOKUP(A44,'Données projet'!$A$217:$I$237,5,0)*VLOOKUP('Données projet'!$B$16,Paramètres!$A$1:$I$89,7,0))</f>
        <v>0.53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42.915744806039967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42.915744806039967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6.4</v>
      </c>
      <c r="FZ44" s="12">
        <f>IF('Données projet'!$A$244&gt;35,FZ43+FY44-GH43,IF(A44&lt;'Données projet'!$A$244,$FW$205^A44,IF(A44='Données projet'!$A$244,'Données projet'!$B$244,FZ43+FY44-GH43)))</f>
        <v>151.39999999999998</v>
      </c>
      <c r="GA44" s="17">
        <f>FZ44*VLOOKUP('Données projet'!$B$17,Paramètres!$A$1:$I$89,3,0)*VLOOKUP('Données projet'!$B$17,Paramètres!$A$1:$I$89,5,0)</f>
        <v>99.197279999999978</v>
      </c>
      <c r="GB44" s="13">
        <f t="shared" si="49"/>
        <v>26.770670966897111</v>
      </c>
      <c r="GC44" s="20">
        <f t="shared" si="25"/>
        <v>219.39418126734574</v>
      </c>
      <c r="GD44" s="59">
        <f t="shared" si="26"/>
        <v>467.99687086184974</v>
      </c>
      <c r="GE44" s="59">
        <f ca="1">AVERAGE(OFFSET($GD$3,0,0,'Données projet'!$E$17+1,1))-AVERAGE(OFFSET($H$3,0,0,'Données projet'!$E$17+1,1))</f>
        <v>257.66104339896992</v>
      </c>
      <c r="GF44" s="59">
        <f t="shared" si="50"/>
        <v>254.79488636184996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12.525248151492113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12.525248151492113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6</v>
      </c>
      <c r="GU44" s="12">
        <f>IF('Données projet'!$A$270&gt;35,GU43+GT44-HC43,IF(A44&lt;'Données projet'!$A$270,$GR$205^A44,IF(A44='Données projet'!$A$270,'Données projet'!$B$270,GU43+GT44-HC43)))</f>
        <v>131.99999999999997</v>
      </c>
      <c r="GV44" s="17">
        <f>GU44*VLOOKUP('Données projet'!$B$18,Paramètres!$A$1:$I$89,3,0)*VLOOKUP('Données projet'!$B$18,Paramètres!$A$1:$I$89,5,0)</f>
        <v>107.07839999999999</v>
      </c>
      <c r="GW44" s="13">
        <f t="shared" si="51"/>
        <v>28.64155810910178</v>
      </c>
      <c r="GX44" s="20">
        <f t="shared" si="28"/>
        <v>236.37892704001885</v>
      </c>
      <c r="GY44" s="59">
        <f t="shared" si="29"/>
        <v>484.98161663452282</v>
      </c>
      <c r="GZ44" s="59">
        <f ca="1">AVERAGE(OFFSET($GY$3,0,0,'Données projet'!$E$18+1,1))-AVERAGE(OFFSET($H$3,0,0,'Données projet'!$E$18+1,1))</f>
        <v>299.98377156721153</v>
      </c>
      <c r="HA44" s="59">
        <f t="shared" si="52"/>
        <v>241.36164657721102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9.023419022283516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9.023419022283516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13.059999999999999</v>
      </c>
      <c r="N45" s="13">
        <f>IF('Données projet'!$A$36&gt;35,N44+M45-V44,IF(A45&lt;'Données projet'!$A$36,$K$205^A45,IF(A45='Données projet'!$A$36,'Données projet'!$B$36,N44+M45-V44)))</f>
        <v>174.53000000000006</v>
      </c>
      <c r="O45" s="13">
        <f>N45*VLOOKUP('Données projet'!$B$9,Paramètres!$A$1:$I$89,3,0)*VLOOKUP('Données projet'!$B$9,Paramètres!$A$1:$I$89,5,0)</f>
        <v>157.91474400000004</v>
      </c>
      <c r="P45" s="13">
        <f t="shared" si="33"/>
        <v>40.371821598059007</v>
      </c>
      <c r="Q45" s="20">
        <f t="shared" si="53"/>
        <v>345.34910174995275</v>
      </c>
      <c r="R45" s="59">
        <f t="shared" si="0"/>
        <v>594.72776801058751</v>
      </c>
      <c r="S45" s="59">
        <f ca="1">AVERAGE(OFFSET($R$3,0,0,'Données projet'!$E$9+1,1))-AVERAGE(OFFSET($H$3,0,0,'Données projet'!$E$9+1,1))</f>
        <v>567.42635821507474</v>
      </c>
      <c r="T45" s="59">
        <f t="shared" si="34"/>
        <v>299.04735309930152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46.043456738338953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46.043456738338953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13.8</v>
      </c>
      <c r="AI45" s="13">
        <f>IF('Données projet'!$A$62&gt;35,AI44+AH45-AQ44,IF(A45&lt;'Données projet'!$A$62,$AF$205^A45,IF(A45='Données projet'!$A$62,'Données projet'!$B$62,AI44+AH45-AQ44)))</f>
        <v>199.60000000000011</v>
      </c>
      <c r="AJ45" s="13">
        <f>AI45*VLOOKUP('Données projet'!$B$10,Paramètres!$A$1:$I$89,3,0)*VLOOKUP('Données projet'!$B$10,Paramètres!$A$1:$I$89,5,0)</f>
        <v>171.25680000000011</v>
      </c>
      <c r="AK45" s="13">
        <f t="shared" si="35"/>
        <v>43.371384196183378</v>
      </c>
      <c r="AL45" s="20">
        <f t="shared" si="4"/>
        <v>373.81075414168623</v>
      </c>
      <c r="AM45" s="59">
        <f t="shared" si="5"/>
        <v>623.18942040232093</v>
      </c>
      <c r="AN45" s="59">
        <f ca="1">AVERAGE(OFFSET($AM$3,0,0,'Données projet'!$E$10+1,1))-AVERAGE(OFFSET($H$3,0,0,'Données projet'!$E$10+1,1))</f>
        <v>569.97793593332699</v>
      </c>
      <c r="AO45" s="59">
        <f t="shared" si="36"/>
        <v>331.25104323342907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32.228235241161883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32.228235241161883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278</v>
      </c>
      <c r="BB45" s="12">
        <f>VLOOKUP(A45,'Données projet'!$A$87:$I$107,9,0)</f>
        <v>14</v>
      </c>
      <c r="BC45" s="12">
        <f t="array" ref="BC45">INDEX(BB:BB,MIN(IF(ISNUMBER(BB45:BB241),ROW(BB45:BB241),"")))</f>
        <v>14</v>
      </c>
      <c r="BD45" s="12">
        <f>IF('Données projet'!$A$88&gt;35,BD44+BC45-BL44,IF(A45&lt;'Données projet'!$A$88,$BA$205^A45,IF(A45='Données projet'!$A$88,'Données projet'!$B$88,BD44+BC45-BL44)))</f>
        <v>277.99999999999994</v>
      </c>
      <c r="BE45" s="13">
        <f>BD45*VLOOKUP('Données projet'!$B$11,Paramètres!$A$1:$I$89,3,0)*VLOOKUP('Données projet'!$B$11,Paramètres!$A$1:$I$89,5,0)</f>
        <v>151.78799999999998</v>
      </c>
      <c r="BF45" s="13">
        <f t="shared" si="37"/>
        <v>38.984634390835623</v>
      </c>
      <c r="BG45" s="20">
        <f t="shared" si="7"/>
        <v>332.26233823070532</v>
      </c>
      <c r="BH45" s="59">
        <f t="shared" si="8"/>
        <v>581.64100449134003</v>
      </c>
      <c r="BI45" s="59">
        <f ca="1">AVERAGE(OFFSET($BH$3,0,0,'Données projet'!$E$11+1,1))-AVERAGE(OFFSET($H$3,0,0,'Données projet'!$E$11+1,1))</f>
        <v>215.37314197175104</v>
      </c>
      <c r="BJ45" s="59">
        <f t="shared" si="38"/>
        <v>361.17630426655978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28.941988778778917</v>
      </c>
      <c r="BQ45" s="21">
        <f>EXP(-LN(2)/25)*BQ44+(1-EXP(-LN(2)/25))/(LN(2)/25)*Calculateur!BL45*Calculateur!BN45*VLOOKUP('Données projet'!$B$11,Paramètres!$A$1:$I$89,3,0)*0.475*44/12</f>
        <v>68.859585225969752</v>
      </c>
      <c r="BR45" s="21">
        <f>EXP(-LN(2)/2)*BR44+(1-EXP(-LN(2)/2))/(LN(2)/2)*BL45*BO45*VLOOKUP('Données projet'!$B$11,Paramètres!$A$1:$I$89,3,0)*0.475*44/12</f>
        <v>3.9618455576899587E-4</v>
      </c>
      <c r="BS45" s="22">
        <f t="shared" si="9"/>
        <v>97.801970189304441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584.37</v>
      </c>
      <c r="BW45" s="12">
        <f>VLOOKUP(A45,'Données projet'!$A$113:$I$133,9,0)</f>
        <v>28.093333333333334</v>
      </c>
      <c r="BX45" s="12">
        <f t="array" ref="BX45">INDEX(BW:BW,MIN(IF(ISNUMBER(BW45:BW241),ROW(BW45:BW241),"")))</f>
        <v>28.093333333333334</v>
      </c>
      <c r="BY45" s="12">
        <f>IF('Données projet'!$A$114&gt;35,BY44+BX45-CG44,IF(A45&lt;'Données projet'!$A$114,$BV$205^A45,IF(A45='Données projet'!$A$114,'Données projet'!$B$114,BY44+BX45-CG44)))</f>
        <v>584.37</v>
      </c>
      <c r="BZ45" s="13">
        <f>BY45*VLOOKUP('Données projet'!$B$12,Paramètres!$A$1:$I$89,3,0)*VLOOKUP('Données projet'!$B$12,Paramètres!$A$1:$I$89,5,0)</f>
        <v>326.66282999999999</v>
      </c>
      <c r="CA45" s="13">
        <f t="shared" si="39"/>
        <v>76.738017937615012</v>
      </c>
      <c r="CB45" s="20">
        <f t="shared" si="10"/>
        <v>702.58981015801282</v>
      </c>
      <c r="CC45" s="59">
        <f t="shared" si="11"/>
        <v>951.96847641864758</v>
      </c>
      <c r="CD45" s="59">
        <f ca="1">AVERAGE(OFFSET($CC$3,0,0,'Données projet'!$E$12+1,1))-AVERAGE(OFFSET($H$3,0,0,'Données projet'!$E$12+1,1))</f>
        <v>420.4890915162182</v>
      </c>
      <c r="CE45" s="59">
        <f t="shared" si="40"/>
        <v>553.48432338023565</v>
      </c>
      <c r="CF45" s="15">
        <f>IF(ISNA(VLOOKUP(A45,'Données projet'!$A$113:$I$133,3,0)),0,VLOOKUP(A45,'Données projet'!$A$113:$I$133,3,0))</f>
        <v>5</v>
      </c>
      <c r="CG45" s="15">
        <f>IF(ISNA(VLOOKUP(A45,'Données projet'!$A$113:$I$133,4,0)),0,VLOOKUP(A45,'Données projet'!$A$113:$I$133,4,0))</f>
        <v>91.25</v>
      </c>
      <c r="CH45" s="16">
        <f>IF(ISNA(VLOOKUP(A45,'Données projet'!$A$113:$I$133,5,0)),0%,VLOOKUP(A45,'Données projet'!$A$113:$I$133,5,0)*VLOOKUP('Données projet'!$B$12,Paramètres!$A$1:$I$89,7,0))</f>
        <v>0.55000000000000004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68.31861950726389</v>
      </c>
      <c r="CL45" s="21">
        <f>EXP(-LN(2)/25)*CL44+(1-EXP(-LN(2)/25))/(LN(2)/25)*Calculateur!CG45*Calculateur!CI45*VLOOKUP('Données projet'!$B$12,Paramètres!$A$1:$I$89,3,0)*0.475*44/12</f>
        <v>36.258470111917262</v>
      </c>
      <c r="CM45" s="21">
        <f>EXP(-LN(2)/2)*CM44+(1-EXP(-LN(2)/2))/(LN(2)/2)*CG45*CJ45*VLOOKUP('Données projet'!$B$12,Paramètres!$A$1:$I$89,3,0)*0.475*44/12</f>
        <v>1.156125826660644E-2</v>
      </c>
      <c r="CN45" s="22">
        <f t="shared" si="12"/>
        <v>104.58865087744776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245.79999999999993</v>
      </c>
      <c r="CU45" s="17">
        <f>CT45*VLOOKUP('Données projet'!$B$13,Paramètres!$A$1:$I$89,3,0)*VLOOKUP('Données projet'!$B$13,Paramètres!$A$1:$I$89,5,0)</f>
        <v>180.22055999999992</v>
      </c>
      <c r="CV45" s="13">
        <f t="shared" si="41"/>
        <v>45.371253205145926</v>
      </c>
      <c r="CW45" s="20">
        <f t="shared" si="13"/>
        <v>392.90574133229569</v>
      </c>
      <c r="CX45" s="59">
        <f t="shared" si="14"/>
        <v>642.28440759293039</v>
      </c>
      <c r="CY45" s="59">
        <f ca="1">AVERAGE(OFFSET($CX$3,0,0,'Données projet'!$E$13+1,1))-AVERAGE(OFFSET($H$3,0,0,'Données projet'!$E$13+1,1))</f>
        <v>400.48995908576177</v>
      </c>
      <c r="CZ45" s="59">
        <f t="shared" si="42"/>
        <v>384.86917865380076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26.143020352042484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26.143020352042484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11.4</v>
      </c>
      <c r="DO45" s="12">
        <f>IF('Données projet'!$A$166&gt;35,DO44+DN45-DW44,IF(A45&lt;'Données projet'!$A$166,$DL$205^A45,IF(A45='Données projet'!$A$166,'Données projet'!$B$166,DO44+DN45-DW44)))</f>
        <v>245.79999999999993</v>
      </c>
      <c r="DP45" s="17">
        <f>DO45*VLOOKUP('Données projet'!$B$14,Paramètres!$A$1:$I$89,3,0)*VLOOKUP('Données projet'!$B$14,Paramètres!$A$1:$I$89,5,0)</f>
        <v>195.55847999999995</v>
      </c>
      <c r="DQ45" s="13">
        <f t="shared" si="43"/>
        <v>48.766783903364477</v>
      </c>
      <c r="DR45" s="20">
        <f t="shared" si="16"/>
        <v>425.53316796502639</v>
      </c>
      <c r="DS45" s="59">
        <f t="shared" si="17"/>
        <v>674.9118342256611</v>
      </c>
      <c r="DT45" s="59">
        <f ca="1">AVERAGE(OFFSET($DS$3,0,0,'Données projet'!$E$14+1,1))-AVERAGE(OFFSET($H$3,0,0,'Données projet'!$E$14+1,1))</f>
        <v>429.30603040255431</v>
      </c>
      <c r="DU45" s="59">
        <f t="shared" si="44"/>
        <v>412.18613903804726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34.965157848377466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34.965157848377466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7.1428571428571432</v>
      </c>
      <c r="EJ45" s="12">
        <f>IF('Données projet'!$A$192&gt;35,EJ44+EI45-ER44,IF(A45&lt;'Données projet'!$A$192,$EG$205^A45,IF(A45='Données projet'!$A$192,'Données projet'!$B$192,EJ44+EI45-ER44)))</f>
        <v>133.15018315018318</v>
      </c>
      <c r="EK45" s="17">
        <f>EJ45*VLOOKUP('Données projet'!$B$15,Paramètres!$A$1:$I$89,3,0)*VLOOKUP('Données projet'!$B$15,Paramètres!$A$1:$I$89,5,0)</f>
        <v>103.85714285714289</v>
      </c>
      <c r="EL45" s="13">
        <f t="shared" si="45"/>
        <v>27.878874840299215</v>
      </c>
      <c r="EM45" s="20">
        <f t="shared" si="19"/>
        <v>229.44023082304497</v>
      </c>
      <c r="EN45" s="59">
        <f t="shared" si="20"/>
        <v>478.8188970836797</v>
      </c>
      <c r="EO45" s="59">
        <f ca="1">AVERAGE(OFFSET($EN$3,0,0,'Données projet'!$E$15+1,1))-AVERAGE(OFFSET($H$3,0,0,'Données projet'!$E$15+1,1))</f>
        <v>217.53602321474159</v>
      </c>
      <c r="EP45" s="59">
        <f t="shared" si="46"/>
        <v>215.75909414893025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14.631109452174769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14.631109452174769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13.059999999999999</v>
      </c>
      <c r="FE45" s="12">
        <f>IF('Données projet'!$A$218&gt;35,FE44+FD45-FM44,IF(A45&lt;'Données projet'!$A$218,$FB$205^A45,IF(A45='Données projet'!$A$218,'Données projet'!$B$218,FE44+FD45-FM44)))</f>
        <v>174.53000000000006</v>
      </c>
      <c r="FF45" s="17">
        <f>FE45*VLOOKUP('Données projet'!$B$16,Paramètres!$A$1:$I$89,3,0)*VLOOKUP('Données projet'!$B$16,Paramètres!$A$1:$I$89,5,0)</f>
        <v>117.07472400000005</v>
      </c>
      <c r="FG45" s="13">
        <f t="shared" si="47"/>
        <v>30.991749829183469</v>
      </c>
      <c r="FH45" s="20">
        <f t="shared" si="22"/>
        <v>257.88244191916129</v>
      </c>
      <c r="FI45" s="59">
        <f t="shared" si="23"/>
        <v>507.261108179796</v>
      </c>
      <c r="FJ45" s="59">
        <f ca="1">AVERAGE(OFFSET($FI$3,0,0,'Données projet'!$E$16+1,1))-AVERAGE(OFFSET($H$3,0,0,'Données projet'!$E$16+1,1))</f>
        <v>441.20130048888439</v>
      </c>
      <c r="FK45" s="59">
        <f t="shared" si="48"/>
        <v>237.47732532183946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42.074193226413186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42.074193226413186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6.4</v>
      </c>
      <c r="FZ45" s="12">
        <f>IF('Données projet'!$A$244&gt;35,FZ44+FY45-GH44,IF(A45&lt;'Données projet'!$A$244,$FW$205^A45,IF(A45='Données projet'!$A$244,'Données projet'!$B$244,FZ44+FY45-GH44)))</f>
        <v>157.79999999999998</v>
      </c>
      <c r="GA45" s="17">
        <f>FZ45*VLOOKUP('Données projet'!$B$17,Paramètres!$A$1:$I$89,3,0)*VLOOKUP('Données projet'!$B$17,Paramètres!$A$1:$I$89,5,0)</f>
        <v>103.39055999999999</v>
      </c>
      <c r="GB45" s="13">
        <f t="shared" si="49"/>
        <v>27.768177525719913</v>
      </c>
      <c r="GC45" s="20">
        <f t="shared" si="25"/>
        <v>228.43480119062883</v>
      </c>
      <c r="GD45" s="59">
        <f t="shared" si="26"/>
        <v>477.81346745126359</v>
      </c>
      <c r="GE45" s="59">
        <f ca="1">AVERAGE(OFFSET($GD$3,0,0,'Données projet'!$E$17+1,1))-AVERAGE(OFFSET($H$3,0,0,'Données projet'!$E$17+1,1))</f>
        <v>257.66104339896992</v>
      </c>
      <c r="GF45" s="59">
        <f t="shared" si="50"/>
        <v>254.79488636184996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12.279635674888372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12.279635674888372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6</v>
      </c>
      <c r="GU45" s="12">
        <f>IF('Données projet'!$A$270&gt;35,GU44+GT45-HC44,IF(A45&lt;'Données projet'!$A$270,$GR$205^A45,IF(A45='Données projet'!$A$270,'Données projet'!$B$270,GU44+GT45-HC44)))</f>
        <v>137.99999999999997</v>
      </c>
      <c r="GV45" s="17">
        <f>GU45*VLOOKUP('Données projet'!$B$18,Paramètres!$A$1:$I$89,3,0)*VLOOKUP('Données projet'!$B$18,Paramètres!$A$1:$I$89,5,0)</f>
        <v>111.94559999999998</v>
      </c>
      <c r="GW45" s="13">
        <f t="shared" si="51"/>
        <v>29.788914309703763</v>
      </c>
      <c r="GX45" s="20">
        <f t="shared" si="28"/>
        <v>246.85427908940071</v>
      </c>
      <c r="GY45" s="59">
        <f t="shared" si="29"/>
        <v>496.23294535003544</v>
      </c>
      <c r="GZ45" s="59">
        <f ca="1">AVERAGE(OFFSET($GY$3,0,0,'Données projet'!$E$18+1,1))-AVERAGE(OFFSET($H$3,0,0,'Données projet'!$E$18+1,1))</f>
        <v>299.98377156721153</v>
      </c>
      <c r="HA45" s="59">
        <f t="shared" si="52"/>
        <v>241.36164657721102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8.8464752789986907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8.8464752789986907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13.059999999999999</v>
      </c>
      <c r="N46" s="13">
        <f>IF('Données projet'!$A$36&gt;35,N45+M46-V45,IF(A46&lt;'Données projet'!$A$36,$K$205^A46,IF(A46='Données projet'!$A$36,'Données projet'!$B$36,N45+M46-V45)))</f>
        <v>187.59000000000006</v>
      </c>
      <c r="O46" s="13">
        <f>N46*VLOOKUP('Données projet'!$B$9,Paramètres!$A$1:$I$89,3,0)*VLOOKUP('Données projet'!$B$9,Paramètres!$A$1:$I$89,5,0)</f>
        <v>169.73143200000004</v>
      </c>
      <c r="P46" s="13">
        <f t="shared" si="33"/>
        <v>43.029867753624529</v>
      </c>
      <c r="Q46" s="20">
        <f t="shared" si="53"/>
        <v>370.55926373756279</v>
      </c>
      <c r="R46" s="59">
        <f t="shared" si="0"/>
        <v>620.70044520399483</v>
      </c>
      <c r="S46" s="59">
        <f ca="1">AVERAGE(OFFSET($R$3,0,0,'Données projet'!$E$9+1,1))-AVERAGE(OFFSET($H$3,0,0,'Données projet'!$E$9+1,1))</f>
        <v>567.42635821507474</v>
      </c>
      <c r="T46" s="59">
        <f t="shared" si="34"/>
        <v>299.04735309930152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45.140572635435696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45.140572635435696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13.8</v>
      </c>
      <c r="AI46" s="13">
        <f>IF('Données projet'!$A$62&gt;35,AI45+AH46-AQ45,IF(A46&lt;'Données projet'!$A$62,$AF$205^A46,IF(A46='Données projet'!$A$62,'Données projet'!$B$62,AI45+AH46-AQ45)))</f>
        <v>213.40000000000012</v>
      </c>
      <c r="AJ46" s="13">
        <f>AI46*VLOOKUP('Données projet'!$B$10,Paramètres!$A$1:$I$89,3,0)*VLOOKUP('Données projet'!$B$10,Paramètres!$A$1:$I$89,5,0)</f>
        <v>183.09720000000013</v>
      </c>
      <c r="AK46" s="13">
        <f t="shared" si="35"/>
        <v>46.010570428845895</v>
      </c>
      <c r="AL46" s="20">
        <f t="shared" si="4"/>
        <v>399.02936683024018</v>
      </c>
      <c r="AM46" s="59">
        <f t="shared" si="5"/>
        <v>649.17054829667222</v>
      </c>
      <c r="AN46" s="59">
        <f ca="1">AVERAGE(OFFSET($AM$3,0,0,'Données projet'!$E$10+1,1))-AVERAGE(OFFSET($H$3,0,0,'Données projet'!$E$10+1,1))</f>
        <v>569.97793593332699</v>
      </c>
      <c r="AO46" s="59">
        <f t="shared" si="36"/>
        <v>331.25104323342907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31.5962592053652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31.5962592053652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277.99999999999994</v>
      </c>
      <c r="BE46" s="13">
        <f>BD46*VLOOKUP('Données projet'!$B$11,Paramètres!$A$1:$I$89,3,0)*VLOOKUP('Données projet'!$B$11,Paramètres!$A$1:$I$89,5,0)</f>
        <v>151.78799999999998</v>
      </c>
      <c r="BF46" s="13">
        <f t="shared" si="37"/>
        <v>38.984634390835623</v>
      </c>
      <c r="BG46" s="20">
        <f t="shared" si="7"/>
        <v>332.26233823070532</v>
      </c>
      <c r="BH46" s="59">
        <f t="shared" si="8"/>
        <v>582.40351969713743</v>
      </c>
      <c r="BI46" s="59">
        <f ca="1">AVERAGE(OFFSET($BH$3,0,0,'Données projet'!$E$11+1,1))-AVERAGE(OFFSET($H$3,0,0,'Données projet'!$E$11+1,1))</f>
        <v>215.37314197175104</v>
      </c>
      <c r="BJ46" s="59">
        <f t="shared" si="38"/>
        <v>361.17630426655978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28.374454031697141</v>
      </c>
      <c r="BQ46" s="21">
        <f>EXP(-LN(2)/25)*BQ45+(1-EXP(-LN(2)/25))/(LN(2)/25)*Calculateur!BL46*Calculateur!BN46*VLOOKUP('Données projet'!$B$11,Paramètres!$A$1:$I$89,3,0)*0.475*44/12</f>
        <v>66.976616246797406</v>
      </c>
      <c r="BR46" s="21">
        <f>EXP(-LN(2)/2)*BR45+(1-EXP(-LN(2)/2))/(LN(2)/2)*BL46*BO46*VLOOKUP('Données projet'!$B$11,Paramètres!$A$1:$I$89,3,0)*0.475*44/12</f>
        <v>2.8014478598563689E-4</v>
      </c>
      <c r="BS46" s="22">
        <f t="shared" si="9"/>
        <v>95.351350423280536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27.100000000000005</v>
      </c>
      <c r="BY46" s="12">
        <f>IF('Données projet'!$A$114&gt;35,BY45+BX46-CG45,IF(A46&lt;'Données projet'!$A$114,$BV$205^A46,IF(A46='Données projet'!$A$114,'Données projet'!$B$114,BY45+BX46-CG45)))</f>
        <v>520.22</v>
      </c>
      <c r="BZ46" s="13">
        <f>BY46*VLOOKUP('Données projet'!$B$12,Paramètres!$A$1:$I$89,3,0)*VLOOKUP('Données projet'!$B$12,Paramètres!$A$1:$I$89,5,0)</f>
        <v>290.80298000000005</v>
      </c>
      <c r="CA46" s="13">
        <f t="shared" si="39"/>
        <v>69.24493486102223</v>
      </c>
      <c r="CB46" s="20">
        <f t="shared" si="10"/>
        <v>627.08345171628036</v>
      </c>
      <c r="CC46" s="59">
        <f t="shared" si="11"/>
        <v>877.22463318271241</v>
      </c>
      <c r="CD46" s="59">
        <f ca="1">AVERAGE(OFFSET($CC$3,0,0,'Données projet'!$E$12+1,1))-AVERAGE(OFFSET($H$3,0,0,'Données projet'!$E$12+1,1))</f>
        <v>420.4890915162182</v>
      </c>
      <c r="CE46" s="59">
        <f t="shared" si="40"/>
        <v>553.48432338023565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66.978933048969751</v>
      </c>
      <c r="CL46" s="21">
        <f>EXP(-LN(2)/25)*CL45+(1-EXP(-LN(2)/25))/(LN(2)/25)*Calculateur!CG46*Calculateur!CI46*VLOOKUP('Données projet'!$B$12,Paramètres!$A$1:$I$89,3,0)*0.475*44/12</f>
        <v>35.26698033995681</v>
      </c>
      <c r="CM46" s="21">
        <f>EXP(-LN(2)/2)*CM45+(1-EXP(-LN(2)/2))/(LN(2)/2)*CG46*CJ46*VLOOKUP('Données projet'!$B$12,Paramètres!$A$1:$I$89,3,0)*0.475*44/12</f>
        <v>8.1750441193664432E-3</v>
      </c>
      <c r="CN46" s="22">
        <f t="shared" si="12"/>
        <v>102.25408843304594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257.19999999999993</v>
      </c>
      <c r="CU46" s="17">
        <f>CT46*VLOOKUP('Données projet'!$B$13,Paramètres!$A$1:$I$89,3,0)*VLOOKUP('Données projet'!$B$13,Paramètres!$A$1:$I$89,5,0)</f>
        <v>188.57903999999994</v>
      </c>
      <c r="CV46" s="13">
        <f t="shared" si="41"/>
        <v>47.22566164876563</v>
      </c>
      <c r="CW46" s="20">
        <f t="shared" si="13"/>
        <v>410.69318870493333</v>
      </c>
      <c r="CX46" s="59">
        <f t="shared" si="14"/>
        <v>660.83437017136544</v>
      </c>
      <c r="CY46" s="59">
        <f ca="1">AVERAGE(OFFSET($CX$3,0,0,'Données projet'!$E$13+1,1))-AVERAGE(OFFSET($H$3,0,0,'Données projet'!$E$13+1,1))</f>
        <v>400.48995908576177</v>
      </c>
      <c r="CZ46" s="59">
        <f t="shared" si="42"/>
        <v>384.86917865380076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25.630371668606841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25.630371668606841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11.4</v>
      </c>
      <c r="DO46" s="12">
        <f>IF('Données projet'!$A$166&gt;35,DO45+DN46-DW45,IF(A46&lt;'Données projet'!$A$166,$DL$205^A46,IF(A46='Données projet'!$A$166,'Données projet'!$B$166,DO45+DN46-DW45)))</f>
        <v>257.19999999999993</v>
      </c>
      <c r="DP46" s="17">
        <f>DO46*VLOOKUP('Données projet'!$B$14,Paramètres!$A$1:$I$89,3,0)*VLOOKUP('Données projet'!$B$14,Paramètres!$A$1:$I$89,5,0)</f>
        <v>204.62831999999995</v>
      </c>
      <c r="DQ46" s="13">
        <f t="shared" si="43"/>
        <v>50.759974072251445</v>
      </c>
      <c r="DR46" s="20">
        <f t="shared" si="16"/>
        <v>444.80127884250447</v>
      </c>
      <c r="DS46" s="59">
        <f t="shared" si="17"/>
        <v>694.94246030893646</v>
      </c>
      <c r="DT46" s="59">
        <f ca="1">AVERAGE(OFFSET($DS$3,0,0,'Données projet'!$E$14+1,1))-AVERAGE(OFFSET($H$3,0,0,'Données projet'!$E$14+1,1))</f>
        <v>429.30603040255431</v>
      </c>
      <c r="DU46" s="59">
        <f t="shared" si="44"/>
        <v>412.18613903804726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34.279512429611238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34.279512429611238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7.1428571428571432</v>
      </c>
      <c r="EJ46" s="12">
        <f>IF('Données projet'!$A$192&gt;35,EJ45+EI46-ER45,IF(A46&lt;'Données projet'!$A$192,$EG$205^A46,IF(A46='Données projet'!$A$192,'Données projet'!$B$192,EJ45+EI46-ER45)))</f>
        <v>140.29304029304032</v>
      </c>
      <c r="EK46" s="17">
        <f>EJ46*VLOOKUP('Données projet'!$B$15,Paramètres!$A$1:$I$89,3,0)*VLOOKUP('Données projet'!$B$15,Paramètres!$A$1:$I$89,5,0)</f>
        <v>109.42857142857146</v>
      </c>
      <c r="EL46" s="13">
        <f t="shared" si="45"/>
        <v>29.196310760611571</v>
      </c>
      <c r="EM46" s="20">
        <f t="shared" si="19"/>
        <v>241.43833647949381</v>
      </c>
      <c r="EN46" s="59">
        <f t="shared" si="20"/>
        <v>491.57951794592589</v>
      </c>
      <c r="EO46" s="59">
        <f ca="1">AVERAGE(OFFSET($EN$3,0,0,'Données projet'!$E$15+1,1))-AVERAGE(OFFSET($H$3,0,0,'Données projet'!$E$15+1,1))</f>
        <v>217.53602321474159</v>
      </c>
      <c r="EP46" s="59">
        <f t="shared" si="46"/>
        <v>215.75909414893025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14.344202319913206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14.344202319913206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13.059999999999999</v>
      </c>
      <c r="FE46" s="12">
        <f>IF('Données projet'!$A$218&gt;35,FE45+FD46-FM45,IF(A46&lt;'Données projet'!$A$218,$FB$205^A46,IF(A46='Données projet'!$A$218,'Données projet'!$B$218,FE45+FD46-FM45)))</f>
        <v>187.59000000000006</v>
      </c>
      <c r="FF46" s="17">
        <f>FE46*VLOOKUP('Données projet'!$B$16,Paramètres!$A$1:$I$89,3,0)*VLOOKUP('Données projet'!$B$16,Paramètres!$A$1:$I$89,5,0)</f>
        <v>125.83537200000004</v>
      </c>
      <c r="FG46" s="13">
        <f t="shared" si="47"/>
        <v>33.032220093514354</v>
      </c>
      <c r="FH46" s="20">
        <f t="shared" si="22"/>
        <v>276.69438956287087</v>
      </c>
      <c r="FI46" s="59">
        <f t="shared" si="23"/>
        <v>526.83557102930286</v>
      </c>
      <c r="FJ46" s="59">
        <f ca="1">AVERAGE(OFFSET($FI$3,0,0,'Données projet'!$E$16+1,1))-AVERAGE(OFFSET($H$3,0,0,'Données projet'!$E$16+1,1))</f>
        <v>441.20130048888439</v>
      </c>
      <c r="FK46" s="59">
        <f t="shared" si="48"/>
        <v>237.47732532183946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41.249143959967107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41.249143959967107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6.4</v>
      </c>
      <c r="FZ46" s="12">
        <f>IF('Données projet'!$A$244&gt;35,FZ45+FY46-GH45,IF(A46&lt;'Données projet'!$A$244,$FW$205^A46,IF(A46='Données projet'!$A$244,'Données projet'!$B$244,FZ45+FY46-GH45)))</f>
        <v>164.2</v>
      </c>
      <c r="GA46" s="17">
        <f>FZ46*VLOOKUP('Données projet'!$B$17,Paramètres!$A$1:$I$89,3,0)*VLOOKUP('Données projet'!$B$17,Paramètres!$A$1:$I$89,5,0)</f>
        <v>107.58384</v>
      </c>
      <c r="GB46" s="13">
        <f t="shared" si="49"/>
        <v>28.760984680893039</v>
      </c>
      <c r="GC46" s="20">
        <f t="shared" si="25"/>
        <v>237.46723631922202</v>
      </c>
      <c r="GD46" s="59">
        <f t="shared" si="26"/>
        <v>487.60841778565407</v>
      </c>
      <c r="GE46" s="59">
        <f ca="1">AVERAGE(OFFSET($GD$3,0,0,'Données projet'!$E$17+1,1))-AVERAGE(OFFSET($H$3,0,0,'Données projet'!$E$17+1,1))</f>
        <v>257.66104339896992</v>
      </c>
      <c r="GF46" s="59">
        <f t="shared" si="50"/>
        <v>254.79488636184996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12.038839509142012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12.038839509142012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6</v>
      </c>
      <c r="GU46" s="12">
        <f>IF('Données projet'!$A$270&gt;35,GU45+GT46-HC45,IF(A46&lt;'Données projet'!$A$270,$GR$205^A46,IF(A46='Données projet'!$A$270,'Données projet'!$B$270,GU45+GT46-HC45)))</f>
        <v>143.99999999999997</v>
      </c>
      <c r="GV46" s="17">
        <f>GU46*VLOOKUP('Données projet'!$B$18,Paramètres!$A$1:$I$89,3,0)*VLOOKUP('Données projet'!$B$18,Paramètres!$A$1:$I$89,5,0)</f>
        <v>116.81279999999998</v>
      </c>
      <c r="GW46" s="13">
        <f t="shared" si="51"/>
        <v>30.930476631089483</v>
      </c>
      <c r="GX46" s="20">
        <f t="shared" si="28"/>
        <v>257.31954013248077</v>
      </c>
      <c r="GY46" s="59">
        <f t="shared" si="29"/>
        <v>507.46072159891281</v>
      </c>
      <c r="GZ46" s="59">
        <f ca="1">AVERAGE(OFFSET($GY$3,0,0,'Données projet'!$E$18+1,1))-AVERAGE(OFFSET($H$3,0,0,'Données projet'!$E$18+1,1))</f>
        <v>299.98377156721153</v>
      </c>
      <c r="HA46" s="59">
        <f t="shared" si="52"/>
        <v>241.36164657721102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8.6730012945946537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8.6730012945946537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13.059999999999999</v>
      </c>
      <c r="N47" s="13">
        <f>IF('Données projet'!$A$36&gt;35,N46+M47-V46,IF(A47&lt;'Données projet'!$A$36,$K$205^A47,IF(A47='Données projet'!$A$36,'Données projet'!$B$36,N46+M47-V46)))</f>
        <v>200.65000000000006</v>
      </c>
      <c r="O47" s="13">
        <f>N47*VLOOKUP('Données projet'!$B$9,Paramètres!$A$1:$I$89,3,0)*VLOOKUP('Données projet'!$B$9,Paramètres!$A$1:$I$89,5,0)</f>
        <v>181.54812000000004</v>
      </c>
      <c r="P47" s="13">
        <f t="shared" si="33"/>
        <v>45.666442486896024</v>
      </c>
      <c r="Q47" s="20">
        <f t="shared" si="53"/>
        <v>395.73202966467733</v>
      </c>
      <c r="R47" s="59">
        <f t="shared" si="0"/>
        <v>646.6224984028147</v>
      </c>
      <c r="S47" s="59">
        <f ca="1">AVERAGE(OFFSET($R$3,0,0,'Données projet'!$E$9+1,1))-AVERAGE(OFFSET($H$3,0,0,'Données projet'!$E$9+1,1))</f>
        <v>567.42635821507474</v>
      </c>
      <c r="T47" s="59">
        <f t="shared" si="34"/>
        <v>299.04735309930152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44.255393539085446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44.255393539085446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13.8</v>
      </c>
      <c r="AI47" s="13">
        <f>IF('Données projet'!$A$62&gt;35,AI46+AH47-AQ46,IF(A47&lt;'Données projet'!$A$62,$AF$205^A47,IF(A47='Données projet'!$A$62,'Données projet'!$B$62,AI46+AH47-AQ46)))</f>
        <v>227.20000000000013</v>
      </c>
      <c r="AJ47" s="13">
        <f>AI47*VLOOKUP('Données projet'!$B$10,Paramètres!$A$1:$I$89,3,0)*VLOOKUP('Données projet'!$B$10,Paramètres!$A$1:$I$89,5,0)</f>
        <v>194.93760000000012</v>
      </c>
      <c r="AK47" s="13">
        <f t="shared" si="35"/>
        <v>48.629950800142524</v>
      </c>
      <c r="AL47" s="20">
        <f t="shared" si="4"/>
        <v>424.21348431024836</v>
      </c>
      <c r="AM47" s="59">
        <f t="shared" si="5"/>
        <v>675.10395304838585</v>
      </c>
      <c r="AN47" s="59">
        <f ca="1">AVERAGE(OFFSET($AM$3,0,0,'Données projet'!$E$10+1,1))-AVERAGE(OFFSET($H$3,0,0,'Données projet'!$E$10+1,1))</f>
        <v>569.97793593332699</v>
      </c>
      <c r="AO47" s="59">
        <f t="shared" si="36"/>
        <v>331.25104323342907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30.976675834163171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30.976675834163171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277.99999999999994</v>
      </c>
      <c r="BE47" s="13">
        <f>BD47*VLOOKUP('Données projet'!$B$11,Paramètres!$A$1:$I$89,3,0)*VLOOKUP('Données projet'!$B$11,Paramètres!$A$1:$I$89,5,0)</f>
        <v>151.78799999999998</v>
      </c>
      <c r="BF47" s="13">
        <f t="shared" si="37"/>
        <v>38.984634390835623</v>
      </c>
      <c r="BG47" s="20">
        <f t="shared" si="7"/>
        <v>332.26233823070532</v>
      </c>
      <c r="BH47" s="59">
        <f t="shared" si="8"/>
        <v>583.1528069688427</v>
      </c>
      <c r="BI47" s="59">
        <f ca="1">AVERAGE(OFFSET($BH$3,0,0,'Données projet'!$E$11+1,1))-AVERAGE(OFFSET($H$3,0,0,'Données projet'!$E$11+1,1))</f>
        <v>215.37314197175104</v>
      </c>
      <c r="BJ47" s="59">
        <f t="shared" si="38"/>
        <v>361.17630426655978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27.818048294843624</v>
      </c>
      <c r="BQ47" s="21">
        <f>EXP(-LN(2)/25)*BQ46+(1-EXP(-LN(2)/25))/(LN(2)/25)*Calculateur!BL47*Calculateur!BN47*VLOOKUP('Données projet'!$B$11,Paramètres!$A$1:$I$89,3,0)*0.475*44/12</f>
        <v>65.145137153381555</v>
      </c>
      <c r="BR47" s="21">
        <f>EXP(-LN(2)/2)*BR46+(1-EXP(-LN(2)/2))/(LN(2)/2)*BL47*BO47*VLOOKUP('Données projet'!$B$11,Paramètres!$A$1:$I$89,3,0)*0.475*44/12</f>
        <v>1.9809227788449794E-4</v>
      </c>
      <c r="BS47" s="22">
        <f t="shared" si="9"/>
        <v>92.96338354050306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27.100000000000005</v>
      </c>
      <c r="BY47" s="12">
        <f>IF('Données projet'!$A$114&gt;35,BY46+BX47-CG46,IF(A47&lt;'Données projet'!$A$114,$BV$205^A47,IF(A47='Données projet'!$A$114,'Données projet'!$B$114,BY46+BX47-CG46)))</f>
        <v>547.32000000000005</v>
      </c>
      <c r="BZ47" s="13">
        <f>BY47*VLOOKUP('Données projet'!$B$12,Paramètres!$A$1:$I$89,3,0)*VLOOKUP('Données projet'!$B$12,Paramètres!$A$1:$I$89,5,0)</f>
        <v>305.95188000000007</v>
      </c>
      <c r="CA47" s="13">
        <f t="shared" si="39"/>
        <v>72.422775940029837</v>
      </c>
      <c r="CB47" s="20">
        <f t="shared" si="10"/>
        <v>659.00252576221885</v>
      </c>
      <c r="CC47" s="59">
        <f t="shared" si="11"/>
        <v>909.89299450035628</v>
      </c>
      <c r="CD47" s="59">
        <f ca="1">AVERAGE(OFFSET($CC$3,0,0,'Données projet'!$E$12+1,1))-AVERAGE(OFFSET($H$3,0,0,'Données projet'!$E$12+1,1))</f>
        <v>420.4890915162182</v>
      </c>
      <c r="CE47" s="59">
        <f t="shared" si="40"/>
        <v>553.48432338023565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65.665517024994699</v>
      </c>
      <c r="CL47" s="21">
        <f>EXP(-LN(2)/25)*CL46+(1-EXP(-LN(2)/25))/(LN(2)/25)*Calculateur!CG47*Calculateur!CI47*VLOOKUP('Données projet'!$B$12,Paramètres!$A$1:$I$89,3,0)*0.475*44/12</f>
        <v>34.302602907950799</v>
      </c>
      <c r="CM47" s="21">
        <f>EXP(-LN(2)/2)*CM46+(1-EXP(-LN(2)/2))/(LN(2)/2)*CG47*CJ47*VLOOKUP('Données projet'!$B$12,Paramètres!$A$1:$I$89,3,0)*0.475*44/12</f>
        <v>5.7806291333032198E-3</v>
      </c>
      <c r="CN47" s="22">
        <f t="shared" si="12"/>
        <v>99.973900562078796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268.59999999999991</v>
      </c>
      <c r="CU47" s="17">
        <f>CT47*VLOOKUP('Données projet'!$B$13,Paramètres!$A$1:$I$89,3,0)*VLOOKUP('Données projet'!$B$13,Paramètres!$A$1:$I$89,5,0)</f>
        <v>196.93751999999992</v>
      </c>
      <c r="CV47" s="13">
        <f t="shared" si="41"/>
        <v>49.070524066369494</v>
      </c>
      <c r="CW47" s="20">
        <f t="shared" si="13"/>
        <v>428.46401008226007</v>
      </c>
      <c r="CX47" s="59">
        <f t="shared" si="14"/>
        <v>679.3544788203975</v>
      </c>
      <c r="CY47" s="59">
        <f ca="1">AVERAGE(OFFSET($CX$3,0,0,'Données projet'!$E$13+1,1))-AVERAGE(OFFSET($H$3,0,0,'Données projet'!$E$13+1,1))</f>
        <v>400.48995908576177</v>
      </c>
      <c r="CZ47" s="59">
        <f t="shared" si="42"/>
        <v>384.86917865380076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25.12777571316855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25.12777571316855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11.4</v>
      </c>
      <c r="DO47" s="12">
        <f>IF('Données projet'!$A$166&gt;35,DO46+DN47-DW46,IF(A47&lt;'Données projet'!$A$166,$DL$205^A47,IF(A47='Données projet'!$A$166,'Données projet'!$B$166,DO46+DN47-DW46)))</f>
        <v>268.59999999999991</v>
      </c>
      <c r="DP47" s="17">
        <f>DO47*VLOOKUP('Données projet'!$B$14,Paramètres!$A$1:$I$89,3,0)*VLOOKUP('Données projet'!$B$14,Paramètres!$A$1:$I$89,5,0)</f>
        <v>213.69815999999994</v>
      </c>
      <c r="DQ47" s="13">
        <f t="shared" si="43"/>
        <v>52.742903801874164</v>
      </c>
      <c r="DR47" s="20">
        <f t="shared" si="16"/>
        <v>464.05151945493071</v>
      </c>
      <c r="DS47" s="59">
        <f t="shared" si="17"/>
        <v>714.94198819306814</v>
      </c>
      <c r="DT47" s="59">
        <f ca="1">AVERAGE(OFFSET($DS$3,0,0,'Données projet'!$E$14+1,1))-AVERAGE(OFFSET($H$3,0,0,'Données projet'!$E$14+1,1))</f>
        <v>429.30603040255431</v>
      </c>
      <c r="DU47" s="59">
        <f t="shared" si="44"/>
        <v>412.18613903804726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33.607312099304608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33.607312099304608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147.43589743589743</v>
      </c>
      <c r="EH47" s="12">
        <f>VLOOKUP(A47,'Données projet'!$A$191:$I$211,9,0)</f>
        <v>7.1428571428571432</v>
      </c>
      <c r="EI47" s="12">
        <f t="array" ref="EI47">INDEX(EH:EH,MIN(IF(ISNUMBER(EH47:EH243),ROW(EH47:EH243),"")))</f>
        <v>7.1428571428571432</v>
      </c>
      <c r="EJ47" s="12">
        <f>IF('Données projet'!$A$192&gt;35,EJ46+EI47-ER46,IF(A47&lt;'Données projet'!$A$192,$EG$205^A47,IF(A47='Données projet'!$A$192,'Données projet'!$B$192,EJ46+EI47-ER46)))</f>
        <v>147.43589743589746</v>
      </c>
      <c r="EK47" s="17">
        <f>EJ47*VLOOKUP('Données projet'!$B$15,Paramètres!$A$1:$I$89,3,0)*VLOOKUP('Données projet'!$B$15,Paramètres!$A$1:$I$89,5,0)</f>
        <v>115.00000000000003</v>
      </c>
      <c r="EL47" s="13">
        <f t="shared" si="45"/>
        <v>30.505958604729159</v>
      </c>
      <c r="EM47" s="20">
        <f t="shared" si="19"/>
        <v>253.42287790323667</v>
      </c>
      <c r="EN47" s="59">
        <f t="shared" si="20"/>
        <v>504.3133466413741</v>
      </c>
      <c r="EO47" s="59">
        <f ca="1">AVERAGE(OFFSET($EN$3,0,0,'Données projet'!$E$15+1,1))-AVERAGE(OFFSET($H$3,0,0,'Données projet'!$E$15+1,1))</f>
        <v>217.53602321474159</v>
      </c>
      <c r="EP47" s="59">
        <f t="shared" si="46"/>
        <v>215.75909414893025</v>
      </c>
      <c r="EQ47" s="15">
        <f>IF(ISNA(VLOOKUP(A47,'Données projet'!$A$191:$I$211,3,0)),0,VLOOKUP(A47,'Données projet'!$A$191:$I$211,3,0))</f>
        <v>6</v>
      </c>
      <c r="ER47" s="15">
        <f>IF(ISNA(VLOOKUP(A47,'Données projet'!$A$191:$I$211,4,0)),0,VLOOKUP(A47,'Données projet'!$A$191:$I$211,4,0))</f>
        <v>27.564102564102562</v>
      </c>
      <c r="ES47" s="16">
        <f>IF(ISNA(VLOOKUP(A47,'Données projet'!$A$191:$I$211,5,0)),0%,VLOOKUP(A47,'Données projet'!$A$191:$I$211,5,0)*VLOOKUP('Données projet'!$B$15,Paramètres!$A$1:$I$89,7,0))</f>
        <v>0.43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24.282994920301345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24.282994920301345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13.059999999999999</v>
      </c>
      <c r="FE47" s="12">
        <f>IF('Données projet'!$A$218&gt;35,FE46+FD47-FM46,IF(A47&lt;'Données projet'!$A$218,$FB$205^A47,IF(A47='Données projet'!$A$218,'Données projet'!$B$218,FE46+FD47-FM46)))</f>
        <v>200.65000000000006</v>
      </c>
      <c r="FF47" s="17">
        <f>FE47*VLOOKUP('Données projet'!$B$16,Paramètres!$A$1:$I$89,3,0)*VLOOKUP('Données projet'!$B$16,Paramètres!$A$1:$I$89,5,0)</f>
        <v>134.59602000000004</v>
      </c>
      <c r="FG47" s="13">
        <f t="shared" si="47"/>
        <v>35.056207649810915</v>
      </c>
      <c r="FH47" s="20">
        <f t="shared" si="22"/>
        <v>295.47762982342073</v>
      </c>
      <c r="FI47" s="59">
        <f t="shared" si="23"/>
        <v>546.3680985615581</v>
      </c>
      <c r="FJ47" s="59">
        <f ca="1">AVERAGE(OFFSET($FI$3,0,0,'Données projet'!$E$16+1,1))-AVERAGE(OFFSET($H$3,0,0,'Données projet'!$E$16+1,1))</f>
        <v>441.20130048888439</v>
      </c>
      <c r="FK47" s="59">
        <f t="shared" si="48"/>
        <v>237.47732532183946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40.440273406405673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40.440273406405673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6.4</v>
      </c>
      <c r="FZ47" s="12">
        <f>IF('Données projet'!$A$244&gt;35,FZ46+FY47-GH46,IF(A47&lt;'Données projet'!$A$244,$FW$205^A47,IF(A47='Données projet'!$A$244,'Données projet'!$B$244,FZ46+FY47-GH46)))</f>
        <v>170.6</v>
      </c>
      <c r="GA47" s="17">
        <f>FZ47*VLOOKUP('Données projet'!$B$17,Paramètres!$A$1:$I$89,3,0)*VLOOKUP('Données projet'!$B$17,Paramètres!$A$1:$I$89,5,0)</f>
        <v>111.77712000000001</v>
      </c>
      <c r="GB47" s="13">
        <f t="shared" si="49"/>
        <v>29.749296563258223</v>
      </c>
      <c r="GC47" s="20">
        <f t="shared" si="25"/>
        <v>246.49184218100808</v>
      </c>
      <c r="GD47" s="59">
        <f t="shared" si="26"/>
        <v>497.38231091914554</v>
      </c>
      <c r="GE47" s="59">
        <f ca="1">AVERAGE(OFFSET($GD$3,0,0,'Données projet'!$E$17+1,1))-AVERAGE(OFFSET($H$3,0,0,'Données projet'!$E$17+1,1))</f>
        <v>257.66104339896992</v>
      </c>
      <c r="GF47" s="59">
        <f t="shared" si="50"/>
        <v>254.79488636184996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11.80276520933478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11.80276520933478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6</v>
      </c>
      <c r="GU47" s="12">
        <f>IF('Données projet'!$A$270&gt;35,GU46+GT47-HC46,IF(A47&lt;'Données projet'!$A$270,$GR$205^A47,IF(A47='Données projet'!$A$270,'Données projet'!$B$270,GU46+GT47-HC46)))</f>
        <v>149.99999999999997</v>
      </c>
      <c r="GV47" s="17">
        <f>GU47*VLOOKUP('Données projet'!$B$18,Paramètres!$A$1:$I$89,3,0)*VLOOKUP('Données projet'!$B$18,Paramètres!$A$1:$I$89,5,0)</f>
        <v>121.67999999999998</v>
      </c>
      <c r="GW47" s="13">
        <f t="shared" si="51"/>
        <v>32.066514091456256</v>
      </c>
      <c r="GX47" s="20">
        <f t="shared" si="28"/>
        <v>267.77517870928619</v>
      </c>
      <c r="GY47" s="59">
        <f t="shared" si="29"/>
        <v>518.66564744742368</v>
      </c>
      <c r="GZ47" s="59">
        <f ca="1">AVERAGE(OFFSET($GY$3,0,0,'Données projet'!$E$18+1,1))-AVERAGE(OFFSET($H$3,0,0,'Données projet'!$E$18+1,1))</f>
        <v>299.98377156721153</v>
      </c>
      <c r="HA47" s="59">
        <f t="shared" si="52"/>
        <v>241.36164657721102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8.5029290292160979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8.5029290292160979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13.059999999999999</v>
      </c>
      <c r="N48" s="13">
        <f>IF('Données projet'!$A$36&gt;35,N47+M48-V47,IF(A48&lt;'Données projet'!$A$36,$K$205^A48,IF(A48='Données projet'!$A$36,'Données projet'!$B$36,N47+M48-V47)))</f>
        <v>213.71000000000006</v>
      </c>
      <c r="O48" s="13">
        <f>N48*VLOOKUP('Données projet'!$B$9,Paramètres!$A$1:$I$89,3,0)*VLOOKUP('Données projet'!$B$9,Paramètres!$A$1:$I$89,5,0)</f>
        <v>193.36480800000007</v>
      </c>
      <c r="P48" s="13">
        <f t="shared" si="33"/>
        <v>48.283102387258864</v>
      </c>
      <c r="Q48" s="20">
        <f t="shared" si="53"/>
        <v>420.87011059114269</v>
      </c>
      <c r="R48" s="59">
        <f t="shared" si="0"/>
        <v>672.49686814197685</v>
      </c>
      <c r="S48" s="59">
        <f ca="1">AVERAGE(OFFSET($R$3,0,0,'Données projet'!$E$9+1,1))-AVERAGE(OFFSET($H$3,0,0,'Données projet'!$E$9+1,1))</f>
        <v>567.42635821507474</v>
      </c>
      <c r="T48" s="59">
        <f t="shared" si="34"/>
        <v>299.04735309930152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43.387572264908691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43.387572264908691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241</v>
      </c>
      <c r="AG48" s="12">
        <f>VLOOKUP(A48,'Données projet'!$A$61:$I$81,9,0)</f>
        <v>13.8</v>
      </c>
      <c r="AH48" s="12">
        <f t="array" ref="AH48">INDEX(AG:AG,MIN(IF(ISNUMBER(AG48:AG244),ROW(AG48:AG244),"")))</f>
        <v>13.8</v>
      </c>
      <c r="AI48" s="13">
        <f>IF('Données projet'!$A$62&gt;35,AI47+AH48-AQ47,IF(A48&lt;'Données projet'!$A$62,$AF$205^A48,IF(A48='Données projet'!$A$62,'Données projet'!$B$62,AI47+AH48-AQ47)))</f>
        <v>241.00000000000014</v>
      </c>
      <c r="AJ48" s="13">
        <f>AI48*VLOOKUP('Données projet'!$B$10,Paramètres!$A$1:$I$89,3,0)*VLOOKUP('Données projet'!$B$10,Paramètres!$A$1:$I$89,5,0)</f>
        <v>206.77800000000016</v>
      </c>
      <c r="AK48" s="13">
        <f t="shared" si="35"/>
        <v>51.230865296361145</v>
      </c>
      <c r="AL48" s="20">
        <f t="shared" si="4"/>
        <v>449.36544039116256</v>
      </c>
      <c r="AM48" s="59">
        <f t="shared" si="5"/>
        <v>700.99219794199666</v>
      </c>
      <c r="AN48" s="59">
        <f ca="1">AVERAGE(OFFSET($AM$3,0,0,'Données projet'!$E$10+1,1))-AVERAGE(OFFSET($H$3,0,0,'Données projet'!$E$10+1,1))</f>
        <v>569.97793593332699</v>
      </c>
      <c r="AO48" s="59">
        <f t="shared" si="36"/>
        <v>331.25104323342907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35</v>
      </c>
      <c r="AR48" s="16">
        <f>IF(ISNA(VLOOKUP(A48,'Données projet'!$A$61:$I$81,5,0)),0%,VLOOKUP(A48,'Données projet'!$A$61:$I$81,5,0)*VLOOKUP('Données projet'!$B$10,Paramètres!$A$1:$I$89,7,0))</f>
        <v>0.53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47.96379812857036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47.96379812857036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277.99999999999994</v>
      </c>
      <c r="BE48" s="13">
        <f>BD48*VLOOKUP('Données projet'!$B$11,Paramètres!$A$1:$I$89,3,0)*VLOOKUP('Données projet'!$B$11,Paramètres!$A$1:$I$89,5,0)</f>
        <v>151.78799999999998</v>
      </c>
      <c r="BF48" s="13">
        <f t="shared" si="37"/>
        <v>38.984634390835623</v>
      </c>
      <c r="BG48" s="20">
        <f t="shared" si="7"/>
        <v>332.26233823070532</v>
      </c>
      <c r="BH48" s="59">
        <f t="shared" si="8"/>
        <v>583.88909578153948</v>
      </c>
      <c r="BI48" s="59">
        <f ca="1">AVERAGE(OFFSET($BH$3,0,0,'Données projet'!$E$11+1,1))-AVERAGE(OFFSET($H$3,0,0,'Données projet'!$E$11+1,1))</f>
        <v>215.37314197175104</v>
      </c>
      <c r="BJ48" s="59">
        <f t="shared" si="38"/>
        <v>361.17630426655978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27.272553335115816</v>
      </c>
      <c r="BQ48" s="21">
        <f>EXP(-LN(2)/25)*BQ47+(1-EXP(-LN(2)/25))/(LN(2)/25)*Calculateur!BL48*Calculateur!BN48*VLOOKUP('Données projet'!$B$11,Paramètres!$A$1:$I$89,3,0)*0.475*44/12</f>
        <v>63.363739952088466</v>
      </c>
      <c r="BR48" s="21">
        <f>EXP(-LN(2)/2)*BR47+(1-EXP(-LN(2)/2))/(LN(2)/2)*BL48*BO48*VLOOKUP('Données projet'!$B$11,Paramètres!$A$1:$I$89,3,0)*0.475*44/12</f>
        <v>1.4007239299281845E-4</v>
      </c>
      <c r="BS48" s="22">
        <f t="shared" si="9"/>
        <v>90.636433359597277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27.100000000000005</v>
      </c>
      <c r="BY48" s="12">
        <f>IF('Données projet'!$A$114&gt;35,BY47+BX48-CG47,IF(A48&lt;'Données projet'!$A$114,$BV$205^A48,IF(A48='Données projet'!$A$114,'Données projet'!$B$114,BY47+BX48-CG47)))</f>
        <v>574.42000000000007</v>
      </c>
      <c r="BZ48" s="13">
        <f>BY48*VLOOKUP('Données projet'!$B$12,Paramètres!$A$1:$I$89,3,0)*VLOOKUP('Données projet'!$B$12,Paramètres!$A$1:$I$89,5,0)</f>
        <v>321.10078000000004</v>
      </c>
      <c r="CA48" s="13">
        <f t="shared" si="39"/>
        <v>75.582346553628341</v>
      </c>
      <c r="CB48" s="20">
        <f t="shared" si="10"/>
        <v>690.88977874756938</v>
      </c>
      <c r="CC48" s="59">
        <f t="shared" si="11"/>
        <v>942.51653629840348</v>
      </c>
      <c r="CD48" s="59">
        <f ca="1">AVERAGE(OFFSET($CC$3,0,0,'Données projet'!$E$12+1,1))-AVERAGE(OFFSET($H$3,0,0,'Données projet'!$E$12+1,1))</f>
        <v>420.4890915162182</v>
      </c>
      <c r="CE48" s="59">
        <f t="shared" si="40"/>
        <v>553.48432338023565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64.377856288145125</v>
      </c>
      <c r="CL48" s="21">
        <f>EXP(-LN(2)/25)*CL47+(1-EXP(-LN(2)/25))/(LN(2)/25)*Calculateur!CG48*Calculateur!CI48*VLOOKUP('Données projet'!$B$12,Paramètres!$A$1:$I$89,3,0)*0.475*44/12</f>
        <v>33.3645964275374</v>
      </c>
      <c r="CM48" s="21">
        <f>EXP(-LN(2)/2)*CM47+(1-EXP(-LN(2)/2))/(LN(2)/2)*CG48*CJ48*VLOOKUP('Données projet'!$B$12,Paramètres!$A$1:$I$89,3,0)*0.475*44/12</f>
        <v>4.0875220596832216E-3</v>
      </c>
      <c r="CN48" s="22">
        <f t="shared" si="12"/>
        <v>97.746540237742209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280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279.99999999999989</v>
      </c>
      <c r="CU48" s="17">
        <f>CT48*VLOOKUP('Données projet'!$B$13,Paramètres!$A$1:$I$89,3,0)*VLOOKUP('Données projet'!$B$13,Paramètres!$A$1:$I$89,5,0)</f>
        <v>205.29599999999991</v>
      </c>
      <c r="CV48" s="13">
        <f t="shared" si="41"/>
        <v>50.906291934375353</v>
      </c>
      <c r="CW48" s="20">
        <f t="shared" si="13"/>
        <v>446.21899178570357</v>
      </c>
      <c r="CX48" s="59">
        <f t="shared" si="14"/>
        <v>697.84574933653766</v>
      </c>
      <c r="CY48" s="59">
        <f ca="1">AVERAGE(OFFSET($CX$3,0,0,'Données projet'!$E$13+1,1))-AVERAGE(OFFSET($H$3,0,0,'Données projet'!$E$13+1,1))</f>
        <v>400.48995908576177</v>
      </c>
      <c r="CZ48" s="59">
        <f t="shared" si="42"/>
        <v>384.86917865380076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33.69677062168153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33.69677062168153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280</v>
      </c>
      <c r="DM48" s="12">
        <f>VLOOKUP(A48,'Données projet'!$A$165:$I$185,9,0)</f>
        <v>11.4</v>
      </c>
      <c r="DN48" s="12">
        <f t="array" ref="DN48">INDEX(DM:DM,MIN(IF(ISNUMBER(DM48:DM244),ROW(DM48:DM244),"")))</f>
        <v>11.4</v>
      </c>
      <c r="DO48" s="12">
        <f>IF('Données projet'!$A$166&gt;35,DO47+DN48-DW47,IF(A48&lt;'Données projet'!$A$166,$DL$205^A48,IF(A48='Données projet'!$A$166,'Données projet'!$B$166,DO47+DN48-DW47)))</f>
        <v>279.99999999999989</v>
      </c>
      <c r="DP48" s="17">
        <f>DO48*VLOOKUP('Données projet'!$B$14,Paramètres!$A$1:$I$89,3,0)*VLOOKUP('Données projet'!$B$14,Paramètres!$A$1:$I$89,5,0)</f>
        <v>222.76799999999994</v>
      </c>
      <c r="DQ48" s="13">
        <f t="shared" si="43"/>
        <v>54.716058356609508</v>
      </c>
      <c r="DR48" s="20">
        <f t="shared" si="16"/>
        <v>483.28473497109485</v>
      </c>
      <c r="DS48" s="59">
        <f t="shared" si="17"/>
        <v>734.91149252192895</v>
      </c>
      <c r="DT48" s="59">
        <f ca="1">AVERAGE(OFFSET($DS$3,0,0,'Données projet'!$E$14+1,1))-AVERAGE(OFFSET($H$3,0,0,'Données projet'!$E$14+1,1))</f>
        <v>429.30603040255431</v>
      </c>
      <c r="DU48" s="59">
        <f t="shared" si="44"/>
        <v>412.18613903804726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26</v>
      </c>
      <c r="DX48" s="16">
        <f>IF(ISNA(VLOOKUP(A48,'Données projet'!$A$165:$I$185,5,0)),0%,VLOOKUP(A48,'Données projet'!$A$165:$I$185,5,0)*VLOOKUP('Données projet'!$B$14,Paramètres!$A$1:$I$89,7,0))</f>
        <v>0.53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45.067971791392978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45.067971791392978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6.6506410256410255</v>
      </c>
      <c r="EJ48" s="12">
        <f>IF('Données projet'!$A$192&gt;35,EJ47+EI48-ER47,IF(A48&lt;'Données projet'!$A$192,$EG$205^A48,IF(A48='Données projet'!$A$192,'Données projet'!$B$192,EJ47+EI48-ER47)))</f>
        <v>126.52243589743591</v>
      </c>
      <c r="EK48" s="17">
        <f>EJ48*VLOOKUP('Données projet'!$B$15,Paramètres!$A$1:$I$89,3,0)*VLOOKUP('Données projet'!$B$15,Paramètres!$A$1:$I$89,5,0)</f>
        <v>98.687500000000014</v>
      </c>
      <c r="EL48" s="13">
        <f t="shared" si="45"/>
        <v>26.649072495226527</v>
      </c>
      <c r="EM48" s="20">
        <f t="shared" si="19"/>
        <v>218.29453042918621</v>
      </c>
      <c r="EN48" s="59">
        <f t="shared" si="20"/>
        <v>469.92128798002034</v>
      </c>
      <c r="EO48" s="59">
        <f ca="1">AVERAGE(OFFSET($EN$3,0,0,'Données projet'!$E$15+1,1))-AVERAGE(OFFSET($H$3,0,0,'Données projet'!$E$15+1,1))</f>
        <v>217.53602321474159</v>
      </c>
      <c r="EP48" s="59">
        <f t="shared" si="46"/>
        <v>215.75909414893025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23.806820201078654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23.806820201078654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13.059999999999999</v>
      </c>
      <c r="FE48" s="12">
        <f>IF('Données projet'!$A$218&gt;35,FE47+FD48-FM47,IF(A48&lt;'Données projet'!$A$218,$FB$205^A48,IF(A48='Données projet'!$A$218,'Données projet'!$B$218,FE47+FD48-FM47)))</f>
        <v>213.71000000000006</v>
      </c>
      <c r="FF48" s="17">
        <f>FE48*VLOOKUP('Données projet'!$B$16,Paramètres!$A$1:$I$89,3,0)*VLOOKUP('Données projet'!$B$16,Paramètres!$A$1:$I$89,5,0)</f>
        <v>143.35666800000004</v>
      </c>
      <c r="FG48" s="13">
        <f t="shared" si="47"/>
        <v>37.064907426290667</v>
      </c>
      <c r="FH48" s="20">
        <f t="shared" si="22"/>
        <v>314.23424386745631</v>
      </c>
      <c r="FI48" s="59">
        <f t="shared" si="23"/>
        <v>565.86100141829047</v>
      </c>
      <c r="FJ48" s="59">
        <f ca="1">AVERAGE(OFFSET($FI$3,0,0,'Données projet'!$E$16+1,1))-AVERAGE(OFFSET($H$3,0,0,'Données projet'!$E$16+1,1))</f>
        <v>441.20130048888439</v>
      </c>
      <c r="FK48" s="59">
        <f t="shared" si="48"/>
        <v>237.47732532183946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39.647264311037254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39.647264311037254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177</v>
      </c>
      <c r="FX48" s="12">
        <f>VLOOKUP(A48,'Données projet'!$A$243:$I$263,9,0)</f>
        <v>6.4</v>
      </c>
      <c r="FY48" s="12">
        <f t="array" ref="FY48">INDEX(FX:FX,MIN(IF(ISNUMBER(FX48:FX244),ROW(FX48:FX244),"")))</f>
        <v>6.4</v>
      </c>
      <c r="FZ48" s="12">
        <f>IF('Données projet'!$A$244&gt;35,FZ47+FY48-GH47,IF(A48&lt;'Données projet'!$A$244,$FW$205^A48,IF(A48='Données projet'!$A$244,'Données projet'!$B$244,FZ47+FY48-GH47)))</f>
        <v>177</v>
      </c>
      <c r="GA48" s="17">
        <f>FZ48*VLOOKUP('Données projet'!$B$17,Paramètres!$A$1:$I$89,3,0)*VLOOKUP('Données projet'!$B$17,Paramètres!$A$1:$I$89,5,0)</f>
        <v>115.97040000000001</v>
      </c>
      <c r="GB48" s="13">
        <f t="shared" si="49"/>
        <v>30.733301120222794</v>
      </c>
      <c r="GC48" s="20">
        <f t="shared" si="25"/>
        <v>255.50894611772139</v>
      </c>
      <c r="GD48" s="59">
        <f t="shared" si="26"/>
        <v>507.13570366855549</v>
      </c>
      <c r="GE48" s="59">
        <f ca="1">AVERAGE(OFFSET($GD$3,0,0,'Données projet'!$E$17+1,1))-AVERAGE(OFFSET($H$3,0,0,'Données projet'!$E$17+1,1))</f>
        <v>257.66104339896992</v>
      </c>
      <c r="GF48" s="59">
        <f t="shared" si="50"/>
        <v>254.79488636184996</v>
      </c>
      <c r="GG48" s="15">
        <f>IF(ISNA(VLOOKUP(A48,'Données projet'!$A$243:$I$263,3,0)),0,VLOOKUP(A48,'Données projet'!$A$243:$I$263,3,0))</f>
        <v>8</v>
      </c>
      <c r="GH48" s="15">
        <f>IF(ISNA(VLOOKUP(A48,'Données projet'!$A$243:$I$263,4,0)),0,VLOOKUP(A48,'Données projet'!$A$243:$I$263,4,0))</f>
        <v>22</v>
      </c>
      <c r="GI48" s="16">
        <f>IF(ISNA(VLOOKUP(A48,'Données projet'!$A$243:$I$263,5,0)),0%,VLOOKUP(A48,'Données projet'!$A$243:$I$263,5,0)*VLOOKUP('Données projet'!$B$17,Paramètres!$A$1:$I$89,7,0))</f>
        <v>0.43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18.423237845213759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18.423237845213759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156</v>
      </c>
      <c r="GS48" s="12">
        <f>VLOOKUP(A48,'Données projet'!$A$269:$I$289,9,0)</f>
        <v>6</v>
      </c>
      <c r="GT48" s="12">
        <f t="array" ref="GT48">INDEX(GS:GS,MIN(IF(ISNUMBER(GS48:GS244),ROW(GS48:GS244),"")))</f>
        <v>6</v>
      </c>
      <c r="GU48" s="12">
        <f>IF('Données projet'!$A$270&gt;35,GU47+GT48-HC47,IF(A48&lt;'Données projet'!$A$270,$GR$205^A48,IF(A48='Données projet'!$A$270,'Données projet'!$B$270,GU47+GT48-HC47)))</f>
        <v>155.99999999999997</v>
      </c>
      <c r="GV48" s="17">
        <f>GU48*VLOOKUP('Données projet'!$B$18,Paramètres!$A$1:$I$89,3,0)*VLOOKUP('Données projet'!$B$18,Paramètres!$A$1:$I$89,5,0)</f>
        <v>126.54719999999999</v>
      </c>
      <c r="GW48" s="13">
        <f t="shared" si="51"/>
        <v>33.19727296936243</v>
      </c>
      <c r="GX48" s="20">
        <f t="shared" si="28"/>
        <v>278.22162375497288</v>
      </c>
      <c r="GY48" s="59">
        <f t="shared" si="29"/>
        <v>529.84838130580704</v>
      </c>
      <c r="GZ48" s="59">
        <f ca="1">AVERAGE(OFFSET($GY$3,0,0,'Données projet'!$E$18+1,1))-AVERAGE(OFFSET($H$3,0,0,'Données projet'!$E$18+1,1))</f>
        <v>299.98377156721153</v>
      </c>
      <c r="HA48" s="59">
        <f t="shared" si="52"/>
        <v>241.36164657721102</v>
      </c>
      <c r="HB48" s="15">
        <f>IF(ISNA(VLOOKUP(A48,'Données projet'!$A$269:$I$289,3,0)),0,VLOOKUP(A48,'Données projet'!$A$269:$I$289,3,0))</f>
        <v>6</v>
      </c>
      <c r="HC48" s="15">
        <f>IF(ISNA(VLOOKUP(A48,'Données projet'!$A$269:$I$289,4,0)),0,VLOOKUP(A48,'Données projet'!$A$269:$I$289,4,0))</f>
        <v>14</v>
      </c>
      <c r="HD48" s="16">
        <f>IF(ISNA(VLOOKUP(A48,'Données projet'!$A$269:$I$289,5,0)),0%,VLOOKUP(A48,'Données projet'!$A$269:$I$289,5,0)*VLOOKUP('Données projet'!$B$18,Paramètres!$A$1:$I$89,7,0))</f>
        <v>0.43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13.734672359928094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13.734672359928094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13.059999999999999</v>
      </c>
      <c r="N49" s="13">
        <f>IF('Données projet'!$A$36&gt;35,N48+M49-V48,IF(A49&lt;'Données projet'!$A$36,$K$205^A49,IF(A49='Données projet'!$A$36,'Données projet'!$B$36,N48+M49-V48)))</f>
        <v>226.77000000000007</v>
      </c>
      <c r="O49" s="13">
        <f>N49*VLOOKUP('Données projet'!$B$9,Paramètres!$A$1:$I$89,3,0)*VLOOKUP('Données projet'!$B$9,Paramètres!$A$1:$I$89,5,0)</f>
        <v>205.18149600000007</v>
      </c>
      <c r="P49" s="13">
        <f t="shared" si="33"/>
        <v>50.88120304468918</v>
      </c>
      <c r="Q49" s="20">
        <f t="shared" si="53"/>
        <v>445.97586750283375</v>
      </c>
      <c r="R49" s="59">
        <f t="shared" si="0"/>
        <v>698.32614090155937</v>
      </c>
      <c r="S49" s="59">
        <f ca="1">AVERAGE(OFFSET($R$3,0,0,'Données projet'!$E$9+1,1))-AVERAGE(OFFSET($H$3,0,0,'Données projet'!$E$9+1,1))</f>
        <v>567.42635821507474</v>
      </c>
      <c r="T49" s="59">
        <f t="shared" si="34"/>
        <v>299.04735309930152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42.536768436599829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42.536768436599829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13.6</v>
      </c>
      <c r="AI49" s="13">
        <f>IF('Données projet'!$A$62&gt;35,AI48+AH49-AQ48,IF(A49&lt;'Données projet'!$A$62,$AF$205^A49,IF(A49='Données projet'!$A$62,'Données projet'!$B$62,AI48+AH49-AQ48)))</f>
        <v>219.60000000000014</v>
      </c>
      <c r="AJ49" s="13">
        <f>AI49*VLOOKUP('Données projet'!$B$10,Paramètres!$A$1:$I$89,3,0)*VLOOKUP('Données projet'!$B$10,Paramètres!$A$1:$I$89,5,0)</f>
        <v>188.41680000000014</v>
      </c>
      <c r="AK49" s="13">
        <f t="shared" si="35"/>
        <v>47.189759534268717</v>
      </c>
      <c r="AL49" s="20">
        <f t="shared" si="4"/>
        <v>410.34809118885158</v>
      </c>
      <c r="AM49" s="59">
        <f t="shared" si="5"/>
        <v>662.6983645875772</v>
      </c>
      <c r="AN49" s="59">
        <f ca="1">AVERAGE(OFFSET($AM$3,0,0,'Données projet'!$E$10+1,1))-AVERAGE(OFFSET($H$3,0,0,'Données projet'!$E$10+1,1))</f>
        <v>569.97793593332699</v>
      </c>
      <c r="AO49" s="59">
        <f t="shared" si="36"/>
        <v>331.25104323342907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47.02325730229726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47.02325730229726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277.99999999999994</v>
      </c>
      <c r="BE49" s="13">
        <f>BD49*VLOOKUP('Données projet'!$B$11,Paramètres!$A$1:$I$89,3,0)*VLOOKUP('Données projet'!$B$11,Paramètres!$A$1:$I$89,5,0)</f>
        <v>151.78799999999998</v>
      </c>
      <c r="BF49" s="13">
        <f t="shared" si="37"/>
        <v>38.984634390835623</v>
      </c>
      <c r="BG49" s="20">
        <f t="shared" si="7"/>
        <v>332.26233823070532</v>
      </c>
      <c r="BH49" s="59">
        <f t="shared" si="8"/>
        <v>584.61261162943094</v>
      </c>
      <c r="BI49" s="59">
        <f ca="1">AVERAGE(OFFSET($BH$3,0,0,'Données projet'!$E$11+1,1))-AVERAGE(OFFSET($H$3,0,0,'Données projet'!$E$11+1,1))</f>
        <v>215.37314197175104</v>
      </c>
      <c r="BJ49" s="59">
        <f t="shared" si="38"/>
        <v>361.17630426655978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26.737755198829198</v>
      </c>
      <c r="BQ49" s="21">
        <f>EXP(-LN(2)/25)*BQ48+(1-EXP(-LN(2)/25))/(LN(2)/25)*Calculateur!BL49*Calculateur!BN49*VLOOKUP('Données projet'!$B$11,Paramètres!$A$1:$I$89,3,0)*0.475*44/12</f>
        <v>61.631055150944341</v>
      </c>
      <c r="BR49" s="21">
        <f>EXP(-LN(2)/2)*BR48+(1-EXP(-LN(2)/2))/(LN(2)/2)*BL49*BO49*VLOOKUP('Données projet'!$B$11,Paramètres!$A$1:$I$89,3,0)*0.475*44/12</f>
        <v>9.9046138942248969E-5</v>
      </c>
      <c r="BS49" s="22">
        <f t="shared" si="9"/>
        <v>88.368909395912482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27.100000000000005</v>
      </c>
      <c r="BY49" s="12">
        <f>IF('Données projet'!$A$114&gt;35,BY48+BX49-CG48,IF(A49&lt;'Données projet'!$A$114,$BV$205^A49,IF(A49='Données projet'!$A$114,'Données projet'!$B$114,BY48+BX49-CG48)))</f>
        <v>601.5200000000001</v>
      </c>
      <c r="BZ49" s="13">
        <f>BY49*VLOOKUP('Données projet'!$B$12,Paramètres!$A$1:$I$89,3,0)*VLOOKUP('Données projet'!$B$12,Paramètres!$A$1:$I$89,5,0)</f>
        <v>336.24968000000007</v>
      </c>
      <c r="CA49" s="13">
        <f t="shared" si="39"/>
        <v>78.724607090157278</v>
      </c>
      <c r="CB49" s="20">
        <f t="shared" si="10"/>
        <v>722.74688334869063</v>
      </c>
      <c r="CC49" s="59">
        <f t="shared" si="11"/>
        <v>975.09715674741631</v>
      </c>
      <c r="CD49" s="59">
        <f ca="1">AVERAGE(OFFSET($CC$3,0,0,'Données projet'!$E$12+1,1))-AVERAGE(OFFSET($H$3,0,0,'Données projet'!$E$12+1,1))</f>
        <v>420.4890915162182</v>
      </c>
      <c r="CE49" s="59">
        <f t="shared" si="40"/>
        <v>553.48432338023565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63.115445792949679</v>
      </c>
      <c r="CL49" s="21">
        <f>EXP(-LN(2)/25)*CL48+(1-EXP(-LN(2)/25))/(LN(2)/25)*Calculateur!CG49*Calculateur!CI49*VLOOKUP('Données projet'!$B$12,Paramètres!$A$1:$I$89,3,0)*0.475*44/12</f>
        <v>32.45223978365852</v>
      </c>
      <c r="CM49" s="21">
        <f>EXP(-LN(2)/2)*CM48+(1-EXP(-LN(2)/2))/(LN(2)/2)*CG49*CJ49*VLOOKUP('Données projet'!$B$12,Paramètres!$A$1:$I$89,3,0)*0.475*44/12</f>
        <v>2.8903145666516099E-3</v>
      </c>
      <c r="CN49" s="22">
        <f t="shared" si="12"/>
        <v>95.570575891174855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9.8000000000000007</v>
      </c>
      <c r="CT49" s="12">
        <f>IF('Données projet'!$A$140&gt;35,CT48+CS49-DB48,IF(A49&lt;'Données projet'!$A$140,$CQ$205^A49,IF(A49='Données projet'!$A$140,'Données projet'!$B$140,CT48+CS49-DB48)))</f>
        <v>263.7999999999999</v>
      </c>
      <c r="CU49" s="17">
        <f>CT49*VLOOKUP('Données projet'!$B$13,Paramètres!$A$1:$I$89,3,0)*VLOOKUP('Données projet'!$B$13,Paramètres!$A$1:$I$89,5,0)</f>
        <v>193.41815999999992</v>
      </c>
      <c r="CV49" s="13">
        <f t="shared" si="41"/>
        <v>48.294873490521283</v>
      </c>
      <c r="CW49" s="20">
        <f t="shared" si="13"/>
        <v>420.98353332932442</v>
      </c>
      <c r="CX49" s="59">
        <f t="shared" si="14"/>
        <v>673.33380672805004</v>
      </c>
      <c r="CY49" s="59">
        <f ca="1">AVERAGE(OFFSET($CX$3,0,0,'Données projet'!$E$13+1,1))-AVERAGE(OFFSET($H$3,0,0,'Données projet'!$E$13+1,1))</f>
        <v>400.48995908576177</v>
      </c>
      <c r="CZ49" s="59">
        <f t="shared" si="42"/>
        <v>384.86917865380076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33.035997502790991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33.035997502790991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9.8000000000000007</v>
      </c>
      <c r="DO49" s="12">
        <f>IF('Données projet'!$A$166&gt;35,DO48+DN49-DW48,IF(A49&lt;'Données projet'!$A$166,$DL$205^A49,IF(A49='Données projet'!$A$166,'Données projet'!$B$166,DO48+DN49-DW48)))</f>
        <v>263.7999999999999</v>
      </c>
      <c r="DP49" s="17">
        <f>DO49*VLOOKUP('Données projet'!$B$14,Paramètres!$A$1:$I$89,3,0)*VLOOKUP('Données projet'!$B$14,Paramètres!$A$1:$I$89,5,0)</f>
        <v>209.87927999999994</v>
      </c>
      <c r="DQ49" s="13">
        <f t="shared" si="43"/>
        <v>51.909204458241767</v>
      </c>
      <c r="DR49" s="20">
        <f t="shared" si="16"/>
        <v>455.94827709810426</v>
      </c>
      <c r="DS49" s="59">
        <f t="shared" si="17"/>
        <v>708.29855049682988</v>
      </c>
      <c r="DT49" s="59">
        <f ca="1">AVERAGE(OFFSET($DS$3,0,0,'Données projet'!$E$14+1,1))-AVERAGE(OFFSET($H$3,0,0,'Données projet'!$E$14+1,1))</f>
        <v>429.30603040255431</v>
      </c>
      <c r="DU49" s="59">
        <f t="shared" si="44"/>
        <v>412.18613903804726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44.184216353312266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44.184216353312266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6.6506410256410255</v>
      </c>
      <c r="EJ49" s="12">
        <f>IF('Données projet'!$A$192&gt;35,EJ48+EI49-ER48,IF(A49&lt;'Données projet'!$A$192,$EG$205^A49,IF(A49='Données projet'!$A$192,'Données projet'!$B$192,EJ48+EI49-ER48)))</f>
        <v>133.17307692307693</v>
      </c>
      <c r="EK49" s="17">
        <f>EJ49*VLOOKUP('Données projet'!$B$15,Paramètres!$A$1:$I$89,3,0)*VLOOKUP('Données projet'!$B$15,Paramètres!$A$1:$I$89,5,0)</f>
        <v>103.87500000000001</v>
      </c>
      <c r="EL49" s="13">
        <f t="shared" si="45"/>
        <v>27.883110316110333</v>
      </c>
      <c r="EM49" s="20">
        <f t="shared" si="19"/>
        <v>229.47870880055882</v>
      </c>
      <c r="EN49" s="59">
        <f t="shared" si="20"/>
        <v>481.8289821992845</v>
      </c>
      <c r="EO49" s="59">
        <f ca="1">AVERAGE(OFFSET($EN$3,0,0,'Données projet'!$E$15+1,1))-AVERAGE(OFFSET($H$3,0,0,'Données projet'!$E$15+1,1))</f>
        <v>217.53602321474159</v>
      </c>
      <c r="EP49" s="59">
        <f t="shared" si="46"/>
        <v>215.75909414893025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23.339982977662022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23.339982977662022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13.059999999999999</v>
      </c>
      <c r="FE49" s="12">
        <f>IF('Données projet'!$A$218&gt;35,FE48+FD49-FM48,IF(A49&lt;'Données projet'!$A$218,$FB$205^A49,IF(A49='Données projet'!$A$218,'Données projet'!$B$218,FE48+FD49-FM48)))</f>
        <v>226.77000000000007</v>
      </c>
      <c r="FF49" s="17">
        <f>FE49*VLOOKUP('Données projet'!$B$16,Paramètres!$A$1:$I$89,3,0)*VLOOKUP('Données projet'!$B$16,Paramètres!$A$1:$I$89,5,0)</f>
        <v>152.11731600000005</v>
      </c>
      <c r="FG49" s="13">
        <f t="shared" si="47"/>
        <v>39.059360052376498</v>
      </c>
      <c r="FH49" s="20">
        <f t="shared" si="22"/>
        <v>332.96604412455576</v>
      </c>
      <c r="FI49" s="59">
        <f t="shared" si="23"/>
        <v>585.31631752328144</v>
      </c>
      <c r="FJ49" s="59">
        <f ca="1">AVERAGE(OFFSET($FI$3,0,0,'Données projet'!$E$16+1,1))-AVERAGE(OFFSET($H$3,0,0,'Données projet'!$E$16+1,1))</f>
        <v>441.20130048888439</v>
      </c>
      <c r="FK49" s="59">
        <f t="shared" si="48"/>
        <v>237.47732532183946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38.869805640341227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38.869805640341227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5.8</v>
      </c>
      <c r="FZ49" s="12">
        <f>IF('Données projet'!$A$244&gt;35,FZ48+FY49-GH48,IF(A49&lt;'Données projet'!$A$244,$FW$205^A49,IF(A49='Données projet'!$A$244,'Données projet'!$B$244,FZ48+FY49-GH48)))</f>
        <v>160.80000000000001</v>
      </c>
      <c r="GA49" s="17">
        <f>FZ49*VLOOKUP('Données projet'!$B$17,Paramètres!$A$1:$I$89,3,0)*VLOOKUP('Données projet'!$B$17,Paramètres!$A$1:$I$89,5,0)</f>
        <v>105.35616</v>
      </c>
      <c r="GB49" s="13">
        <f t="shared" si="49"/>
        <v>28.234128165723941</v>
      </c>
      <c r="GC49" s="20">
        <f t="shared" si="25"/>
        <v>232.66975188863583</v>
      </c>
      <c r="GD49" s="59">
        <f t="shared" si="26"/>
        <v>485.02002528736148</v>
      </c>
      <c r="GE49" s="59">
        <f ca="1">AVERAGE(OFFSET($GD$3,0,0,'Données projet'!$E$17+1,1))-AVERAGE(OFFSET($H$3,0,0,'Données projet'!$E$17+1,1))</f>
        <v>257.66104339896992</v>
      </c>
      <c r="GF49" s="59">
        <f t="shared" si="50"/>
        <v>254.79488636184996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18.061969388134635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18.061969388134635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5.8</v>
      </c>
      <c r="GU49" s="12">
        <f>IF('Données projet'!$A$270&gt;35,GU48+GT49-HC48,IF(A49&lt;'Données projet'!$A$270,$GR$205^A49,IF(A49='Données projet'!$A$270,'Données projet'!$B$270,GU48+GT49-HC48)))</f>
        <v>147.79999999999998</v>
      </c>
      <c r="GV49" s="17">
        <f>GU49*VLOOKUP('Données projet'!$B$18,Paramètres!$A$1:$I$89,3,0)*VLOOKUP('Données projet'!$B$18,Paramètres!$A$1:$I$89,5,0)</f>
        <v>119.89536</v>
      </c>
      <c r="GW49" s="13">
        <f t="shared" si="51"/>
        <v>31.650592493512807</v>
      </c>
      <c r="GX49" s="20">
        <f t="shared" si="28"/>
        <v>263.94253392620141</v>
      </c>
      <c r="GY49" s="59">
        <f t="shared" si="29"/>
        <v>516.29280732492703</v>
      </c>
      <c r="GZ49" s="59">
        <f ca="1">AVERAGE(OFFSET($GY$3,0,0,'Données projet'!$E$18+1,1))-AVERAGE(OFFSET($H$3,0,0,'Données projet'!$E$18+1,1))</f>
        <v>299.98377156721153</v>
      </c>
      <c r="HA49" s="59">
        <f t="shared" si="52"/>
        <v>241.36164657721102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13.465343812272852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13.465343812272852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13.059999999999999</v>
      </c>
      <c r="N50" s="13">
        <f>IF('Données projet'!$A$36&gt;35,N49+M50-V49,IF(A50&lt;'Données projet'!$A$36,$K$205^A50,IF(A50='Données projet'!$A$36,'Données projet'!$B$36,N49+M50-V49)))</f>
        <v>239.83000000000007</v>
      </c>
      <c r="O50" s="13">
        <f>N50*VLOOKUP('Données projet'!$B$9,Paramètres!$A$1:$I$89,3,0)*VLOOKUP('Données projet'!$B$9,Paramètres!$A$1:$I$89,5,0)</f>
        <v>216.99818400000007</v>
      </c>
      <c r="P50" s="13">
        <f t="shared" si="33"/>
        <v>53.461935088977889</v>
      </c>
      <c r="Q50" s="20">
        <f t="shared" si="53"/>
        <v>471.05137407996989</v>
      </c>
      <c r="R50" s="59">
        <f t="shared" si="0"/>
        <v>724.11261194416534</v>
      </c>
      <c r="S50" s="59">
        <f ca="1">AVERAGE(OFFSET($R$3,0,0,'Données projet'!$E$9+1,1))-AVERAGE(OFFSET($H$3,0,0,'Données projet'!$E$9+1,1))</f>
        <v>567.42635821507474</v>
      </c>
      <c r="T50" s="59">
        <f t="shared" si="34"/>
        <v>299.04735309930152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41.702648352425008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41.702648352425008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13.6</v>
      </c>
      <c r="AI50" s="13">
        <f>IF('Données projet'!$A$62&gt;35,AI49+AH50-AQ49,IF(A50&lt;'Données projet'!$A$62,$AF$205^A50,IF(A50='Données projet'!$A$62,'Données projet'!$B$62,AI49+AH50-AQ49)))</f>
        <v>233.20000000000013</v>
      </c>
      <c r="AJ50" s="13">
        <f>AI50*VLOOKUP('Données projet'!$B$10,Paramètres!$A$1:$I$89,3,0)*VLOOKUP('Données projet'!$B$10,Paramètres!$A$1:$I$89,5,0)</f>
        <v>200.08560000000011</v>
      </c>
      <c r="AK50" s="13">
        <f t="shared" si="35"/>
        <v>49.762979545996977</v>
      </c>
      <c r="AL50" s="20">
        <f t="shared" si="4"/>
        <v>435.15294270927825</v>
      </c>
      <c r="AM50" s="59">
        <f t="shared" si="5"/>
        <v>688.21418057347364</v>
      </c>
      <c r="AN50" s="59">
        <f ca="1">AVERAGE(OFFSET($AM$3,0,0,'Données projet'!$E$10+1,1))-AVERAGE(OFFSET($H$3,0,0,'Données projet'!$E$10+1,1))</f>
        <v>569.97793593332699</v>
      </c>
      <c r="AO50" s="59">
        <f t="shared" si="36"/>
        <v>331.25104323342907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46.10115990795412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46.10115990795412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277.99999999999994</v>
      </c>
      <c r="BE50" s="13">
        <f>BD50*VLOOKUP('Données projet'!$B$11,Paramètres!$A$1:$I$89,3,0)*VLOOKUP('Données projet'!$B$11,Paramètres!$A$1:$I$89,5,0)</f>
        <v>151.78799999999998</v>
      </c>
      <c r="BF50" s="13">
        <f t="shared" si="37"/>
        <v>38.984634390835623</v>
      </c>
      <c r="BG50" s="20">
        <f t="shared" si="7"/>
        <v>332.26233823070532</v>
      </c>
      <c r="BH50" s="59">
        <f t="shared" si="8"/>
        <v>585.32357609490077</v>
      </c>
      <c r="BI50" s="59">
        <f ca="1">AVERAGE(OFFSET($BH$3,0,0,'Données projet'!$E$11+1,1))-AVERAGE(OFFSET($H$3,0,0,'Données projet'!$E$11+1,1))</f>
        <v>215.37314197175104</v>
      </c>
      <c r="BJ50" s="59">
        <f t="shared" si="38"/>
        <v>361.17630426655978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26.213444127800507</v>
      </c>
      <c r="BQ50" s="21">
        <f>EXP(-LN(2)/25)*BQ49+(1-EXP(-LN(2)/25))/(LN(2)/25)*Calculateur!BL50*Calculateur!BN50*VLOOKUP('Données projet'!$B$11,Paramètres!$A$1:$I$89,3,0)*0.475*44/12</f>
        <v>59.945750706805441</v>
      </c>
      <c r="BR50" s="21">
        <f>EXP(-LN(2)/2)*BR49+(1-EXP(-LN(2)/2))/(LN(2)/2)*BL50*BO50*VLOOKUP('Données projet'!$B$11,Paramètres!$A$1:$I$89,3,0)*0.475*44/12</f>
        <v>7.0036196496409223E-5</v>
      </c>
      <c r="BS50" s="22">
        <f t="shared" si="9"/>
        <v>86.159264870802446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27.100000000000005</v>
      </c>
      <c r="BY50" s="12">
        <f>IF('Données projet'!$A$114&gt;35,BY49+BX50-CG49,IF(A50&lt;'Données projet'!$A$114,$BV$205^A50,IF(A50='Données projet'!$A$114,'Données projet'!$B$114,BY49+BX50-CG49)))</f>
        <v>628.62000000000012</v>
      </c>
      <c r="BZ50" s="13">
        <f>BY50*VLOOKUP('Données projet'!$B$12,Paramètres!$A$1:$I$89,3,0)*VLOOKUP('Données projet'!$B$12,Paramètres!$A$1:$I$89,5,0)</f>
        <v>351.39858000000009</v>
      </c>
      <c r="CA50" s="13">
        <f t="shared" si="39"/>
        <v>81.850426510165747</v>
      </c>
      <c r="CB50" s="20">
        <f t="shared" si="10"/>
        <v>754.57535300520556</v>
      </c>
      <c r="CC50" s="59">
        <f t="shared" si="11"/>
        <v>1007.6365908694009</v>
      </c>
      <c r="CD50" s="59">
        <f ca="1">AVERAGE(OFFSET($CC$3,0,0,'Données projet'!$E$12+1,1))-AVERAGE(OFFSET($H$3,0,0,'Données projet'!$E$12+1,1))</f>
        <v>420.4890915162182</v>
      </c>
      <c r="CE50" s="59">
        <f t="shared" si="40"/>
        <v>553.48432338023565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61.877790397570642</v>
      </c>
      <c r="CL50" s="21">
        <f>EXP(-LN(2)/25)*CL49+(1-EXP(-LN(2)/25))/(LN(2)/25)*Calculateur!CG50*Calculateur!CI50*VLOOKUP('Données projet'!$B$12,Paramètres!$A$1:$I$89,3,0)*0.475*44/12</f>
        <v>31.56483158018526</v>
      </c>
      <c r="CM50" s="21">
        <f>EXP(-LN(2)/2)*CM49+(1-EXP(-LN(2)/2))/(LN(2)/2)*CG50*CJ50*VLOOKUP('Données projet'!$B$12,Paramètres!$A$1:$I$89,3,0)*0.475*44/12</f>
        <v>2.0437610298416108E-3</v>
      </c>
      <c r="CN50" s="22">
        <f t="shared" si="12"/>
        <v>93.444665738785744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9.8000000000000007</v>
      </c>
      <c r="CT50" s="12">
        <f>IF('Données projet'!$A$140&gt;35,CT49+CS50-DB49,IF(A50&lt;'Données projet'!$A$140,$CQ$205^A50,IF(A50='Données projet'!$A$140,'Données projet'!$B$140,CT49+CS50-DB49)))</f>
        <v>273.59999999999991</v>
      </c>
      <c r="CU50" s="17">
        <f>CT50*VLOOKUP('Données projet'!$B$13,Paramètres!$A$1:$I$89,3,0)*VLOOKUP('Données projet'!$B$13,Paramètres!$A$1:$I$89,5,0)</f>
        <v>200.60351999999995</v>
      </c>
      <c r="CV50" s="13">
        <f t="shared" si="41"/>
        <v>49.87677988675906</v>
      </c>
      <c r="CW50" s="20">
        <f t="shared" si="13"/>
        <v>436.25318896943855</v>
      </c>
      <c r="CX50" s="59">
        <f t="shared" si="14"/>
        <v>689.31442683363389</v>
      </c>
      <c r="CY50" s="59">
        <f ca="1">AVERAGE(OFFSET($CX$3,0,0,'Données projet'!$E$13+1,1))-AVERAGE(OFFSET($H$3,0,0,'Données projet'!$E$13+1,1))</f>
        <v>400.48995908576177</v>
      </c>
      <c r="CZ50" s="59">
        <f t="shared" si="42"/>
        <v>384.86917865380076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32.388181741730094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32.388181741730094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9.8000000000000007</v>
      </c>
      <c r="DO50" s="12">
        <f>IF('Données projet'!$A$166&gt;35,DO49+DN50-DW49,IF(A50&lt;'Données projet'!$A$166,$DL$205^A50,IF(A50='Données projet'!$A$166,'Données projet'!$B$166,DO49+DN50-DW49)))</f>
        <v>273.59999999999991</v>
      </c>
      <c r="DP50" s="17">
        <f>DO50*VLOOKUP('Données projet'!$B$14,Paramètres!$A$1:$I$89,3,0)*VLOOKUP('Données projet'!$B$14,Paramètres!$A$1:$I$89,5,0)</f>
        <v>217.67615999999992</v>
      </c>
      <c r="DQ50" s="13">
        <f t="shared" si="43"/>
        <v>53.609498850196708</v>
      </c>
      <c r="DR50" s="20">
        <f t="shared" si="16"/>
        <v>472.48918916409235</v>
      </c>
      <c r="DS50" s="59">
        <f t="shared" si="17"/>
        <v>725.55042702828769</v>
      </c>
      <c r="DT50" s="59">
        <f ca="1">AVERAGE(OFFSET($DS$3,0,0,'Données projet'!$E$14+1,1))-AVERAGE(OFFSET($H$3,0,0,'Données projet'!$E$14+1,1))</f>
        <v>429.30603040255431</v>
      </c>
      <c r="DU50" s="59">
        <f t="shared" si="44"/>
        <v>412.18613903804726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43.317790820334722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43.317790820334722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6.6506410256410255</v>
      </c>
      <c r="EJ50" s="12">
        <f>IF('Données projet'!$A$192&gt;35,EJ49+EI50-ER49,IF(A50&lt;'Données projet'!$A$192,$EG$205^A50,IF(A50='Données projet'!$A$192,'Données projet'!$B$192,EJ49+EI50-ER49)))</f>
        <v>139.82371794871796</v>
      </c>
      <c r="EK50" s="17">
        <f>EJ50*VLOOKUP('Données projet'!$B$15,Paramètres!$A$1:$I$89,3,0)*VLOOKUP('Données projet'!$B$15,Paramètres!$A$1:$I$89,5,0)</f>
        <v>109.06250000000001</v>
      </c>
      <c r="EL50" s="13">
        <f t="shared" si="45"/>
        <v>29.10999234861896</v>
      </c>
      <c r="EM50" s="20">
        <f t="shared" si="19"/>
        <v>240.6504241738447</v>
      </c>
      <c r="EN50" s="59">
        <f t="shared" si="20"/>
        <v>493.71166203804012</v>
      </c>
      <c r="EO50" s="59">
        <f ca="1">AVERAGE(OFFSET($EN$3,0,0,'Données projet'!$E$15+1,1))-AVERAGE(OFFSET($H$3,0,0,'Données projet'!$E$15+1,1))</f>
        <v>217.53602321474159</v>
      </c>
      <c r="EP50" s="59">
        <f t="shared" si="46"/>
        <v>215.75909414893025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22.882300147454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22.882300147454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13.059999999999999</v>
      </c>
      <c r="FE50" s="12">
        <f>IF('Données projet'!$A$218&gt;35,FE49+FD50-FM49,IF(A50&lt;'Données projet'!$A$218,$FB$205^A50,IF(A50='Données projet'!$A$218,'Données projet'!$B$218,FE49+FD50-FM49)))</f>
        <v>239.83000000000007</v>
      </c>
      <c r="FF50" s="17">
        <f>FE50*VLOOKUP('Données projet'!$B$16,Paramètres!$A$1:$I$89,3,0)*VLOOKUP('Données projet'!$B$16,Paramètres!$A$1:$I$89,5,0)</f>
        <v>160.87796400000005</v>
      </c>
      <c r="FG50" s="13">
        <f t="shared" si="47"/>
        <v>41.040479524493612</v>
      </c>
      <c r="FH50" s="20">
        <f t="shared" si="22"/>
        <v>351.67462247182647</v>
      </c>
      <c r="FI50" s="59">
        <f t="shared" si="23"/>
        <v>604.73586033602191</v>
      </c>
      <c r="FJ50" s="59">
        <f ca="1">AVERAGE(OFFSET($FI$3,0,0,'Données projet'!$E$16+1,1))-AVERAGE(OFFSET($H$3,0,0,'Données projet'!$E$16+1,1))</f>
        <v>441.20130048888439</v>
      </c>
      <c r="FK50" s="59">
        <f t="shared" si="48"/>
        <v>237.47732532183946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38.107592459974583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38.107592459974583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5.8</v>
      </c>
      <c r="FZ50" s="12">
        <f>IF('Données projet'!$A$244&gt;35,FZ49+FY50-GH49,IF(A50&lt;'Données projet'!$A$244,$FW$205^A50,IF(A50='Données projet'!$A$244,'Données projet'!$B$244,FZ49+FY50-GH49)))</f>
        <v>166.60000000000002</v>
      </c>
      <c r="GA50" s="17">
        <f>FZ50*VLOOKUP('Données projet'!$B$17,Paramètres!$A$1:$I$89,3,0)*VLOOKUP('Données projet'!$B$17,Paramètres!$A$1:$I$89,5,0)</f>
        <v>109.15632000000002</v>
      </c>
      <c r="GB50" s="13">
        <f t="shared" si="49"/>
        <v>29.13211799879036</v>
      </c>
      <c r="GC50" s="20">
        <f t="shared" si="25"/>
        <v>240.85236284789323</v>
      </c>
      <c r="GD50" s="59">
        <f t="shared" si="26"/>
        <v>493.91360071208862</v>
      </c>
      <c r="GE50" s="59">
        <f ca="1">AVERAGE(OFFSET($GD$3,0,0,'Données projet'!$E$17+1,1))-AVERAGE(OFFSET($H$3,0,0,'Données projet'!$E$17+1,1))</f>
        <v>257.66104339896992</v>
      </c>
      <c r="GF50" s="59">
        <f t="shared" si="50"/>
        <v>254.79488636184996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17.707785185146832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17.707785185146832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5.8</v>
      </c>
      <c r="GU50" s="12">
        <f>IF('Données projet'!$A$270&gt;35,GU49+GT50-HC49,IF(A50&lt;'Données projet'!$A$270,$GR$205^A50,IF(A50='Données projet'!$A$270,'Données projet'!$B$270,GU49+GT50-HC49)))</f>
        <v>153.6</v>
      </c>
      <c r="GV50" s="17">
        <f>GU50*VLOOKUP('Données projet'!$B$18,Paramètres!$A$1:$I$89,3,0)*VLOOKUP('Données projet'!$B$18,Paramètres!$A$1:$I$89,5,0)</f>
        <v>124.60032000000001</v>
      </c>
      <c r="GW50" s="13">
        <f t="shared" si="51"/>
        <v>32.745587947600931</v>
      </c>
      <c r="GX50" s="20">
        <f t="shared" si="28"/>
        <v>274.04412300873832</v>
      </c>
      <c r="GY50" s="59">
        <f t="shared" si="29"/>
        <v>527.10536087293372</v>
      </c>
      <c r="GZ50" s="59">
        <f ca="1">AVERAGE(OFFSET($GY$3,0,0,'Données projet'!$E$18+1,1))-AVERAGE(OFFSET($H$3,0,0,'Données projet'!$E$18+1,1))</f>
        <v>299.98377156721153</v>
      </c>
      <c r="HA50" s="59">
        <f t="shared" si="52"/>
        <v>241.36164657721102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13.201296633162936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13.201296633162936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252.89</v>
      </c>
      <c r="L51" s="12">
        <f>VLOOKUP(A51,'Données projet'!$A$35:$I$55,9,0)</f>
        <v>13.059999999999999</v>
      </c>
      <c r="M51" s="12">
        <f t="array" ref="M51">INDEX(L:L,MIN(IF(ISNUMBER(L51:L247),ROW(L51:L247),"")))</f>
        <v>13.059999999999999</v>
      </c>
      <c r="N51" s="13">
        <f>IF('Données projet'!$A$36&gt;35,N50+M51-V50,IF(A51&lt;'Données projet'!$A$36,$K$205^A51,IF(A51='Données projet'!$A$36,'Données projet'!$B$36,N50+M51-V50)))</f>
        <v>252.89000000000007</v>
      </c>
      <c r="O51" s="13">
        <f>N51*VLOOKUP('Données projet'!$B$9,Paramètres!$A$1:$I$89,3,0)*VLOOKUP('Données projet'!$B$9,Paramètres!$A$1:$I$89,5,0)</f>
        <v>228.81487200000004</v>
      </c>
      <c r="P51" s="13">
        <f t="shared" si="33"/>
        <v>56.026352154237983</v>
      </c>
      <c r="Q51" s="20">
        <f t="shared" si="53"/>
        <v>496.09846540196457</v>
      </c>
      <c r="R51" s="59">
        <f t="shared" si="0"/>
        <v>749.85833408763233</v>
      </c>
      <c r="S51" s="59">
        <f ca="1">AVERAGE(OFFSET($R$3,0,0,'Données projet'!$E$9+1,1))-AVERAGE(OFFSET($H$3,0,0,'Données projet'!$E$9+1,1))</f>
        <v>567.42635821507474</v>
      </c>
      <c r="T51" s="59">
        <f t="shared" si="34"/>
        <v>299.04735309930152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61.12</v>
      </c>
      <c r="W51" s="16">
        <f>IF(ISNA(VLOOKUP(A51,'Données projet'!$A$35:$I$55,5,0)),0%,VLOOKUP(A51,'Données projet'!$A$35:$I$55,5,0)*VLOOKUP('Données projet'!$B$9,Paramètres!$A$1:$I$89,7,0))</f>
        <v>0.43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67.172519093966031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67.172519093966031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13.6</v>
      </c>
      <c r="AI51" s="13">
        <f>IF('Données projet'!$A$62&gt;35,AI50+AH51-AQ50,IF(A51&lt;'Données projet'!$A$62,$AF$205^A51,IF(A51='Données projet'!$A$62,'Données projet'!$B$62,AI50+AH51-AQ50)))</f>
        <v>246.80000000000013</v>
      </c>
      <c r="AJ51" s="13">
        <f>AI51*VLOOKUP('Données projet'!$B$10,Paramètres!$A$1:$I$89,3,0)*VLOOKUP('Données projet'!$B$10,Paramètres!$A$1:$I$89,5,0)</f>
        <v>211.75440000000012</v>
      </c>
      <c r="AK51" s="13">
        <f t="shared" si="35"/>
        <v>52.318780408268793</v>
      </c>
      <c r="AL51" s="20">
        <f t="shared" si="4"/>
        <v>459.92745587773499</v>
      </c>
      <c r="AM51" s="59">
        <f t="shared" si="5"/>
        <v>713.68732456340263</v>
      </c>
      <c r="AN51" s="59">
        <f ca="1">AVERAGE(OFFSET($AM$3,0,0,'Données projet'!$E$10+1,1))-AVERAGE(OFFSET($H$3,0,0,'Données projet'!$E$10+1,1))</f>
        <v>569.97793593332699</v>
      </c>
      <c r="AO51" s="59">
        <f t="shared" si="36"/>
        <v>331.25104323342907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45.197144281090168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45.197144281090168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277.99999999999994</v>
      </c>
      <c r="BE51" s="13">
        <f>BD51*VLOOKUP('Données projet'!$B$11,Paramètres!$A$1:$I$89,3,0)*VLOOKUP('Données projet'!$B$11,Paramètres!$A$1:$I$89,5,0)</f>
        <v>151.78799999999998</v>
      </c>
      <c r="BF51" s="13">
        <f t="shared" si="37"/>
        <v>38.984634390835623</v>
      </c>
      <c r="BG51" s="20">
        <f t="shared" si="7"/>
        <v>332.26233823070532</v>
      </c>
      <c r="BH51" s="59">
        <f t="shared" si="8"/>
        <v>586.02220691637308</v>
      </c>
      <c r="BI51" s="59">
        <f ca="1">AVERAGE(OFFSET($BH$3,0,0,'Données projet'!$E$11+1,1))-AVERAGE(OFFSET($H$3,0,0,'Données projet'!$E$11+1,1))</f>
        <v>215.37314197175104</v>
      </c>
      <c r="BJ51" s="59">
        <f t="shared" si="38"/>
        <v>361.17630426655978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25.699414477076512</v>
      </c>
      <c r="BQ51" s="21">
        <f>EXP(-LN(2)/25)*BQ50+(1-EXP(-LN(2)/25))/(LN(2)/25)*Calculateur!BL51*Calculateur!BN51*VLOOKUP('Données projet'!$B$11,Paramètres!$A$1:$I$89,3,0)*0.475*44/12</f>
        <v>58.306531001317822</v>
      </c>
      <c r="BR51" s="21">
        <f>EXP(-LN(2)/2)*BR50+(1-EXP(-LN(2)/2))/(LN(2)/2)*BL51*BO51*VLOOKUP('Données projet'!$B$11,Paramètres!$A$1:$I$89,3,0)*0.475*44/12</f>
        <v>4.9523069471124484E-5</v>
      </c>
      <c r="BS51" s="22">
        <f t="shared" si="9"/>
        <v>84.005995001463816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655.72</v>
      </c>
      <c r="BW51" s="12">
        <f>VLOOKUP(A51,'Données projet'!$A$113:$I$133,9,0)</f>
        <v>27.100000000000005</v>
      </c>
      <c r="BX51" s="12">
        <f t="array" ref="BX51">INDEX(BW:BW,MIN(IF(ISNUMBER(BW51:BW247),ROW(BW51:BW247),"")))</f>
        <v>27.100000000000005</v>
      </c>
      <c r="BY51" s="12">
        <f>IF('Données projet'!$A$114&gt;35,BY50+BX51-CG50,IF(A51&lt;'Données projet'!$A$114,$BV$205^A51,IF(A51='Données projet'!$A$114,'Données projet'!$B$114,BY50+BX51-CG50)))</f>
        <v>655.72000000000014</v>
      </c>
      <c r="BZ51" s="13">
        <f>BY51*VLOOKUP('Données projet'!$B$12,Paramètres!$A$1:$I$89,3,0)*VLOOKUP('Données projet'!$B$12,Paramètres!$A$1:$I$89,5,0)</f>
        <v>366.54748000000012</v>
      </c>
      <c r="CA51" s="13">
        <f t="shared" si="39"/>
        <v>84.960594614663748</v>
      </c>
      <c r="CB51" s="20">
        <f t="shared" si="10"/>
        <v>786.3765632872063</v>
      </c>
      <c r="CC51" s="59">
        <f t="shared" si="11"/>
        <v>1040.1364319728741</v>
      </c>
      <c r="CD51" s="59">
        <f ca="1">AVERAGE(OFFSET($CC$3,0,0,'Données projet'!$E$12+1,1))-AVERAGE(OFFSET($H$3,0,0,'Données projet'!$E$12+1,1))</f>
        <v>420.4890915162182</v>
      </c>
      <c r="CE51" s="59">
        <f t="shared" si="40"/>
        <v>553.48432338023565</v>
      </c>
      <c r="CF51" s="15">
        <f>IF(ISNA(VLOOKUP(A51,'Données projet'!$A$113:$I$133,3,0)),0,VLOOKUP(A51,'Données projet'!$A$113:$I$133,3,0))</f>
        <v>6</v>
      </c>
      <c r="CG51" s="15">
        <f>IF(ISNA(VLOOKUP(A51,'Données projet'!$A$113:$I$133,4,0)),0,VLOOKUP(A51,'Données projet'!$A$113:$I$133,4,0))</f>
        <v>101.34</v>
      </c>
      <c r="CH51" s="16">
        <f>IF(ISNA(VLOOKUP(A51,'Données projet'!$A$113:$I$133,5,0)),0%,VLOOKUP(A51,'Données projet'!$A$113:$I$133,5,0)*VLOOKUP('Données projet'!$B$12,Paramètres!$A$1:$I$89,7,0))</f>
        <v>0.55000000000000004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101.99615085613375</v>
      </c>
      <c r="CL51" s="21">
        <f>EXP(-LN(2)/25)*CL50+(1-EXP(-LN(2)/25))/(LN(2)/25)*Calculateur!CG51*Calculateur!CI51*VLOOKUP('Données projet'!$B$12,Paramètres!$A$1:$I$89,3,0)*0.475*44/12</f>
        <v>30.701689600702743</v>
      </c>
      <c r="CM51" s="21">
        <f>EXP(-LN(2)/2)*CM50+(1-EXP(-LN(2)/2))/(LN(2)/2)*CG51*CJ51*VLOOKUP('Données projet'!$B$12,Paramètres!$A$1:$I$89,3,0)*0.475*44/12</f>
        <v>1.445157283325805E-3</v>
      </c>
      <c r="CN51" s="22">
        <f t="shared" si="12"/>
        <v>132.69928561411982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9.8000000000000007</v>
      </c>
      <c r="CT51" s="12">
        <f>IF('Données projet'!$A$140&gt;35,CT50+CS51-DB50,IF(A51&lt;'Données projet'!$A$140,$CQ$205^A51,IF(A51='Données projet'!$A$140,'Données projet'!$B$140,CT50+CS51-DB50)))</f>
        <v>283.39999999999992</v>
      </c>
      <c r="CU51" s="17">
        <f>CT51*VLOOKUP('Données projet'!$B$13,Paramètres!$A$1:$I$89,3,0)*VLOOKUP('Données projet'!$B$13,Paramètres!$A$1:$I$89,5,0)</f>
        <v>207.78887999999992</v>
      </c>
      <c r="CV51" s="13">
        <f t="shared" si="41"/>
        <v>51.452103086551489</v>
      </c>
      <c r="CW51" s="20">
        <f t="shared" si="13"/>
        <v>451.51137887574367</v>
      </c>
      <c r="CX51" s="59">
        <f t="shared" si="14"/>
        <v>705.27124756141143</v>
      </c>
      <c r="CY51" s="59">
        <f ca="1">AVERAGE(OFFSET($CX$3,0,0,'Données projet'!$E$13+1,1))-AVERAGE(OFFSET($H$3,0,0,'Données projet'!$E$13+1,1))</f>
        <v>400.48995908576177</v>
      </c>
      <c r="CZ51" s="59">
        <f t="shared" si="42"/>
        <v>384.86917865380076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31.753069252614999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31.753069252614999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9.8000000000000007</v>
      </c>
      <c r="DO51" s="12">
        <f>IF('Données projet'!$A$166&gt;35,DO50+DN51-DW50,IF(A51&lt;'Données projet'!$A$166,$DL$205^A51,IF(A51='Données projet'!$A$166,'Données projet'!$B$166,DO50+DN51-DW50)))</f>
        <v>283.39999999999992</v>
      </c>
      <c r="DP51" s="17">
        <f>DO51*VLOOKUP('Données projet'!$B$14,Paramètres!$A$1:$I$89,3,0)*VLOOKUP('Données projet'!$B$14,Paramètres!$A$1:$I$89,5,0)</f>
        <v>225.47303999999994</v>
      </c>
      <c r="DQ51" s="13">
        <f t="shared" si="43"/>
        <v>55.302717367103824</v>
      </c>
      <c r="DR51" s="20">
        <f t="shared" si="16"/>
        <v>489.0177774143724</v>
      </c>
      <c r="DS51" s="59">
        <f t="shared" si="17"/>
        <v>742.7776461000401</v>
      </c>
      <c r="DT51" s="59">
        <f ca="1">AVERAGE(OFFSET($DS$3,0,0,'Données projet'!$E$14+1,1))-AVERAGE(OFFSET($H$3,0,0,'Données projet'!$E$14+1,1))</f>
        <v>429.30603040255431</v>
      </c>
      <c r="DU51" s="59">
        <f t="shared" si="44"/>
        <v>412.18613903804726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42.468355363591478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42.468355363591478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6.6506410256410255</v>
      </c>
      <c r="EJ51" s="12">
        <f>IF('Données projet'!$A$192&gt;35,EJ50+EI51-ER50,IF(A51&lt;'Données projet'!$A$192,$EG$205^A51,IF(A51='Données projet'!$A$192,'Données projet'!$B$192,EJ50+EI51-ER50)))</f>
        <v>146.47435897435898</v>
      </c>
      <c r="EK51" s="17">
        <f>EJ51*VLOOKUP('Données projet'!$B$15,Paramètres!$A$1:$I$89,3,0)*VLOOKUP('Données projet'!$B$15,Paramètres!$A$1:$I$89,5,0)</f>
        <v>114.25</v>
      </c>
      <c r="EL51" s="13">
        <f t="shared" si="45"/>
        <v>30.330097814653229</v>
      </c>
      <c r="EM51" s="20">
        <f t="shared" si="19"/>
        <v>251.81033702718767</v>
      </c>
      <c r="EN51" s="59">
        <f t="shared" si="20"/>
        <v>505.57020571285534</v>
      </c>
      <c r="EO51" s="59">
        <f ca="1">AVERAGE(OFFSET($EN$3,0,0,'Données projet'!$E$15+1,1))-AVERAGE(OFFSET($H$3,0,0,'Données projet'!$E$15+1,1))</f>
        <v>217.53602321474159</v>
      </c>
      <c r="EP51" s="59">
        <f t="shared" si="46"/>
        <v>215.75909414893025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22.433592198387394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22.433592198387394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>
        <f>VLOOKUP(A51,'Données projet'!$A$217:$I$237,2,0)</f>
        <v>252.89</v>
      </c>
      <c r="FC51" s="12">
        <f>VLOOKUP(A51,'Données projet'!$A$217:$I$237,9,0)</f>
        <v>13.059999999999999</v>
      </c>
      <c r="FD51" s="12">
        <f t="array" ref="FD51">INDEX(FC:FC,MIN(IF(ISNUMBER(FC51:FC247),ROW(FC51:FC247),"")))</f>
        <v>13.059999999999999</v>
      </c>
      <c r="FE51" s="12">
        <f>IF('Données projet'!$A$218&gt;35,FE50+FD51-FM50,IF(A51&lt;'Données projet'!$A$218,$FB$205^A51,IF(A51='Données projet'!$A$218,'Données projet'!$B$218,FE50+FD51-FM50)))</f>
        <v>252.89000000000007</v>
      </c>
      <c r="FF51" s="17">
        <f>FE51*VLOOKUP('Données projet'!$B$16,Paramètres!$A$1:$I$89,3,0)*VLOOKUP('Données projet'!$B$16,Paramètres!$A$1:$I$89,5,0)</f>
        <v>169.63861200000005</v>
      </c>
      <c r="FG51" s="13">
        <f t="shared" si="47"/>
        <v>43.009074673245848</v>
      </c>
      <c r="FH51" s="20">
        <f t="shared" si="22"/>
        <v>370.36138762256996</v>
      </c>
      <c r="FI51" s="59">
        <f t="shared" si="23"/>
        <v>624.12125630823766</v>
      </c>
      <c r="FJ51" s="59">
        <f ca="1">AVERAGE(OFFSET($FI$3,0,0,'Données projet'!$E$16+1,1))-AVERAGE(OFFSET($H$3,0,0,'Données projet'!$E$16+1,1))</f>
        <v>441.20130048888439</v>
      </c>
      <c r="FK51" s="59">
        <f t="shared" si="48"/>
        <v>237.47732532183946</v>
      </c>
      <c r="FL51" s="15">
        <f>IF(ISNA(VLOOKUP(A51,'Données projet'!$A$217:$I$237,3,0)),0,VLOOKUP(A51,'Données projet'!$A$217:$I$237,3,0))</f>
        <v>3</v>
      </c>
      <c r="FM51" s="15">
        <f>IF(ISNA(VLOOKUP(A51,'Données projet'!$A$217:$I$237,4,0)),0,VLOOKUP(A51,'Données projet'!$A$217:$I$237,4,0))</f>
        <v>61.12</v>
      </c>
      <c r="FN51" s="16">
        <f>IF(ISNA(VLOOKUP(A51,'Données projet'!$A$217:$I$237,5,0)),0%,VLOOKUP(A51,'Données projet'!$A$217:$I$237,5,0)*VLOOKUP('Données projet'!$B$16,Paramètres!$A$1:$I$89,7,0))</f>
        <v>0.53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61.38178468931379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61.38178468931379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5.8</v>
      </c>
      <c r="FZ51" s="12">
        <f>IF('Données projet'!$A$244&gt;35,FZ50+FY51-GH50,IF(A51&lt;'Données projet'!$A$244,$FW$205^A51,IF(A51='Données projet'!$A$244,'Données projet'!$B$244,FZ50+FY51-GH50)))</f>
        <v>172.40000000000003</v>
      </c>
      <c r="GA51" s="17">
        <f>FZ51*VLOOKUP('Données projet'!$B$17,Paramètres!$A$1:$I$89,3,0)*VLOOKUP('Données projet'!$B$17,Paramètres!$A$1:$I$89,5,0)</f>
        <v>112.95648000000003</v>
      </c>
      <c r="GB51" s="13">
        <f t="shared" si="49"/>
        <v>30.026475458997034</v>
      </c>
      <c r="GC51" s="20">
        <f t="shared" si="25"/>
        <v>249.02864742441989</v>
      </c>
      <c r="GD51" s="59">
        <f t="shared" si="26"/>
        <v>502.78851611008758</v>
      </c>
      <c r="GE51" s="59">
        <f ca="1">AVERAGE(OFFSET($GD$3,0,0,'Données projet'!$E$17+1,1))-AVERAGE(OFFSET($H$3,0,0,'Données projet'!$E$17+1,1))</f>
        <v>257.66104339896992</v>
      </c>
      <c r="GF51" s="59">
        <f t="shared" si="50"/>
        <v>254.79488636184996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17.360546318348586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17.360546318348586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5.8</v>
      </c>
      <c r="GU51" s="12">
        <f>IF('Données projet'!$A$270&gt;35,GU50+GT51-HC50,IF(A51&lt;'Données projet'!$A$270,$GR$205^A51,IF(A51='Données projet'!$A$270,'Données projet'!$B$270,GU50+GT51-HC50)))</f>
        <v>159.4</v>
      </c>
      <c r="GV51" s="17">
        <f>GU51*VLOOKUP('Données projet'!$B$18,Paramètres!$A$1:$I$89,3,0)*VLOOKUP('Données projet'!$B$18,Paramètres!$A$1:$I$89,5,0)</f>
        <v>129.30528000000001</v>
      </c>
      <c r="GW51" s="13">
        <f t="shared" si="51"/>
        <v>33.835779910277751</v>
      </c>
      <c r="GX51" s="20">
        <f t="shared" si="28"/>
        <v>284.13734601040039</v>
      </c>
      <c r="GY51" s="59">
        <f t="shared" si="29"/>
        <v>537.89721469606809</v>
      </c>
      <c r="GZ51" s="59">
        <f ca="1">AVERAGE(OFFSET($GY$3,0,0,'Données projet'!$E$18+1,1))-AVERAGE(OFFSET($H$3,0,0,'Données projet'!$E$18+1,1))</f>
        <v>299.98377156721153</v>
      </c>
      <c r="HA51" s="59">
        <f t="shared" si="52"/>
        <v>241.36164657721102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12.942427258182489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12.942427258182489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12.271428571428576</v>
      </c>
      <c r="N52" s="13">
        <f>IF('Données projet'!$A$36&gt;35,N51+M52-V51,IF(A52&lt;'Données projet'!$A$36,$K$205^A52,IF(A52='Données projet'!$A$36,'Données projet'!$B$36,N51+M52-V51)))</f>
        <v>204.04142857142864</v>
      </c>
      <c r="O52" s="13">
        <f>N52*VLOOKUP('Données projet'!$B$9,Paramètres!$A$1:$I$89,3,0)*VLOOKUP('Données projet'!$B$9,Paramètres!$A$1:$I$89,5,0)</f>
        <v>184.61668457142864</v>
      </c>
      <c r="P52" s="13">
        <f t="shared" si="33"/>
        <v>46.347794643176734</v>
      </c>
      <c r="Q52" s="20">
        <f t="shared" si="53"/>
        <v>402.26313463210437</v>
      </c>
      <c r="R52" s="59">
        <f t="shared" si="0"/>
        <v>656.70951445639639</v>
      </c>
      <c r="S52" s="59">
        <f ca="1">AVERAGE(OFFSET($R$3,0,0,'Données projet'!$E$9+1,1))-AVERAGE(OFFSET($H$3,0,0,'Données projet'!$E$9+1,1))</f>
        <v>567.42635821507474</v>
      </c>
      <c r="T52" s="59">
        <f t="shared" si="34"/>
        <v>299.04735309930152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65.855306965724438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65.855306965724438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13.6</v>
      </c>
      <c r="AI52" s="13">
        <f>IF('Données projet'!$A$62&gt;35,AI51+AH52-AQ51,IF(A52&lt;'Données projet'!$A$62,$AF$205^A52,IF(A52='Données projet'!$A$62,'Données projet'!$B$62,AI51+AH52-AQ51)))</f>
        <v>260.40000000000015</v>
      </c>
      <c r="AJ52" s="13">
        <f>AI52*VLOOKUP('Données projet'!$B$10,Paramètres!$A$1:$I$89,3,0)*VLOOKUP('Données projet'!$B$10,Paramètres!$A$1:$I$89,5,0)</f>
        <v>223.42320000000015</v>
      </c>
      <c r="AK52" s="13">
        <f t="shared" si="35"/>
        <v>54.858231422257631</v>
      </c>
      <c r="AL52" s="20">
        <f t="shared" si="4"/>
        <v>484.67349306043229</v>
      </c>
      <c r="AM52" s="59">
        <f t="shared" si="5"/>
        <v>739.11987288472426</v>
      </c>
      <c r="AN52" s="59">
        <f ca="1">AVERAGE(OFFSET($AM$3,0,0,'Données projet'!$E$10+1,1))-AVERAGE(OFFSET($H$3,0,0,'Données projet'!$E$10+1,1))</f>
        <v>569.97793593332699</v>
      </c>
      <c r="AO52" s="59">
        <f t="shared" si="36"/>
        <v>331.25104323342907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44.310855849273935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44.310855849273935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277.99999999999994</v>
      </c>
      <c r="BE52" s="13">
        <f>BD52*VLOOKUP('Données projet'!$B$11,Paramètres!$A$1:$I$89,3,0)*VLOOKUP('Données projet'!$B$11,Paramètres!$A$1:$I$89,5,0)</f>
        <v>151.78799999999998</v>
      </c>
      <c r="BF52" s="13">
        <f t="shared" si="37"/>
        <v>38.984634390835623</v>
      </c>
      <c r="BG52" s="20">
        <f t="shared" si="7"/>
        <v>332.26233823070532</v>
      </c>
      <c r="BH52" s="59">
        <f t="shared" si="8"/>
        <v>586.70871805499723</v>
      </c>
      <c r="BI52" s="59">
        <f ca="1">AVERAGE(OFFSET($BH$3,0,0,'Données projet'!$E$11+1,1))-AVERAGE(OFFSET($H$3,0,0,'Données projet'!$E$11+1,1))</f>
        <v>215.37314197175104</v>
      </c>
      <c r="BJ52" s="59">
        <f t="shared" si="38"/>
        <v>361.17630426655978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25.195464634276085</v>
      </c>
      <c r="BQ52" s="21">
        <f>EXP(-LN(2)/25)*BQ51+(1-EXP(-LN(2)/25))/(LN(2)/25)*Calculateur!BL52*Calculateur!BN52*VLOOKUP('Données projet'!$B$11,Paramètres!$A$1:$I$89,3,0)*0.475*44/12</f>
        <v>56.712135844879583</v>
      </c>
      <c r="BR52" s="21">
        <f>EXP(-LN(2)/2)*BR51+(1-EXP(-LN(2)/2))/(LN(2)/2)*BL52*BO52*VLOOKUP('Données projet'!$B$11,Paramètres!$A$1:$I$89,3,0)*0.475*44/12</f>
        <v>3.5018098248204612E-5</v>
      </c>
      <c r="BS52" s="22">
        <f t="shared" si="9"/>
        <v>81.907635497253906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25.705000000000002</v>
      </c>
      <c r="BY52" s="12">
        <f>IF('Données projet'!$A$114&gt;35,BY51+BX52-CG51,IF(A52&lt;'Données projet'!$A$114,$BV$205^A52,IF(A52='Données projet'!$A$114,'Données projet'!$B$114,BY51+BX52-CG51)))</f>
        <v>580.08500000000015</v>
      </c>
      <c r="BZ52" s="13">
        <f>BY52*VLOOKUP('Données projet'!$B$12,Paramètres!$A$1:$I$89,3,0)*VLOOKUP('Données projet'!$B$12,Paramètres!$A$1:$I$89,5,0)</f>
        <v>324.26751500000012</v>
      </c>
      <c r="CA52" s="13">
        <f t="shared" si="39"/>
        <v>76.240607370612722</v>
      </c>
      <c r="CB52" s="20">
        <f t="shared" si="10"/>
        <v>697.55164646215064</v>
      </c>
      <c r="CC52" s="59">
        <f t="shared" si="11"/>
        <v>951.99802628644261</v>
      </c>
      <c r="CD52" s="59">
        <f ca="1">AVERAGE(OFFSET($CC$3,0,0,'Données projet'!$E$12+1,1))-AVERAGE(OFFSET($H$3,0,0,'Données projet'!$E$12+1,1))</f>
        <v>420.4890915162182</v>
      </c>
      <c r="CE52" s="59">
        <f t="shared" si="40"/>
        <v>553.48432338023565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99.996068549354121</v>
      </c>
      <c r="CL52" s="21">
        <f>EXP(-LN(2)/25)*CL51+(1-EXP(-LN(2)/25))/(LN(2)/25)*Calculateur!CG52*Calculateur!CI52*VLOOKUP('Données projet'!$B$12,Paramètres!$A$1:$I$89,3,0)*0.475*44/12</f>
        <v>29.862150284039839</v>
      </c>
      <c r="CM52" s="21">
        <f>EXP(-LN(2)/2)*CM51+(1-EXP(-LN(2)/2))/(LN(2)/2)*CG52*CJ52*VLOOKUP('Données projet'!$B$12,Paramètres!$A$1:$I$89,3,0)*0.475*44/12</f>
        <v>1.0218805149208054E-3</v>
      </c>
      <c r="CN52" s="22">
        <f t="shared" si="12"/>
        <v>129.85924071390886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9.8000000000000007</v>
      </c>
      <c r="CT52" s="12">
        <f>IF('Données projet'!$A$140&gt;35,CT51+CS52-DB51,IF(A52&lt;'Données projet'!$A$140,$CQ$205^A52,IF(A52='Données projet'!$A$140,'Données projet'!$B$140,CT51+CS52-DB51)))</f>
        <v>293.19999999999993</v>
      </c>
      <c r="CU52" s="17">
        <f>CT52*VLOOKUP('Données projet'!$B$13,Paramètres!$A$1:$I$89,3,0)*VLOOKUP('Données projet'!$B$13,Paramètres!$A$1:$I$89,5,0)</f>
        <v>214.97423999999995</v>
      </c>
      <c r="CV52" s="13">
        <f t="shared" si="41"/>
        <v>53.021096827639134</v>
      </c>
      <c r="CW52" s="20">
        <f t="shared" si="13"/>
        <v>466.75854497480481</v>
      </c>
      <c r="CX52" s="59">
        <f t="shared" si="14"/>
        <v>721.20492479909672</v>
      </c>
      <c r="CY52" s="59">
        <f ca="1">AVERAGE(OFFSET($CX$3,0,0,'Données projet'!$E$13+1,1))-AVERAGE(OFFSET($H$3,0,0,'Données projet'!$E$13+1,1))</f>
        <v>400.48995908576177</v>
      </c>
      <c r="CZ52" s="59">
        <f t="shared" si="42"/>
        <v>384.86917865380076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31.130410932031086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31.130410932031086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9.8000000000000007</v>
      </c>
      <c r="DO52" s="12">
        <f>IF('Données projet'!$A$166&gt;35,DO51+DN52-DW51,IF(A52&lt;'Données projet'!$A$166,$DL$205^A52,IF(A52='Données projet'!$A$166,'Données projet'!$B$166,DO51+DN52-DW51)))</f>
        <v>293.19999999999993</v>
      </c>
      <c r="DP52" s="17">
        <f>DO52*VLOOKUP('Données projet'!$B$14,Paramètres!$A$1:$I$89,3,0)*VLOOKUP('Données projet'!$B$14,Paramètres!$A$1:$I$89,5,0)</f>
        <v>233.26991999999993</v>
      </c>
      <c r="DQ52" s="13">
        <f t="shared" si="43"/>
        <v>56.989132736134763</v>
      </c>
      <c r="DR52" s="20">
        <f t="shared" si="16"/>
        <v>505.53451684876785</v>
      </c>
      <c r="DS52" s="59">
        <f t="shared" si="17"/>
        <v>759.98089667305976</v>
      </c>
      <c r="DT52" s="59">
        <f ca="1">AVERAGE(OFFSET($DS$3,0,0,'Données projet'!$E$14+1,1))-AVERAGE(OFFSET($H$3,0,0,'Données projet'!$E$14+1,1))</f>
        <v>429.30603040255431</v>
      </c>
      <c r="DU52" s="59">
        <f t="shared" si="44"/>
        <v>412.18613903804726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41.635576818050495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41.635576818050495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6.6506410256410255</v>
      </c>
      <c r="EJ52" s="12">
        <f>IF('Données projet'!$A$192&gt;35,EJ51+EI52-ER51,IF(A52&lt;'Données projet'!$A$192,$EG$205^A52,IF(A52='Données projet'!$A$192,'Données projet'!$B$192,EJ51+EI52-ER51)))</f>
        <v>153.125</v>
      </c>
      <c r="EK52" s="17">
        <f>EJ52*VLOOKUP('Données projet'!$B$15,Paramètres!$A$1:$I$89,3,0)*VLOOKUP('Données projet'!$B$15,Paramètres!$A$1:$I$89,5,0)</f>
        <v>119.4375</v>
      </c>
      <c r="EL52" s="13">
        <f t="shared" si="45"/>
        <v>31.5437695525004</v>
      </c>
      <c r="EM52" s="20">
        <f t="shared" si="19"/>
        <v>262.95904447060485</v>
      </c>
      <c r="EN52" s="59">
        <f t="shared" si="20"/>
        <v>517.40542429489687</v>
      </c>
      <c r="EO52" s="59">
        <f ca="1">AVERAGE(OFFSET($EN$3,0,0,'Données projet'!$E$15+1,1))-AVERAGE(OFFSET($H$3,0,0,'Données projet'!$E$15+1,1))</f>
        <v>217.53602321474159</v>
      </c>
      <c r="EP52" s="59">
        <f t="shared" si="46"/>
        <v>215.75909414893025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21.993683138517159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21.993683138517159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12.271428571428576</v>
      </c>
      <c r="FE52" s="12">
        <f>IF('Données projet'!$A$218&gt;35,FE51+FD52-FM51,IF(A52&lt;'Données projet'!$A$218,$FB$205^A52,IF(A52='Données projet'!$A$218,'Données projet'!$B$218,FE51+FD52-FM51)))</f>
        <v>204.04142857142864</v>
      </c>
      <c r="FF52" s="17">
        <f>FE52*VLOOKUP('Données projet'!$B$16,Paramètres!$A$1:$I$89,3,0)*VLOOKUP('Données projet'!$B$16,Paramètres!$A$1:$I$89,5,0)</f>
        <v>136.87099028571433</v>
      </c>
      <c r="FG52" s="13">
        <f t="shared" si="47"/>
        <v>35.579253049725239</v>
      </c>
      <c r="FH52" s="20">
        <f t="shared" si="22"/>
        <v>300.35084047589049</v>
      </c>
      <c r="FI52" s="59">
        <f t="shared" si="23"/>
        <v>554.79722030018252</v>
      </c>
      <c r="FJ52" s="59">
        <f ca="1">AVERAGE(OFFSET($FI$3,0,0,'Données projet'!$E$16+1,1))-AVERAGE(OFFSET($H$3,0,0,'Données projet'!$E$16+1,1))</f>
        <v>441.20130048888439</v>
      </c>
      <c r="FK52" s="59">
        <f t="shared" si="48"/>
        <v>237.47732532183946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60.178125330748195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60.178125330748195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5.8</v>
      </c>
      <c r="FZ52" s="12">
        <f>IF('Données projet'!$A$244&gt;35,FZ51+FY52-GH51,IF(A52&lt;'Données projet'!$A$244,$FW$205^A52,IF(A52='Données projet'!$A$244,'Données projet'!$B$244,FZ51+FY52-GH51)))</f>
        <v>178.20000000000005</v>
      </c>
      <c r="GA52" s="17">
        <f>FZ52*VLOOKUP('Données projet'!$B$17,Paramètres!$A$1:$I$89,3,0)*VLOOKUP('Données projet'!$B$17,Paramètres!$A$1:$I$89,5,0)</f>
        <v>116.75664000000003</v>
      </c>
      <c r="GB52" s="13">
        <f t="shared" si="49"/>
        <v>30.91733675897062</v>
      </c>
      <c r="GC52" s="20">
        <f t="shared" si="25"/>
        <v>257.19884285520715</v>
      </c>
      <c r="GD52" s="59">
        <f t="shared" si="26"/>
        <v>511.64522267949911</v>
      </c>
      <c r="GE52" s="59">
        <f ca="1">AVERAGE(OFFSET($GD$3,0,0,'Données projet'!$E$17+1,1))-AVERAGE(OFFSET($H$3,0,0,'Données projet'!$E$17+1,1))</f>
        <v>257.66104339896992</v>
      </c>
      <c r="GF52" s="59">
        <f t="shared" si="50"/>
        <v>254.79488636184996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17.020116593933459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17.020116593933459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5.8</v>
      </c>
      <c r="GU52" s="12">
        <f>IF('Données projet'!$A$270&gt;35,GU51+GT52-HC51,IF(A52&lt;'Données projet'!$A$270,$GR$205^A52,IF(A52='Données projet'!$A$270,'Données projet'!$B$270,GU51+GT52-HC51)))</f>
        <v>165.20000000000002</v>
      </c>
      <c r="GV52" s="17">
        <f>GU52*VLOOKUP('Données projet'!$B$18,Paramètres!$A$1:$I$89,3,0)*VLOOKUP('Données projet'!$B$18,Paramètres!$A$1:$I$89,5,0)</f>
        <v>134.01024000000001</v>
      </c>
      <c r="GW52" s="13">
        <f t="shared" si="51"/>
        <v>34.921363182969436</v>
      </c>
      <c r="GX52" s="20">
        <f t="shared" si="28"/>
        <v>294.22254221033842</v>
      </c>
      <c r="GY52" s="59">
        <f t="shared" si="29"/>
        <v>548.66892203463044</v>
      </c>
      <c r="GZ52" s="59">
        <f ca="1">AVERAGE(OFFSET($GY$3,0,0,'Données projet'!$E$18+1,1))-AVERAGE(OFFSET($H$3,0,0,'Données projet'!$E$18+1,1))</f>
        <v>299.98377156721153</v>
      </c>
      <c r="HA52" s="59">
        <f t="shared" si="52"/>
        <v>241.36164657721102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12.68863415375068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12.68863415375068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12.271428571428576</v>
      </c>
      <c r="N53" s="13">
        <f>IF('Données projet'!$A$36&gt;35,N52+M53-V52,IF(A53&lt;'Données projet'!$A$36,$K$205^A53,IF(A53='Données projet'!$A$36,'Données projet'!$B$36,N52+M53-V52)))</f>
        <v>216.31285714285721</v>
      </c>
      <c r="O53" s="13">
        <f>N53*VLOOKUP('Données projet'!$B$9,Paramètres!$A$1:$I$89,3,0)*VLOOKUP('Données projet'!$B$9,Paramètres!$A$1:$I$89,5,0)</f>
        <v>195.71987314285718</v>
      </c>
      <c r="P53" s="13">
        <f t="shared" si="33"/>
        <v>48.802344365335458</v>
      </c>
      <c r="Q53" s="20">
        <f t="shared" si="53"/>
        <v>425.87619549343549</v>
      </c>
      <c r="R53" s="59">
        <f t="shared" si="0"/>
        <v>680.99717702290559</v>
      </c>
      <c r="S53" s="59">
        <f ca="1">AVERAGE(OFFSET($R$3,0,0,'Données projet'!$E$9+1,1))-AVERAGE(OFFSET($H$3,0,0,'Données projet'!$E$9+1,1))</f>
        <v>567.42635821507474</v>
      </c>
      <c r="T53" s="59">
        <f t="shared" si="34"/>
        <v>299.04735309930152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64.563924563897586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64.563924563897586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274</v>
      </c>
      <c r="AG53" s="12">
        <f>VLOOKUP(A53,'Données projet'!$A$61:$I$81,9,0)</f>
        <v>13.6</v>
      </c>
      <c r="AH53" s="12">
        <f t="array" ref="AH53">INDEX(AG:AG,MIN(IF(ISNUMBER(AG53:AG249),ROW(AG53:AG249),"")))</f>
        <v>13.6</v>
      </c>
      <c r="AI53" s="13">
        <f>IF('Données projet'!$A$62&gt;35,AI52+AH53-AQ52,IF(A53&lt;'Données projet'!$A$62,$AF$205^A53,IF(A53='Données projet'!$A$62,'Données projet'!$B$62,AI52+AH53-AQ52)))</f>
        <v>274.00000000000017</v>
      </c>
      <c r="AJ53" s="13">
        <f>AI53*VLOOKUP('Données projet'!$B$10,Paramètres!$A$1:$I$89,3,0)*VLOOKUP('Données projet'!$B$10,Paramètres!$A$1:$I$89,5,0)</f>
        <v>235.09200000000016</v>
      </c>
      <c r="AK53" s="13">
        <f t="shared" si="35"/>
        <v>57.38228388709345</v>
      </c>
      <c r="AL53" s="20">
        <f t="shared" si="4"/>
        <v>509.39271110335471</v>
      </c>
      <c r="AM53" s="59">
        <f t="shared" si="5"/>
        <v>764.51369263282481</v>
      </c>
      <c r="AN53" s="59">
        <f ca="1">AVERAGE(OFFSET($AM$3,0,0,'Données projet'!$E$10+1,1))-AVERAGE(OFFSET($H$3,0,0,'Données projet'!$E$10+1,1))</f>
        <v>569.97793593332699</v>
      </c>
      <c r="AO53" s="59">
        <f t="shared" si="36"/>
        <v>331.25104323342907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35</v>
      </c>
      <c r="AR53" s="16">
        <f>IF(ISNA(VLOOKUP(A53,'Données projet'!$A$61:$I$81,5,0)),0%,VLOOKUP(A53,'Données projet'!$A$61:$I$81,5,0)*VLOOKUP('Données projet'!$B$10,Paramètres!$A$1:$I$89,7,0))</f>
        <v>0.53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61.036503006631534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61.036503006631534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277.99999999999994</v>
      </c>
      <c r="BE53" s="13">
        <f>BD53*VLOOKUP('Données projet'!$B$11,Paramètres!$A$1:$I$89,3,0)*VLOOKUP('Données projet'!$B$11,Paramètres!$A$1:$I$89,5,0)</f>
        <v>151.78799999999998</v>
      </c>
      <c r="BF53" s="13">
        <f t="shared" si="37"/>
        <v>38.984634390835623</v>
      </c>
      <c r="BG53" s="20">
        <f t="shared" si="7"/>
        <v>332.26233823070532</v>
      </c>
      <c r="BH53" s="59">
        <f t="shared" si="8"/>
        <v>587.38331976017548</v>
      </c>
      <c r="BI53" s="59">
        <f ca="1">AVERAGE(OFFSET($BH$3,0,0,'Données projet'!$E$11+1,1))-AVERAGE(OFFSET($H$3,0,0,'Données projet'!$E$11+1,1))</f>
        <v>215.37314197175104</v>
      </c>
      <c r="BJ53" s="59">
        <f t="shared" si="38"/>
        <v>361.17630426655978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24.701396940513924</v>
      </c>
      <c r="BQ53" s="21">
        <f>EXP(-LN(2)/25)*BQ52+(1-EXP(-LN(2)/25))/(LN(2)/25)*Calculateur!BL53*Calculateur!BN53*VLOOKUP('Données projet'!$B$11,Paramètres!$A$1:$I$89,3,0)*0.475*44/12</f>
        <v>55.161339507839742</v>
      </c>
      <c r="BR53" s="21">
        <f>EXP(-LN(2)/2)*BR52+(1-EXP(-LN(2)/2))/(LN(2)/2)*BL53*BO53*VLOOKUP('Données projet'!$B$11,Paramètres!$A$1:$I$89,3,0)*0.475*44/12</f>
        <v>2.4761534735562242E-5</v>
      </c>
      <c r="BS53" s="22">
        <f t="shared" si="9"/>
        <v>79.862761209888404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25.705000000000002</v>
      </c>
      <c r="BY53" s="12">
        <f>IF('Données projet'!$A$114&gt;35,BY52+BX53-CG52,IF(A53&lt;'Données projet'!$A$114,$BV$205^A53,IF(A53='Données projet'!$A$114,'Données projet'!$B$114,BY52+BX53-CG52)))</f>
        <v>605.79000000000019</v>
      </c>
      <c r="BZ53" s="13">
        <f>BY53*VLOOKUP('Données projet'!$B$12,Paramètres!$A$1:$I$89,3,0)*VLOOKUP('Données projet'!$B$12,Paramètres!$A$1:$I$89,5,0)</f>
        <v>338.63661000000013</v>
      </c>
      <c r="CA53" s="13">
        <f t="shared" si="39"/>
        <v>79.218195577662726</v>
      </c>
      <c r="CB53" s="20">
        <f t="shared" si="10"/>
        <v>727.76378638109611</v>
      </c>
      <c r="CC53" s="59">
        <f t="shared" si="11"/>
        <v>982.88476791056621</v>
      </c>
      <c r="CD53" s="59">
        <f ca="1">AVERAGE(OFFSET($CC$3,0,0,'Données projet'!$E$12+1,1))-AVERAGE(OFFSET($H$3,0,0,'Données projet'!$E$12+1,1))</f>
        <v>420.4890915162182</v>
      </c>
      <c r="CE53" s="59">
        <f t="shared" si="40"/>
        <v>553.48432338023565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98.035206636680684</v>
      </c>
      <c r="CL53" s="21">
        <f>EXP(-LN(2)/25)*CL52+(1-EXP(-LN(2)/25))/(LN(2)/25)*Calculateur!CG53*Calculateur!CI53*VLOOKUP('Données projet'!$B$12,Paramètres!$A$1:$I$89,3,0)*0.475*44/12</f>
        <v>29.045568214140538</v>
      </c>
      <c r="CM53" s="21">
        <f>EXP(-LN(2)/2)*CM52+(1-EXP(-LN(2)/2))/(LN(2)/2)*CG53*CJ53*VLOOKUP('Données projet'!$B$12,Paramètres!$A$1:$I$89,3,0)*0.475*44/12</f>
        <v>7.2257864166290248E-4</v>
      </c>
      <c r="CN53" s="22">
        <f t="shared" si="12"/>
        <v>127.08149742946289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303</v>
      </c>
      <c r="CR53" s="12">
        <f>VLOOKUP(A53,'Données projet'!$A$139:$I$159,9,0)</f>
        <v>9.8000000000000007</v>
      </c>
      <c r="CS53" s="12">
        <f t="array" ref="CS53">INDEX(CR:CR,MIN(IF(ISNUMBER(CR53:CR249),ROW(CR53:CR249),"")))</f>
        <v>9.8000000000000007</v>
      </c>
      <c r="CT53" s="12">
        <f>IF('Données projet'!$A$140&gt;35,CT52+CS53-DB52,IF(A53&lt;'Données projet'!$A$140,$CQ$205^A53,IF(A53='Données projet'!$A$140,'Données projet'!$B$140,CT52+CS53-DB52)))</f>
        <v>302.99999999999994</v>
      </c>
      <c r="CU53" s="17">
        <f>CT53*VLOOKUP('Données projet'!$B$13,Paramètres!$A$1:$I$89,3,0)*VLOOKUP('Données projet'!$B$13,Paramètres!$A$1:$I$89,5,0)</f>
        <v>222.15959999999995</v>
      </c>
      <c r="CV53" s="13">
        <f t="shared" si="41"/>
        <v>54.583996923291004</v>
      </c>
      <c r="CW53" s="20">
        <f t="shared" si="13"/>
        <v>481.99509797473166</v>
      </c>
      <c r="CX53" s="59">
        <f t="shared" si="14"/>
        <v>737.11607950420171</v>
      </c>
      <c r="CY53" s="59">
        <f ca="1">AVERAGE(OFFSET($CX$3,0,0,'Données projet'!$E$13+1,1))-AVERAGE(OFFSET($H$3,0,0,'Données projet'!$E$13+1,1))</f>
        <v>400.48995908576177</v>
      </c>
      <c r="CZ53" s="59">
        <f t="shared" si="42"/>
        <v>384.86917865380076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37.839056428259987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37.839056428259987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303</v>
      </c>
      <c r="DM53" s="12">
        <f>VLOOKUP(A53,'Données projet'!$A$165:$I$185,9,0)</f>
        <v>9.8000000000000007</v>
      </c>
      <c r="DN53" s="12">
        <f t="array" ref="DN53">INDEX(DM:DM,MIN(IF(ISNUMBER(DM53:DM249),ROW(DM53:DM249),"")))</f>
        <v>9.8000000000000007</v>
      </c>
      <c r="DO53" s="12">
        <f>IF('Données projet'!$A$166&gt;35,DO52+DN53-DW52,IF(A53&lt;'Données projet'!$A$166,$DL$205^A53,IF(A53='Données projet'!$A$166,'Données projet'!$B$166,DO52+DN53-DW52)))</f>
        <v>302.99999999999994</v>
      </c>
      <c r="DP53" s="17">
        <f>DO53*VLOOKUP('Données projet'!$B$14,Paramètres!$A$1:$I$89,3,0)*VLOOKUP('Données projet'!$B$14,Paramètres!$A$1:$I$89,5,0)</f>
        <v>241.06679999999997</v>
      </c>
      <c r="DQ53" s="13">
        <f t="shared" si="43"/>
        <v>58.668998418543559</v>
      </c>
      <c r="DR53" s="20">
        <f t="shared" si="16"/>
        <v>522.03984891229663</v>
      </c>
      <c r="DS53" s="59">
        <f t="shared" si="17"/>
        <v>777.16083044176673</v>
      </c>
      <c r="DT53" s="59">
        <f ca="1">AVERAGE(OFFSET($DS$3,0,0,'Données projet'!$E$14+1,1))-AVERAGE(OFFSET($H$3,0,0,'Données projet'!$E$14+1,1))</f>
        <v>429.30603040255431</v>
      </c>
      <c r="DU53" s="59">
        <f t="shared" si="44"/>
        <v>412.18613903804726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0.53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50.608099715777719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50.608099715777719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6.6506410256410255</v>
      </c>
      <c r="EJ53" s="12">
        <f>IF('Données projet'!$A$192&gt;35,EJ52+EI53-ER52,IF(A53&lt;'Données projet'!$A$192,$EG$205^A53,IF(A53='Données projet'!$A$192,'Données projet'!$B$192,EJ52+EI53-ER52)))</f>
        <v>159.77564102564102</v>
      </c>
      <c r="EK53" s="17">
        <f>EJ53*VLOOKUP('Données projet'!$B$15,Paramètres!$A$1:$I$89,3,0)*VLOOKUP('Données projet'!$B$15,Paramètres!$A$1:$I$89,5,0)</f>
        <v>124.625</v>
      </c>
      <c r="EL53" s="13">
        <f t="shared" si="45"/>
        <v>32.751318935498368</v>
      </c>
      <c r="EM53" s="20">
        <f t="shared" si="19"/>
        <v>274.09708881265965</v>
      </c>
      <c r="EN53" s="59">
        <f t="shared" si="20"/>
        <v>529.21807034212975</v>
      </c>
      <c r="EO53" s="59">
        <f ca="1">AVERAGE(OFFSET($EN$3,0,0,'Données projet'!$E$15+1,1))-AVERAGE(OFFSET($H$3,0,0,'Données projet'!$E$15+1,1))</f>
        <v>217.53602321474159</v>
      </c>
      <c r="EP53" s="59">
        <f t="shared" si="46"/>
        <v>215.75909414893025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21.562400426992948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21.562400426992948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12.271428571428576</v>
      </c>
      <c r="FE53" s="12">
        <f>IF('Données projet'!$A$218&gt;35,FE52+FD53-FM52,IF(A53&lt;'Données projet'!$A$218,$FB$205^A53,IF(A53='Données projet'!$A$218,'Données projet'!$B$218,FE52+FD53-FM52)))</f>
        <v>216.31285714285721</v>
      </c>
      <c r="FF53" s="17">
        <f>FE53*VLOOKUP('Données projet'!$B$16,Paramètres!$A$1:$I$89,3,0)*VLOOKUP('Données projet'!$B$16,Paramètres!$A$1:$I$89,5,0)</f>
        <v>145.10266457142862</v>
      </c>
      <c r="FG53" s="13">
        <f t="shared" si="47"/>
        <v>37.463507659036516</v>
      </c>
      <c r="FH53" s="20">
        <f t="shared" si="22"/>
        <v>317.96941663472677</v>
      </c>
      <c r="FI53" s="59">
        <f t="shared" si="23"/>
        <v>573.09039816419681</v>
      </c>
      <c r="FJ53" s="59">
        <f ca="1">AVERAGE(OFFSET($FI$3,0,0,'Données projet'!$E$16+1,1))-AVERAGE(OFFSET($H$3,0,0,'Données projet'!$E$16+1,1))</f>
        <v>441.20130048888439</v>
      </c>
      <c r="FK53" s="59">
        <f t="shared" si="48"/>
        <v>237.47732532183946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58.998068998044353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58.998068998044353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184</v>
      </c>
      <c r="FX53" s="12">
        <f>VLOOKUP(A53,'Données projet'!$A$243:$I$263,9,0)</f>
        <v>5.8</v>
      </c>
      <c r="FY53" s="12">
        <f t="array" ref="FY53">INDEX(FX:FX,MIN(IF(ISNUMBER(FX53:FX249),ROW(FX53:FX249),"")))</f>
        <v>5.8</v>
      </c>
      <c r="FZ53" s="12">
        <f>IF('Données projet'!$A$244&gt;35,FZ52+FY53-GH52,IF(A53&lt;'Données projet'!$A$244,$FW$205^A53,IF(A53='Données projet'!$A$244,'Données projet'!$B$244,FZ52+FY53-GH52)))</f>
        <v>184.00000000000006</v>
      </c>
      <c r="GA53" s="17">
        <f>FZ53*VLOOKUP('Données projet'!$B$17,Paramètres!$A$1:$I$89,3,0)*VLOOKUP('Données projet'!$B$17,Paramètres!$A$1:$I$89,5,0)</f>
        <v>120.55680000000002</v>
      </c>
      <c r="GB53" s="13">
        <f t="shared" si="49"/>
        <v>31.804828741198779</v>
      </c>
      <c r="GC53" s="20">
        <f t="shared" si="25"/>
        <v>265.36317005758792</v>
      </c>
      <c r="GD53" s="59">
        <f t="shared" si="26"/>
        <v>520.48415158705802</v>
      </c>
      <c r="GE53" s="59">
        <f ca="1">AVERAGE(OFFSET($GD$3,0,0,'Données projet'!$E$17+1,1))-AVERAGE(OFFSET($H$3,0,0,'Données projet'!$E$17+1,1))</f>
        <v>257.66104339896992</v>
      </c>
      <c r="GF53" s="59">
        <f t="shared" si="50"/>
        <v>254.79488636184996</v>
      </c>
      <c r="GG53" s="15">
        <f>IF(ISNA(VLOOKUP(A53,'Données projet'!$A$243:$I$263,3,0)),0,VLOOKUP(A53,'Données projet'!$A$243:$I$263,3,0))</f>
        <v>9</v>
      </c>
      <c r="GH53" s="15">
        <f>IF(ISNA(VLOOKUP(A53,'Données projet'!$A$243:$I$263,4,0)),0,VLOOKUP(A53,'Données projet'!$A$243:$I$263,4,0))</f>
        <v>21</v>
      </c>
      <c r="GI53" s="16">
        <f>IF(ISNA(VLOOKUP(A53,'Données projet'!$A$243:$I$263,5,0)),0%,VLOOKUP(A53,'Données projet'!$A$243:$I$263,5,0)*VLOOKUP('Données projet'!$B$17,Paramètres!$A$1:$I$89,7,0))</f>
        <v>0.43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23.226829348582484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23.226829348582484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171</v>
      </c>
      <c r="GS53" s="12">
        <f>VLOOKUP(A53,'Données projet'!$A$269:$I$289,9,0)</f>
        <v>5.8</v>
      </c>
      <c r="GT53" s="12">
        <f t="array" ref="GT53">INDEX(GS:GS,MIN(IF(ISNUMBER(GS53:GS249),ROW(GS53:GS249),"")))</f>
        <v>5.8</v>
      </c>
      <c r="GU53" s="12">
        <f>IF('Données projet'!$A$270&gt;35,GU52+GT53-HC52,IF(A53&lt;'Données projet'!$A$270,$GR$205^A53,IF(A53='Données projet'!$A$270,'Données projet'!$B$270,GU52+GT53-HC52)))</f>
        <v>171.00000000000003</v>
      </c>
      <c r="GV53" s="17">
        <f>GU53*VLOOKUP('Données projet'!$B$18,Paramètres!$A$1:$I$89,3,0)*VLOOKUP('Données projet'!$B$18,Paramètres!$A$1:$I$89,5,0)</f>
        <v>138.71520000000004</v>
      </c>
      <c r="GW53" s="13">
        <f t="shared" si="51"/>
        <v>36.002518112949986</v>
      </c>
      <c r="GX53" s="20">
        <f t="shared" si="28"/>
        <v>304.30002571338792</v>
      </c>
      <c r="GY53" s="59">
        <f t="shared" si="29"/>
        <v>559.42100724285797</v>
      </c>
      <c r="GZ53" s="59">
        <f ca="1">AVERAGE(OFFSET($GY$3,0,0,'Données projet'!$E$18+1,1))-AVERAGE(OFFSET($H$3,0,0,'Données projet'!$E$18+1,1))</f>
        <v>299.98377156721153</v>
      </c>
      <c r="HA53" s="59">
        <f t="shared" si="52"/>
        <v>241.36164657721102</v>
      </c>
      <c r="HB53" s="15">
        <f>IF(ISNA(VLOOKUP(A53,'Données projet'!$A$269:$I$289,3,0)),0,VLOOKUP(A53,'Données projet'!$A$269:$I$289,3,0))</f>
        <v>7</v>
      </c>
      <c r="HC53" s="15">
        <f>IF(ISNA(VLOOKUP(A53,'Données projet'!$A$269:$I$289,4,0)),0,VLOOKUP(A53,'Données projet'!$A$269:$I$289,4,0))</f>
        <v>14</v>
      </c>
      <c r="HD53" s="16">
        <f>IF(ISNA(VLOOKUP(A53,'Données projet'!$A$269:$I$289,5,0)),0%,VLOOKUP(A53,'Données projet'!$A$269:$I$289,5,0)*VLOOKUP('Données projet'!$B$18,Paramètres!$A$1:$I$89,7,0))</f>
        <v>0.43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17.838298359998589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17.838298359998589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12.271428571428576</v>
      </c>
      <c r="N54" s="13">
        <f>IF('Données projet'!$A$36&gt;35,N53+M54-V53,IF(A54&lt;'Données projet'!$A$36,$K$205^A54,IF(A54='Données projet'!$A$36,'Données projet'!$B$36,N53+M54-V53)))</f>
        <v>228.58428571428578</v>
      </c>
      <c r="O54" s="13">
        <f>N54*VLOOKUP('Données projet'!$B$9,Paramètres!$A$1:$I$89,3,0)*VLOOKUP('Données projet'!$B$9,Paramètres!$A$1:$I$89,5,0)</f>
        <v>206.82306171428579</v>
      </c>
      <c r="P54" s="13">
        <f t="shared" si="33"/>
        <v>51.240730027878335</v>
      </c>
      <c r="Q54" s="20">
        <f t="shared" si="53"/>
        <v>449.46110395093586</v>
      </c>
      <c r="R54" s="59">
        <f t="shared" si="0"/>
        <v>705.24498435418263</v>
      </c>
      <c r="S54" s="59">
        <f ca="1">AVERAGE(OFFSET($R$3,0,0,'Données projet'!$E$9+1,1))-AVERAGE(OFFSET($H$3,0,0,'Données projet'!$E$9+1,1))</f>
        <v>567.42635821507474</v>
      </c>
      <c r="T54" s="59">
        <f t="shared" si="34"/>
        <v>299.04735309930152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63.297865383305073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63.297865383305073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13.4</v>
      </c>
      <c r="AI54" s="13">
        <f>IF('Données projet'!$A$62&gt;35,AI53+AH54-AQ53,IF(A54&lt;'Données projet'!$A$62,$AF$205^A54,IF(A54='Données projet'!$A$62,'Données projet'!$B$62,AI53+AH54-AQ53)))</f>
        <v>252.40000000000015</v>
      </c>
      <c r="AJ54" s="13">
        <f>AI54*VLOOKUP('Données projet'!$B$10,Paramètres!$A$1:$I$89,3,0)*VLOOKUP('Données projet'!$B$10,Paramètres!$A$1:$I$89,5,0)</f>
        <v>216.55920000000012</v>
      </c>
      <c r="AK54" s="13">
        <f t="shared" si="35"/>
        <v>53.366360125240526</v>
      </c>
      <c r="AL54" s="20">
        <f t="shared" si="4"/>
        <v>470.12035055146072</v>
      </c>
      <c r="AM54" s="59">
        <f t="shared" si="5"/>
        <v>725.9042309547076</v>
      </c>
      <c r="AN54" s="59">
        <f ca="1">AVERAGE(OFFSET($AM$3,0,0,'Données projet'!$E$10+1,1))-AVERAGE(OFFSET($H$3,0,0,'Données projet'!$E$10+1,1))</f>
        <v>569.97793593332699</v>
      </c>
      <c r="AO54" s="59">
        <f t="shared" si="36"/>
        <v>331.25104323342907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59.839614411262303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59.839614411262303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277.99999999999994</v>
      </c>
      <c r="BE54" s="13">
        <f>BD54*VLOOKUP('Données projet'!$B$11,Paramètres!$A$1:$I$89,3,0)*VLOOKUP('Données projet'!$B$11,Paramètres!$A$1:$I$89,5,0)</f>
        <v>151.78799999999998</v>
      </c>
      <c r="BF54" s="13">
        <f t="shared" si="37"/>
        <v>38.984634390835623</v>
      </c>
      <c r="BG54" s="20">
        <f t="shared" si="7"/>
        <v>332.26233823070532</v>
      </c>
      <c r="BH54" s="59">
        <f t="shared" si="8"/>
        <v>588.04621863395209</v>
      </c>
      <c r="BI54" s="59">
        <f ca="1">AVERAGE(OFFSET($BH$3,0,0,'Données projet'!$E$11+1,1))-AVERAGE(OFFSET($H$3,0,0,'Données projet'!$E$11+1,1))</f>
        <v>215.37314197175104</v>
      </c>
      <c r="BJ54" s="59">
        <f t="shared" si="38"/>
        <v>361.17630426655978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24.217017612874898</v>
      </c>
      <c r="BQ54" s="21">
        <f>EXP(-LN(2)/25)*BQ53+(1-EXP(-LN(2)/25))/(LN(2)/25)*Calculateur!BL54*Calculateur!BN54*VLOOKUP('Données projet'!$B$11,Paramètres!$A$1:$I$89,3,0)*0.475*44/12</f>
        <v>53.65294977818909</v>
      </c>
      <c r="BR54" s="21">
        <f>EXP(-LN(2)/2)*BR53+(1-EXP(-LN(2)/2))/(LN(2)/2)*BL54*BO54*VLOOKUP('Données projet'!$B$11,Paramètres!$A$1:$I$89,3,0)*0.475*44/12</f>
        <v>1.7509049124102306E-5</v>
      </c>
      <c r="BS54" s="22">
        <f t="shared" si="9"/>
        <v>77.869984900113124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25.705000000000002</v>
      </c>
      <c r="BY54" s="12">
        <f>IF('Données projet'!$A$114&gt;35,BY53+BX54-CG53,IF(A54&lt;'Données projet'!$A$114,$BV$205^A54,IF(A54='Données projet'!$A$114,'Données projet'!$B$114,BY53+BX54-CG53)))</f>
        <v>631.49500000000023</v>
      </c>
      <c r="BZ54" s="13">
        <f>BY54*VLOOKUP('Données projet'!$B$12,Paramètres!$A$1:$I$89,3,0)*VLOOKUP('Données projet'!$B$12,Paramètres!$A$1:$I$89,5,0)</f>
        <v>353.00570500000015</v>
      </c>
      <c r="CA54" s="13">
        <f t="shared" si="39"/>
        <v>82.181108764690435</v>
      </c>
      <c r="CB54" s="20">
        <f t="shared" si="10"/>
        <v>757.95036730683603</v>
      </c>
      <c r="CC54" s="59">
        <f t="shared" si="11"/>
        <v>1013.7342477100829</v>
      </c>
      <c r="CD54" s="59">
        <f ca="1">AVERAGE(OFFSET($CC$3,0,0,'Données projet'!$E$12+1,1))-AVERAGE(OFFSET($H$3,0,0,'Données projet'!$E$12+1,1))</f>
        <v>420.4890915162182</v>
      </c>
      <c r="CE54" s="59">
        <f t="shared" si="40"/>
        <v>553.48432338023565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96.112796030107106</v>
      </c>
      <c r="CL54" s="21">
        <f>EXP(-LN(2)/25)*CL53+(1-EXP(-LN(2)/25))/(LN(2)/25)*Calculateur!CG54*Calculateur!CI54*VLOOKUP('Données projet'!$B$12,Paramètres!$A$1:$I$89,3,0)*0.475*44/12</f>
        <v>28.251315623884818</v>
      </c>
      <c r="CM54" s="21">
        <f>EXP(-LN(2)/2)*CM53+(1-EXP(-LN(2)/2))/(LN(2)/2)*CG54*CJ54*VLOOKUP('Données projet'!$B$12,Paramètres!$A$1:$I$89,3,0)*0.475*44/12</f>
        <v>5.109402574604027E-4</v>
      </c>
      <c r="CN54" s="22">
        <f t="shared" si="12"/>
        <v>124.36462259424938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8.4</v>
      </c>
      <c r="CT54" s="12">
        <f>IF('Données projet'!$A$140&gt;35,CT53+CS54-DB53,IF(A54&lt;'Données projet'!$A$140,$CQ$205^A54,IF(A54='Données projet'!$A$140,'Données projet'!$B$140,CT53+CS54-DB53)))</f>
        <v>290.39999999999992</v>
      </c>
      <c r="CU54" s="17">
        <f>CT54*VLOOKUP('Données projet'!$B$13,Paramètres!$A$1:$I$89,3,0)*VLOOKUP('Données projet'!$B$13,Paramètres!$A$1:$I$89,5,0)</f>
        <v>212.92127999999991</v>
      </c>
      <c r="CV54" s="13">
        <f t="shared" si="41"/>
        <v>52.57344469809297</v>
      </c>
      <c r="CW54" s="20">
        <f t="shared" si="13"/>
        <v>462.4033121825118</v>
      </c>
      <c r="CX54" s="59">
        <f t="shared" si="14"/>
        <v>718.18719258575857</v>
      </c>
      <c r="CY54" s="59">
        <f ca="1">AVERAGE(OFFSET($CX$3,0,0,'Données projet'!$E$13+1,1))-AVERAGE(OFFSET($H$3,0,0,'Données projet'!$E$13+1,1))</f>
        <v>400.48995908576177</v>
      </c>
      <c r="CZ54" s="59">
        <f t="shared" si="42"/>
        <v>384.86917865380076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37.097055611247313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37.097055611247313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8.4</v>
      </c>
      <c r="DO54" s="12">
        <f>IF('Données projet'!$A$166&gt;35,DO53+DN54-DW53,IF(A54&lt;'Données projet'!$A$166,$DL$205^A54,IF(A54='Données projet'!$A$166,'Données projet'!$B$166,DO53+DN54-DW53)))</f>
        <v>290.39999999999992</v>
      </c>
      <c r="DP54" s="17">
        <f>DO54*VLOOKUP('Données projet'!$B$14,Paramètres!$A$1:$I$89,3,0)*VLOOKUP('Données projet'!$B$14,Paramètres!$A$1:$I$89,5,0)</f>
        <v>231.04223999999994</v>
      </c>
      <c r="DQ54" s="13">
        <f t="shared" si="43"/>
        <v>56.507978852931409</v>
      </c>
      <c r="DR54" s="20">
        <f t="shared" si="16"/>
        <v>500.81663116885539</v>
      </c>
      <c r="DS54" s="59">
        <f t="shared" si="17"/>
        <v>756.60051157210228</v>
      </c>
      <c r="DT54" s="59">
        <f ca="1">AVERAGE(OFFSET($DS$3,0,0,'Données projet'!$E$14+1,1))-AVERAGE(OFFSET($H$3,0,0,'Données projet'!$E$14+1,1))</f>
        <v>429.30603040255431</v>
      </c>
      <c r="DU54" s="59">
        <f t="shared" si="44"/>
        <v>412.18613903804726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49.615705748244196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49.615705748244196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6.6506410256410255</v>
      </c>
      <c r="EJ54" s="12">
        <f>IF('Données projet'!$A$192&gt;35,EJ53+EI54-ER53,IF(A54&lt;'Données projet'!$A$192,$EG$205^A54,IF(A54='Données projet'!$A$192,'Données projet'!$B$192,EJ53+EI54-ER53)))</f>
        <v>166.42628205128204</v>
      </c>
      <c r="EK54" s="17">
        <f>EJ54*VLOOKUP('Données projet'!$B$15,Paramètres!$A$1:$I$89,3,0)*VLOOKUP('Données projet'!$B$15,Paramètres!$A$1:$I$89,5,0)</f>
        <v>129.8125</v>
      </c>
      <c r="EL54" s="13">
        <f t="shared" si="45"/>
        <v>33.953029948668728</v>
      </c>
      <c r="EM54" s="20">
        <f t="shared" si="19"/>
        <v>285.224964660598</v>
      </c>
      <c r="EN54" s="59">
        <f t="shared" si="20"/>
        <v>541.00884506384477</v>
      </c>
      <c r="EO54" s="59">
        <f ca="1">AVERAGE(OFFSET($EN$3,0,0,'Données projet'!$E$15+1,1))-AVERAGE(OFFSET($H$3,0,0,'Données projet'!$E$15+1,1))</f>
        <v>217.53602321474159</v>
      </c>
      <c r="EP54" s="59">
        <f t="shared" si="46"/>
        <v>215.75909414893025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21.139574906385249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21.139574906385249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12.271428571428576</v>
      </c>
      <c r="FE54" s="12">
        <f>IF('Données projet'!$A$218&gt;35,FE53+FD54-FM53,IF(A54&lt;'Données projet'!$A$218,$FB$205^A54,IF(A54='Données projet'!$A$218,'Données projet'!$B$218,FE53+FD54-FM53)))</f>
        <v>228.58428571428578</v>
      </c>
      <c r="FF54" s="17">
        <f>FE54*VLOOKUP('Données projet'!$B$16,Paramètres!$A$1:$I$89,3,0)*VLOOKUP('Données projet'!$B$16,Paramètres!$A$1:$I$89,5,0)</f>
        <v>153.33433885714291</v>
      </c>
      <c r="FG54" s="13">
        <f t="shared" si="47"/>
        <v>39.335353799469985</v>
      </c>
      <c r="FH54" s="20">
        <f t="shared" si="22"/>
        <v>335.56638137693409</v>
      </c>
      <c r="FI54" s="59">
        <f t="shared" si="23"/>
        <v>591.35026178018097</v>
      </c>
      <c r="FJ54" s="59">
        <f ca="1">AVERAGE(OFFSET($FI$3,0,0,'Données projet'!$E$16+1,1))-AVERAGE(OFFSET($H$3,0,0,'Données projet'!$E$16+1,1))</f>
        <v>441.20130048888439</v>
      </c>
      <c r="FK54" s="59">
        <f t="shared" si="48"/>
        <v>237.47732532183946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57.841152850261544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57.841152850261544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5.6</v>
      </c>
      <c r="FZ54" s="12">
        <f>IF('Données projet'!$A$244&gt;35,FZ53+FY54-GH53,IF(A54&lt;'Données projet'!$A$244,$FW$205^A54,IF(A54='Données projet'!$A$244,'Données projet'!$B$244,FZ53+FY54-GH53)))</f>
        <v>168.60000000000005</v>
      </c>
      <c r="GA54" s="17">
        <f>FZ54*VLOOKUP('Données projet'!$B$17,Paramètres!$A$1:$I$89,3,0)*VLOOKUP('Données projet'!$B$17,Paramètres!$A$1:$I$89,5,0)</f>
        <v>110.46672000000002</v>
      </c>
      <c r="GB54" s="13">
        <f t="shared" si="49"/>
        <v>29.440920333682921</v>
      </c>
      <c r="GC54" s="20">
        <f t="shared" si="25"/>
        <v>243.67247358116444</v>
      </c>
      <c r="GD54" s="59">
        <f t="shared" si="26"/>
        <v>499.45635398441129</v>
      </c>
      <c r="GE54" s="59">
        <f ca="1">AVERAGE(OFFSET($GD$3,0,0,'Données projet'!$E$17+1,1))-AVERAGE(OFFSET($H$3,0,0,'Données projet'!$E$17+1,1))</f>
        <v>257.66104339896992</v>
      </c>
      <c r="GF54" s="59">
        <f t="shared" si="50"/>
        <v>254.79488636184996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22.771365392023814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22.771365392023814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5.4</v>
      </c>
      <c r="GU54" s="12">
        <f>IF('Données projet'!$A$270&gt;35,GU53+GT54-HC53,IF(A54&lt;'Données projet'!$A$270,$GR$205^A54,IF(A54='Données projet'!$A$270,'Données projet'!$B$270,GU53+GT54-HC53)))</f>
        <v>162.40000000000003</v>
      </c>
      <c r="GV54" s="17">
        <f>GU54*VLOOKUP('Données projet'!$B$18,Paramètres!$A$1:$I$89,3,0)*VLOOKUP('Données projet'!$B$18,Paramètres!$A$1:$I$89,5,0)</f>
        <v>131.73888000000005</v>
      </c>
      <c r="GW54" s="13">
        <f t="shared" si="51"/>
        <v>34.397852193895858</v>
      </c>
      <c r="GX54" s="20">
        <f t="shared" si="28"/>
        <v>289.35480857103533</v>
      </c>
      <c r="GY54" s="59">
        <f t="shared" si="29"/>
        <v>545.1386889742821</v>
      </c>
      <c r="GZ54" s="59">
        <f ca="1">AVERAGE(OFFSET($GY$3,0,0,'Données projet'!$E$18+1,1))-AVERAGE(OFFSET($H$3,0,0,'Données projet'!$E$18+1,1))</f>
        <v>299.98377156721153</v>
      </c>
      <c r="HA54" s="59">
        <f t="shared" si="52"/>
        <v>241.36164657721102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17.488500209446677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17.488500209446677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12.271428571428576</v>
      </c>
      <c r="N55" s="13">
        <f>IF('Données projet'!$A$36&gt;35,N54+M55-V54,IF(A55&lt;'Données projet'!$A$36,$K$205^A55,IF(A55='Données projet'!$A$36,'Données projet'!$B$36,N54+M55-V54)))</f>
        <v>240.85571428571436</v>
      </c>
      <c r="O55" s="13">
        <f>N55*VLOOKUP('Données projet'!$B$9,Paramètres!$A$1:$I$89,3,0)*VLOOKUP('Données projet'!$B$9,Paramètres!$A$1:$I$89,5,0)</f>
        <v>217.92625028571436</v>
      </c>
      <c r="P55" s="13">
        <f t="shared" si="33"/>
        <v>53.663918329427027</v>
      </c>
      <c r="Q55" s="20">
        <f t="shared" si="53"/>
        <v>473.01954367137131</v>
      </c>
      <c r="R55" s="59">
        <f t="shared" si="0"/>
        <v>729.45482313495472</v>
      </c>
      <c r="S55" s="59">
        <f ca="1">AVERAGE(OFFSET($R$3,0,0,'Données projet'!$E$9+1,1))-AVERAGE(OFFSET($H$3,0,0,'Données projet'!$E$9+1,1))</f>
        <v>567.42635821507474</v>
      </c>
      <c r="T55" s="59">
        <f t="shared" si="34"/>
        <v>299.04735309930152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62.056632851024133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62.056632851024133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13.4</v>
      </c>
      <c r="AI55" s="13">
        <f>IF('Données projet'!$A$62&gt;35,AI54+AH55-AQ54,IF(A55&lt;'Données projet'!$A$62,$AF$205^A55,IF(A55='Données projet'!$A$62,'Données projet'!$B$62,AI54+AH55-AQ54)))</f>
        <v>265.80000000000013</v>
      </c>
      <c r="AJ55" s="13">
        <f>AI55*VLOOKUP('Données projet'!$B$10,Paramètres!$A$1:$I$89,3,0)*VLOOKUP('Données projet'!$B$10,Paramètres!$A$1:$I$89,5,0)</f>
        <v>228.05640000000014</v>
      </c>
      <c r="AK55" s="13">
        <f t="shared" si="35"/>
        <v>55.862222430632038</v>
      </c>
      <c r="AL55" s="20">
        <f t="shared" si="4"/>
        <v>494.49160073335105</v>
      </c>
      <c r="AM55" s="59">
        <f t="shared" si="5"/>
        <v>750.92688019693446</v>
      </c>
      <c r="AN55" s="59">
        <f ca="1">AVERAGE(OFFSET($AM$3,0,0,'Données projet'!$E$10+1,1))-AVERAGE(OFFSET($H$3,0,0,'Données projet'!$E$10+1,1))</f>
        <v>569.97793593332699</v>
      </c>
      <c r="AO55" s="59">
        <f t="shared" si="36"/>
        <v>331.25104323342907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58.666196071218309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58.666196071218309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277.99999999999994</v>
      </c>
      <c r="BE55" s="13">
        <f>BD55*VLOOKUP('Données projet'!$B$11,Paramètres!$A$1:$I$89,3,0)*VLOOKUP('Données projet'!$B$11,Paramètres!$A$1:$I$89,5,0)</f>
        <v>151.78799999999998</v>
      </c>
      <c r="BF55" s="13">
        <f t="shared" si="37"/>
        <v>38.984634390835623</v>
      </c>
      <c r="BG55" s="20">
        <f t="shared" si="7"/>
        <v>332.26233823070532</v>
      </c>
      <c r="BH55" s="59">
        <f t="shared" si="8"/>
        <v>588.69761769428874</v>
      </c>
      <c r="BI55" s="59">
        <f ca="1">AVERAGE(OFFSET($BH$3,0,0,'Données projet'!$E$11+1,1))-AVERAGE(OFFSET($H$3,0,0,'Données projet'!$E$11+1,1))</f>
        <v>215.37314197175104</v>
      </c>
      <c r="BJ55" s="59">
        <f t="shared" si="38"/>
        <v>361.17630426655978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23.742136668408659</v>
      </c>
      <c r="BQ55" s="21">
        <f>EXP(-LN(2)/25)*BQ54+(1-EXP(-LN(2)/25))/(LN(2)/25)*Calculateur!BL55*Calculateur!BN55*VLOOKUP('Données projet'!$B$11,Paramètres!$A$1:$I$89,3,0)*0.475*44/12</f>
        <v>52.185807045018507</v>
      </c>
      <c r="BR55" s="21">
        <f>EXP(-LN(2)/2)*BR54+(1-EXP(-LN(2)/2))/(LN(2)/2)*BL55*BO55*VLOOKUP('Données projet'!$B$11,Paramètres!$A$1:$I$89,3,0)*0.475*44/12</f>
        <v>1.2380767367781121E-5</v>
      </c>
      <c r="BS55" s="22">
        <f t="shared" si="9"/>
        <v>75.927956094194542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25.705000000000002</v>
      </c>
      <c r="BY55" s="12">
        <f>IF('Données projet'!$A$114&gt;35,BY54+BX55-CG54,IF(A55&lt;'Données projet'!$A$114,$BV$205^A55,IF(A55='Données projet'!$A$114,'Données projet'!$B$114,BY54+BX55-CG54)))</f>
        <v>657.20000000000027</v>
      </c>
      <c r="BZ55" s="13">
        <f>BY55*VLOOKUP('Données projet'!$B$12,Paramètres!$A$1:$I$89,3,0)*VLOOKUP('Données projet'!$B$12,Paramètres!$A$1:$I$89,5,0)</f>
        <v>367.37480000000016</v>
      </c>
      <c r="CA55" s="13">
        <f t="shared" si="39"/>
        <v>85.13001260681672</v>
      </c>
      <c r="CB55" s="20">
        <f t="shared" si="10"/>
        <v>788.11254862353928</v>
      </c>
      <c r="CC55" s="59">
        <f t="shared" si="11"/>
        <v>1044.5478280871225</v>
      </c>
      <c r="CD55" s="59">
        <f ca="1">AVERAGE(OFFSET($CC$3,0,0,'Données projet'!$E$12+1,1))-AVERAGE(OFFSET($H$3,0,0,'Données projet'!$E$12+1,1))</f>
        <v>420.4890915162182</v>
      </c>
      <c r="CE55" s="59">
        <f t="shared" si="40"/>
        <v>553.48432338023565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94.228082722973738</v>
      </c>
      <c r="CL55" s="21">
        <f>EXP(-LN(2)/25)*CL54+(1-EXP(-LN(2)/25))/(LN(2)/25)*Calculateur!CG55*Calculateur!CI55*VLOOKUP('Données projet'!$B$12,Paramètres!$A$1:$I$89,3,0)*0.475*44/12</f>
        <v>27.478781912477569</v>
      </c>
      <c r="CM55" s="21">
        <f>EXP(-LN(2)/2)*CM54+(1-EXP(-LN(2)/2))/(LN(2)/2)*CG55*CJ55*VLOOKUP('Données projet'!$B$12,Paramètres!$A$1:$I$89,3,0)*0.475*44/12</f>
        <v>3.6128932083145124E-4</v>
      </c>
      <c r="CN55" s="22">
        <f t="shared" si="12"/>
        <v>121.70722592477215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8.4</v>
      </c>
      <c r="CT55" s="12">
        <f>IF('Données projet'!$A$140&gt;35,CT54+CS55-DB54,IF(A55&lt;'Données projet'!$A$140,$CQ$205^A55,IF(A55='Données projet'!$A$140,'Données projet'!$B$140,CT54+CS55-DB54)))</f>
        <v>298.7999999999999</v>
      </c>
      <c r="CU55" s="17">
        <f>CT55*VLOOKUP('Données projet'!$B$13,Paramètres!$A$1:$I$89,3,0)*VLOOKUP('Données projet'!$B$13,Paramètres!$A$1:$I$89,5,0)</f>
        <v>219.08015999999992</v>
      </c>
      <c r="CV55" s="13">
        <f t="shared" si="41"/>
        <v>53.914914316401685</v>
      </c>
      <c r="CW55" s="20">
        <f t="shared" si="13"/>
        <v>475.46642110106609</v>
      </c>
      <c r="CX55" s="59">
        <f t="shared" si="14"/>
        <v>731.90170056464945</v>
      </c>
      <c r="CY55" s="59">
        <f ca="1">AVERAGE(OFFSET($CX$3,0,0,'Données projet'!$E$13+1,1))-AVERAGE(OFFSET($H$3,0,0,'Données projet'!$E$13+1,1))</f>
        <v>400.48995908576177</v>
      </c>
      <c r="CZ55" s="59">
        <f t="shared" si="42"/>
        <v>384.86917865380076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36.369604977680446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36.369604977680446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8.4</v>
      </c>
      <c r="DO55" s="12">
        <f>IF('Données projet'!$A$166&gt;35,DO54+DN55-DW54,IF(A55&lt;'Données projet'!$A$166,$DL$205^A55,IF(A55='Données projet'!$A$166,'Données projet'!$B$166,DO54+DN55-DW54)))</f>
        <v>298.7999999999999</v>
      </c>
      <c r="DP55" s="17">
        <f>DO55*VLOOKUP('Données projet'!$B$14,Paramètres!$A$1:$I$89,3,0)*VLOOKUP('Données projet'!$B$14,Paramètres!$A$1:$I$89,5,0)</f>
        <v>237.72527999999994</v>
      </c>
      <c r="DQ55" s="13">
        <f t="shared" si="43"/>
        <v>57.949842464086196</v>
      </c>
      <c r="DR55" s="20">
        <f t="shared" si="16"/>
        <v>514.96750495828326</v>
      </c>
      <c r="DS55" s="59">
        <f t="shared" si="17"/>
        <v>771.40278442186661</v>
      </c>
      <c r="DT55" s="59">
        <f ca="1">AVERAGE(OFFSET($DS$3,0,0,'Données projet'!$E$14+1,1))-AVERAGE(OFFSET($H$3,0,0,'Données projet'!$E$14+1,1))</f>
        <v>429.30603040255431</v>
      </c>
      <c r="DU55" s="59">
        <f t="shared" si="44"/>
        <v>412.18613903804726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48.642772021113451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48.642772021113451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173.07692307692307</v>
      </c>
      <c r="EH55" s="12">
        <f>VLOOKUP(A55,'Données projet'!$A$191:$I$211,9,0)</f>
        <v>6.6506410256410255</v>
      </c>
      <c r="EI55" s="12">
        <f t="array" ref="EI55">INDEX(EH:EH,MIN(IF(ISNUMBER(EH55:EH251),ROW(EH55:EH251),"")))</f>
        <v>6.6506410256410255</v>
      </c>
      <c r="EJ55" s="12">
        <f>IF('Données projet'!$A$192&gt;35,EJ54+EI55-ER54,IF(A55&lt;'Données projet'!$A$192,$EG$205^A55,IF(A55='Données projet'!$A$192,'Données projet'!$B$192,EJ54+EI55-ER54)))</f>
        <v>173.07692307692307</v>
      </c>
      <c r="EK55" s="17">
        <f>EJ55*VLOOKUP('Données projet'!$B$15,Paramètres!$A$1:$I$89,3,0)*VLOOKUP('Données projet'!$B$15,Paramètres!$A$1:$I$89,5,0)</f>
        <v>135</v>
      </c>
      <c r="EL55" s="13">
        <f t="shared" si="45"/>
        <v>35.149162595374243</v>
      </c>
      <c r="EM55" s="20">
        <f t="shared" si="19"/>
        <v>296.34312485361016</v>
      </c>
      <c r="EN55" s="59">
        <f t="shared" si="20"/>
        <v>552.77840431719346</v>
      </c>
      <c r="EO55" s="59">
        <f ca="1">AVERAGE(OFFSET($EN$3,0,0,'Données projet'!$E$15+1,1))-AVERAGE(OFFSET($H$3,0,0,'Données projet'!$E$15+1,1))</f>
        <v>217.53602321474159</v>
      </c>
      <c r="EP55" s="59">
        <f t="shared" si="46"/>
        <v>215.75909414893025</v>
      </c>
      <c r="EQ55" s="15">
        <f>IF(ISNA(VLOOKUP(A55,'Données projet'!$A$191:$I$211,3,0)),0,VLOOKUP(A55,'Données projet'!$A$191:$I$211,3,0))</f>
        <v>7</v>
      </c>
      <c r="ER55" s="15">
        <f>IF(ISNA(VLOOKUP(A55,'Données projet'!$A$191:$I$211,4,0)),0,VLOOKUP(A55,'Données projet'!$A$191:$I$211,4,0))</f>
        <v>30.769230769230766</v>
      </c>
      <c r="ES55" s="16">
        <f>IF(ISNA(VLOOKUP(A55,'Données projet'!$A$191:$I$211,5,0)),0%,VLOOKUP(A55,'Données projet'!$A$191:$I$211,5,0)*VLOOKUP('Données projet'!$B$15,Paramètres!$A$1:$I$89,7,0))</f>
        <v>0.43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32.133495053118608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32.133495053118608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12.271428571428576</v>
      </c>
      <c r="FE55" s="12">
        <f>IF('Données projet'!$A$218&gt;35,FE54+FD55-FM54,IF(A55&lt;'Données projet'!$A$218,$FB$205^A55,IF(A55='Données projet'!$A$218,'Données projet'!$B$218,FE54+FD55-FM54)))</f>
        <v>240.85571428571436</v>
      </c>
      <c r="FF55" s="17">
        <f>FE55*VLOOKUP('Données projet'!$B$16,Paramètres!$A$1:$I$89,3,0)*VLOOKUP('Données projet'!$B$16,Paramètres!$A$1:$I$89,5,0)</f>
        <v>161.56601314285717</v>
      </c>
      <c r="FG55" s="13">
        <f t="shared" si="47"/>
        <v>41.195533564908452</v>
      </c>
      <c r="FH55" s="20">
        <f t="shared" si="22"/>
        <v>353.14302718269181</v>
      </c>
      <c r="FI55" s="59">
        <f t="shared" si="23"/>
        <v>609.57830664627522</v>
      </c>
      <c r="FJ55" s="59">
        <f ca="1">AVERAGE(OFFSET($FI$3,0,0,'Données projet'!$E$16+1,1))-AVERAGE(OFFSET($H$3,0,0,'Données projet'!$E$16+1,1))</f>
        <v>441.20130048888439</v>
      </c>
      <c r="FK55" s="59">
        <f t="shared" si="48"/>
        <v>237.47732532183946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56.706923122487581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56.706923122487581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5.6</v>
      </c>
      <c r="FZ55" s="12">
        <f>IF('Données projet'!$A$244&gt;35,FZ54+FY55-GH54,IF(A55&lt;'Données projet'!$A$244,$FW$205^A55,IF(A55='Données projet'!$A$244,'Données projet'!$B$244,FZ54+FY55-GH54)))</f>
        <v>174.20000000000005</v>
      </c>
      <c r="GA55" s="17">
        <f>FZ55*VLOOKUP('Données projet'!$B$17,Paramètres!$A$1:$I$89,3,0)*VLOOKUP('Données projet'!$B$17,Paramètres!$A$1:$I$89,5,0)</f>
        <v>114.13584000000003</v>
      </c>
      <c r="GB55" s="13">
        <f t="shared" si="49"/>
        <v>30.303317693701107</v>
      </c>
      <c r="GC55" s="20">
        <f t="shared" si="25"/>
        <v>251.56486631652947</v>
      </c>
      <c r="GD55" s="59">
        <f t="shared" si="26"/>
        <v>508.0001457801128</v>
      </c>
      <c r="GE55" s="59">
        <f ca="1">AVERAGE(OFFSET($GD$3,0,0,'Données projet'!$E$17+1,1))-AVERAGE(OFFSET($H$3,0,0,'Données projet'!$E$17+1,1))</f>
        <v>257.66104339896992</v>
      </c>
      <c r="GF55" s="59">
        <f t="shared" si="50"/>
        <v>254.79488636184996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22.324832805847674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22.324832805847674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5.4</v>
      </c>
      <c r="GU55" s="12">
        <f>IF('Données projet'!$A$270&gt;35,GU54+GT55-HC54,IF(A55&lt;'Données projet'!$A$270,$GR$205^A55,IF(A55='Données projet'!$A$270,'Données projet'!$B$270,GU54+GT55-HC54)))</f>
        <v>167.80000000000004</v>
      </c>
      <c r="GV55" s="17">
        <f>GU55*VLOOKUP('Données projet'!$B$18,Paramètres!$A$1:$I$89,3,0)*VLOOKUP('Données projet'!$B$18,Paramètres!$A$1:$I$89,5,0)</f>
        <v>136.11936000000006</v>
      </c>
      <c r="GW55" s="13">
        <f t="shared" si="51"/>
        <v>35.406556182020879</v>
      </c>
      <c r="GX55" s="20">
        <f t="shared" si="28"/>
        <v>298.74097068368638</v>
      </c>
      <c r="GY55" s="59">
        <f t="shared" si="29"/>
        <v>555.17625014726968</v>
      </c>
      <c r="GZ55" s="59">
        <f ca="1">AVERAGE(OFFSET($GY$3,0,0,'Données projet'!$E$18+1,1))-AVERAGE(OFFSET($H$3,0,0,'Données projet'!$E$18+1,1))</f>
        <v>299.98377156721153</v>
      </c>
      <c r="HA55" s="59">
        <f t="shared" si="52"/>
        <v>241.36164657721102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17.145561387271282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17.145561387271282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12.271428571428576</v>
      </c>
      <c r="N56" s="13">
        <f>IF('Données projet'!$A$36&gt;35,N55+M56-V55,IF(A56&lt;'Données projet'!$A$36,$K$205^A56,IF(A56='Données projet'!$A$36,'Données projet'!$B$36,N55+M56-V55)))</f>
        <v>253.12714285714293</v>
      </c>
      <c r="O56" s="13">
        <f>N56*VLOOKUP('Données projet'!$B$9,Paramètres!$A$1:$I$89,3,0)*VLOOKUP('Données projet'!$B$9,Paramètres!$A$1:$I$89,5,0)</f>
        <v>229.02943885714294</v>
      </c>
      <c r="P56" s="13">
        <f t="shared" si="33"/>
        <v>56.072771899312158</v>
      </c>
      <c r="Q56" s="20">
        <f t="shared" si="53"/>
        <v>496.55301706749259</v>
      </c>
      <c r="R56" s="59">
        <f t="shared" si="0"/>
        <v>753.62839527402582</v>
      </c>
      <c r="S56" s="59">
        <f ca="1">AVERAGE(OFFSET($R$3,0,0,'Données projet'!$E$9+1,1))-AVERAGE(OFFSET($H$3,0,0,'Données projet'!$E$9+1,1))</f>
        <v>567.42635821507474</v>
      </c>
      <c r="T56" s="59">
        <f t="shared" si="34"/>
        <v>299.04735309930152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60.839740131624133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60.839740131624133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13.4</v>
      </c>
      <c r="AI56" s="13">
        <f>IF('Données projet'!$A$62&gt;35,AI55+AH56-AQ55,IF(A56&lt;'Données projet'!$A$62,$AF$205^A56,IF(A56='Données projet'!$A$62,'Données projet'!$B$62,AI55+AH56-AQ55)))</f>
        <v>279.2000000000001</v>
      </c>
      <c r="AJ56" s="13">
        <f>AI56*VLOOKUP('Données projet'!$B$10,Paramètres!$A$1:$I$89,3,0)*VLOOKUP('Données projet'!$B$10,Paramètres!$A$1:$I$89,5,0)</f>
        <v>239.5536000000001</v>
      </c>
      <c r="AK56" s="13">
        <f t="shared" si="35"/>
        <v>58.343474943343601</v>
      </c>
      <c r="AL56" s="20">
        <f t="shared" si="4"/>
        <v>518.83740552632355</v>
      </c>
      <c r="AM56" s="59">
        <f t="shared" si="5"/>
        <v>775.91278373285672</v>
      </c>
      <c r="AN56" s="59">
        <f ca="1">AVERAGE(OFFSET($AM$3,0,0,'Données projet'!$E$10+1,1))-AVERAGE(OFFSET($H$3,0,0,'Données projet'!$E$10+1,1))</f>
        <v>569.97793593332699</v>
      </c>
      <c r="AO56" s="59">
        <f t="shared" si="36"/>
        <v>331.25104323342907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57.515787749108057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57.515787749108057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277.99999999999994</v>
      </c>
      <c r="BE56" s="13">
        <f>BD56*VLOOKUP('Données projet'!$B$11,Paramètres!$A$1:$I$89,3,0)*VLOOKUP('Données projet'!$B$11,Paramètres!$A$1:$I$89,5,0)</f>
        <v>151.78799999999998</v>
      </c>
      <c r="BF56" s="13">
        <f t="shared" si="37"/>
        <v>38.984634390835623</v>
      </c>
      <c r="BG56" s="20">
        <f t="shared" si="7"/>
        <v>332.26233823070532</v>
      </c>
      <c r="BH56" s="59">
        <f t="shared" si="8"/>
        <v>589.33771643723856</v>
      </c>
      <c r="BI56" s="59">
        <f ca="1">AVERAGE(OFFSET($BH$3,0,0,'Données projet'!$E$11+1,1))-AVERAGE(OFFSET($H$3,0,0,'Données projet'!$E$11+1,1))</f>
        <v>215.37314197175104</v>
      </c>
      <c r="BJ56" s="59">
        <f t="shared" si="38"/>
        <v>361.17630426655978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23.276567849614626</v>
      </c>
      <c r="BQ56" s="21">
        <f>EXP(-LN(2)/25)*BQ55+(1-EXP(-LN(2)/25))/(LN(2)/25)*Calculateur!BL56*Calculateur!BN56*VLOOKUP('Données projet'!$B$11,Paramètres!$A$1:$I$89,3,0)*0.475*44/12</f>
        <v>50.758783407040156</v>
      </c>
      <c r="BR56" s="21">
        <f>EXP(-LN(2)/2)*BR55+(1-EXP(-LN(2)/2))/(LN(2)/2)*BL56*BO56*VLOOKUP('Données projet'!$B$11,Paramètres!$A$1:$I$89,3,0)*0.475*44/12</f>
        <v>8.7545245620511529E-6</v>
      </c>
      <c r="BS56" s="22">
        <f t="shared" si="9"/>
        <v>74.035360011179336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25.705000000000002</v>
      </c>
      <c r="BY56" s="12">
        <f>IF('Données projet'!$A$114&gt;35,BY55+BX56-CG55,IF(A56&lt;'Données projet'!$A$114,$BV$205^A56,IF(A56='Données projet'!$A$114,'Données projet'!$B$114,BY55+BX56-CG55)))</f>
        <v>682.90500000000031</v>
      </c>
      <c r="BZ56" s="13">
        <f>BY56*VLOOKUP('Données projet'!$B$12,Paramètres!$A$1:$I$89,3,0)*VLOOKUP('Données projet'!$B$12,Paramètres!$A$1:$I$89,5,0)</f>
        <v>381.74389500000018</v>
      </c>
      <c r="CA56" s="13">
        <f t="shared" si="39"/>
        <v>88.065517757867923</v>
      </c>
      <c r="CB56" s="20">
        <f t="shared" si="10"/>
        <v>818.25139388662035</v>
      </c>
      <c r="CC56" s="59">
        <f t="shared" si="11"/>
        <v>1075.3267720931535</v>
      </c>
      <c r="CD56" s="59">
        <f ca="1">AVERAGE(OFFSET($CC$3,0,0,'Données projet'!$E$12+1,1))-AVERAGE(OFFSET($H$3,0,0,'Données projet'!$E$12+1,1))</f>
        <v>420.4890915162182</v>
      </c>
      <c r="CE56" s="59">
        <f t="shared" si="40"/>
        <v>553.48432338023565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92.380327494231651</v>
      </c>
      <c r="CL56" s="21">
        <f>EXP(-LN(2)/25)*CL55+(1-EXP(-LN(2)/25))/(LN(2)/25)*Calculateur!CG56*Calculateur!CI56*VLOOKUP('Données projet'!$B$12,Paramètres!$A$1:$I$89,3,0)*0.475*44/12</f>
        <v>26.727373176034533</v>
      </c>
      <c r="CM56" s="21">
        <f>EXP(-LN(2)/2)*CM55+(1-EXP(-LN(2)/2))/(LN(2)/2)*CG56*CJ56*VLOOKUP('Données projet'!$B$12,Paramètres!$A$1:$I$89,3,0)*0.475*44/12</f>
        <v>2.5547012873020135E-4</v>
      </c>
      <c r="CN56" s="22">
        <f t="shared" si="12"/>
        <v>119.10795614039492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8.4</v>
      </c>
      <c r="CT56" s="12">
        <f>IF('Données projet'!$A$140&gt;35,CT55+CS56-DB55,IF(A56&lt;'Données projet'!$A$140,$CQ$205^A56,IF(A56='Données projet'!$A$140,'Données projet'!$B$140,CT55+CS56-DB55)))</f>
        <v>307.19999999999987</v>
      </c>
      <c r="CU56" s="17">
        <f>CT56*VLOOKUP('Données projet'!$B$13,Paramètres!$A$1:$I$89,3,0)*VLOOKUP('Données projet'!$B$13,Paramètres!$A$1:$I$89,5,0)</f>
        <v>225.2390399999999</v>
      </c>
      <c r="CV56" s="13">
        <f t="shared" si="41"/>
        <v>55.252000822487368</v>
      </c>
      <c r="CW56" s="20">
        <f t="shared" si="13"/>
        <v>488.5218960991653</v>
      </c>
      <c r="CX56" s="59">
        <f t="shared" si="14"/>
        <v>745.59727430569853</v>
      </c>
      <c r="CY56" s="59">
        <f ca="1">AVERAGE(OFFSET($CX$3,0,0,'Données projet'!$E$13+1,1))-AVERAGE(OFFSET($H$3,0,0,'Données projet'!$E$13+1,1))</f>
        <v>400.48995908576177</v>
      </c>
      <c r="CZ56" s="59">
        <f t="shared" si="42"/>
        <v>384.86917865380076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35.656419207336754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35.656419207336754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8.4</v>
      </c>
      <c r="DO56" s="12">
        <f>IF('Données projet'!$A$166&gt;35,DO55+DN56-DW55,IF(A56&lt;'Données projet'!$A$166,$DL$205^A56,IF(A56='Données projet'!$A$166,'Données projet'!$B$166,DO55+DN56-DW55)))</f>
        <v>307.19999999999987</v>
      </c>
      <c r="DP56" s="17">
        <f>DO56*VLOOKUP('Données projet'!$B$14,Paramètres!$A$1:$I$89,3,0)*VLOOKUP('Données projet'!$B$14,Paramètres!$A$1:$I$89,5,0)</f>
        <v>244.40831999999992</v>
      </c>
      <c r="DQ56" s="13">
        <f t="shared" si="43"/>
        <v>59.38699493610541</v>
      </c>
      <c r="DR56" s="20">
        <f t="shared" si="16"/>
        <v>529.11017351371675</v>
      </c>
      <c r="DS56" s="59">
        <f t="shared" si="17"/>
        <v>786.18555172025003</v>
      </c>
      <c r="DT56" s="59">
        <f ca="1">AVERAGE(OFFSET($DS$3,0,0,'Données projet'!$E$14+1,1))-AVERAGE(OFFSET($H$3,0,0,'Données projet'!$E$14+1,1))</f>
        <v>429.30603040255431</v>
      </c>
      <c r="DU56" s="59">
        <f t="shared" si="44"/>
        <v>412.18613903804726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47.688916930940763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47.688916930940763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6.0096153846153868</v>
      </c>
      <c r="EJ56" s="12">
        <f>IF('Données projet'!$A$192&gt;35,EJ55+EI56-ER55,IF(A56&lt;'Données projet'!$A$192,$EG$205^A56,IF(A56='Données projet'!$A$192,'Données projet'!$B$192,EJ55+EI56-ER55)))</f>
        <v>148.31730769230768</v>
      </c>
      <c r="EK56" s="17">
        <f>EJ56*VLOOKUP('Données projet'!$B$15,Paramètres!$A$1:$I$89,3,0)*VLOOKUP('Données projet'!$B$15,Paramètres!$A$1:$I$89,5,0)</f>
        <v>115.6875</v>
      </c>
      <c r="EL56" s="13">
        <f t="shared" si="45"/>
        <v>30.667047071789558</v>
      </c>
      <c r="EM56" s="20">
        <f t="shared" si="19"/>
        <v>254.90083615003348</v>
      </c>
      <c r="EN56" s="59">
        <f t="shared" si="20"/>
        <v>511.97621435656674</v>
      </c>
      <c r="EO56" s="59">
        <f ca="1">AVERAGE(OFFSET($EN$3,0,0,'Données projet'!$E$15+1,1))-AVERAGE(OFFSET($H$3,0,0,'Données projet'!$E$15+1,1))</f>
        <v>217.53602321474159</v>
      </c>
      <c r="EP56" s="59">
        <f t="shared" si="46"/>
        <v>215.75909414893025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31.503376814623646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31.503376814623646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12.271428571428576</v>
      </c>
      <c r="FE56" s="12">
        <f>IF('Données projet'!$A$218&gt;35,FE55+FD56-FM55,IF(A56&lt;'Données projet'!$A$218,$FB$205^A56,IF(A56='Données projet'!$A$218,'Données projet'!$B$218,FE55+FD56-FM55)))</f>
        <v>253.12714285714293</v>
      </c>
      <c r="FF56" s="17">
        <f>FE56*VLOOKUP('Données projet'!$B$16,Paramètres!$A$1:$I$89,3,0)*VLOOKUP('Données projet'!$B$16,Paramètres!$A$1:$I$89,5,0)</f>
        <v>169.79768742857149</v>
      </c>
      <c r="FG56" s="13">
        <f t="shared" si="47"/>
        <v>43.044709159615941</v>
      </c>
      <c r="FH56" s="20">
        <f t="shared" si="22"/>
        <v>370.70050739109303</v>
      </c>
      <c r="FI56" s="59">
        <f t="shared" si="23"/>
        <v>627.77588559762626</v>
      </c>
      <c r="FJ56" s="59">
        <f ca="1">AVERAGE(OFFSET($FI$3,0,0,'Données projet'!$E$16+1,1))-AVERAGE(OFFSET($H$3,0,0,'Données projet'!$E$16+1,1))</f>
        <v>441.20130048888439</v>
      </c>
      <c r="FK56" s="59">
        <f t="shared" si="48"/>
        <v>237.47732532183946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55.594934947863443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55.594934947863443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5.6</v>
      </c>
      <c r="FZ56" s="12">
        <f>IF('Données projet'!$A$244&gt;35,FZ55+FY56-GH55,IF(A56&lt;'Données projet'!$A$244,$FW$205^A56,IF(A56='Données projet'!$A$244,'Données projet'!$B$244,FZ55+FY56-GH55)))</f>
        <v>179.80000000000004</v>
      </c>
      <c r="GA56" s="17">
        <f>FZ56*VLOOKUP('Données projet'!$B$17,Paramètres!$A$1:$I$89,3,0)*VLOOKUP('Données projet'!$B$17,Paramètres!$A$1:$I$89,5,0)</f>
        <v>117.80496000000004</v>
      </c>
      <c r="GB56" s="13">
        <f t="shared" si="49"/>
        <v>31.162493487829593</v>
      </c>
      <c r="GC56" s="20">
        <f t="shared" si="25"/>
        <v>259.45164815796994</v>
      </c>
      <c r="GD56" s="59">
        <f t="shared" si="26"/>
        <v>516.52702636450317</v>
      </c>
      <c r="GE56" s="59">
        <f ca="1">AVERAGE(OFFSET($GD$3,0,0,'Données projet'!$E$17+1,1))-AVERAGE(OFFSET($H$3,0,0,'Données projet'!$E$17+1,1))</f>
        <v>257.66104339896992</v>
      </c>
      <c r="GF56" s="59">
        <f t="shared" si="50"/>
        <v>254.79488636184996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21.887056451328466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21.887056451328466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5.4</v>
      </c>
      <c r="GU56" s="12">
        <f>IF('Données projet'!$A$270&gt;35,GU55+GT56-HC55,IF(A56&lt;'Données projet'!$A$270,$GR$205^A56,IF(A56='Données projet'!$A$270,'Données projet'!$B$270,GU55+GT56-HC55)))</f>
        <v>173.20000000000005</v>
      </c>
      <c r="GV56" s="17">
        <f>GU56*VLOOKUP('Données projet'!$B$18,Paramètres!$A$1:$I$89,3,0)*VLOOKUP('Données projet'!$B$18,Paramètres!$A$1:$I$89,5,0)</f>
        <v>140.49984000000003</v>
      </c>
      <c r="GW56" s="13">
        <f t="shared" si="51"/>
        <v>36.411488058235591</v>
      </c>
      <c r="GX56" s="20">
        <f t="shared" si="28"/>
        <v>308.12056303476032</v>
      </c>
      <c r="GY56" s="59">
        <f t="shared" si="29"/>
        <v>565.19594124129355</v>
      </c>
      <c r="GZ56" s="59">
        <f ca="1">AVERAGE(OFFSET($GY$3,0,0,'Données projet'!$E$18+1,1))-AVERAGE(OFFSET($H$3,0,0,'Données projet'!$E$18+1,1))</f>
        <v>299.98377156721153</v>
      </c>
      <c r="HA56" s="59">
        <f t="shared" si="52"/>
        <v>241.36164657721102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16.809347386226722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16.809347386226722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12.271428571428576</v>
      </c>
      <c r="N57" s="13">
        <f>IF('Données projet'!$A$36&gt;35,N56+M57-V56,IF(A57&lt;'Données projet'!$A$36,$K$205^A57,IF(A57='Données projet'!$A$36,'Données projet'!$B$36,N56+M57-V56)))</f>
        <v>265.39857142857153</v>
      </c>
      <c r="O57" s="13">
        <f>N57*VLOOKUP('Données projet'!$B$9,Paramètres!$A$1:$I$89,3,0)*VLOOKUP('Données projet'!$B$9,Paramètres!$A$1:$I$89,5,0)</f>
        <v>240.13262742857151</v>
      </c>
      <c r="P57" s="13">
        <f t="shared" si="33"/>
        <v>58.468065001979483</v>
      </c>
      <c r="Q57" s="20">
        <f t="shared" si="53"/>
        <v>520.06287264987634</v>
      </c>
      <c r="R57" s="59">
        <f t="shared" si="0"/>
        <v>777.76724531721561</v>
      </c>
      <c r="S57" s="59">
        <f ca="1">AVERAGE(OFFSET($R$3,0,0,'Données projet'!$E$9+1,1))-AVERAGE(OFFSET($H$3,0,0,'Données projet'!$E$9+1,1))</f>
        <v>567.42635821507474</v>
      </c>
      <c r="T57" s="59">
        <f t="shared" si="34"/>
        <v>299.04735309930152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59.646709936220297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59.646709936220297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13.4</v>
      </c>
      <c r="AI57" s="13">
        <f>IF('Données projet'!$A$62&gt;35,AI56+AH57-AQ56,IF(A57&lt;'Données projet'!$A$62,$AF$205^A57,IF(A57='Données projet'!$A$62,'Données projet'!$B$62,AI56+AH57-AQ56)))</f>
        <v>292.60000000000008</v>
      </c>
      <c r="AJ57" s="13">
        <f>AI57*VLOOKUP('Données projet'!$B$10,Paramètres!$A$1:$I$89,3,0)*VLOOKUP('Données projet'!$B$10,Paramètres!$A$1:$I$89,5,0)</f>
        <v>251.05080000000009</v>
      </c>
      <c r="AK57" s="13">
        <f t="shared" si="35"/>
        <v>60.810898898941176</v>
      </c>
      <c r="AL57" s="20">
        <f t="shared" si="4"/>
        <v>543.15912558232264</v>
      </c>
      <c r="AM57" s="59">
        <f t="shared" si="5"/>
        <v>800.86349824966192</v>
      </c>
      <c r="AN57" s="59">
        <f ca="1">AVERAGE(OFFSET($AM$3,0,0,'Données projet'!$E$10+1,1))-AVERAGE(OFFSET($H$3,0,0,'Données projet'!$E$10+1,1))</f>
        <v>569.97793593332699</v>
      </c>
      <c r="AO57" s="59">
        <f t="shared" si="36"/>
        <v>331.25104323342907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56.3879382325146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56.3879382325146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277.99999999999994</v>
      </c>
      <c r="BE57" s="13">
        <f>BD57*VLOOKUP('Données projet'!$B$11,Paramètres!$A$1:$I$89,3,0)*VLOOKUP('Données projet'!$B$11,Paramètres!$A$1:$I$89,5,0)</f>
        <v>151.78799999999998</v>
      </c>
      <c r="BF57" s="13">
        <f t="shared" si="37"/>
        <v>38.984634390835623</v>
      </c>
      <c r="BG57" s="20">
        <f t="shared" si="7"/>
        <v>332.26233823070532</v>
      </c>
      <c r="BH57" s="59">
        <f t="shared" si="8"/>
        <v>589.96671089804465</v>
      </c>
      <c r="BI57" s="59">
        <f ca="1">AVERAGE(OFFSET($BH$3,0,0,'Données projet'!$E$11+1,1))-AVERAGE(OFFSET($H$3,0,0,'Données projet'!$E$11+1,1))</f>
        <v>215.37314197175104</v>
      </c>
      <c r="BJ57" s="59">
        <f t="shared" si="38"/>
        <v>361.17630426655978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22.820128551388205</v>
      </c>
      <c r="BQ57" s="21">
        <f>EXP(-LN(2)/25)*BQ56+(1-EXP(-LN(2)/25))/(LN(2)/25)*Calculateur!BL57*Calculateur!BN57*VLOOKUP('Données projet'!$B$11,Paramètres!$A$1:$I$89,3,0)*0.475*44/12</f>
        <v>49.370781805486232</v>
      </c>
      <c r="BR57" s="21">
        <f>EXP(-LN(2)/2)*BR56+(1-EXP(-LN(2)/2))/(LN(2)/2)*BL57*BO57*VLOOKUP('Données projet'!$B$11,Paramètres!$A$1:$I$89,3,0)*0.475*44/12</f>
        <v>6.1903836838905605E-6</v>
      </c>
      <c r="BS57" s="22">
        <f t="shared" si="9"/>
        <v>72.190916547258126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>
        <f>VLOOKUP(A57,'Données projet'!$A$113:$I$133,2,0)</f>
        <v>708.61</v>
      </c>
      <c r="BW57" s="12">
        <f>VLOOKUP(A57,'Données projet'!$A$113:$I$133,9,0)</f>
        <v>25.705000000000002</v>
      </c>
      <c r="BX57" s="12">
        <f t="array" ref="BX57">INDEX(BW:BW,MIN(IF(ISNUMBER(BW57:BW253),ROW(BW57:BW253),"")))</f>
        <v>25.705000000000002</v>
      </c>
      <c r="BY57" s="12">
        <f>IF('Données projet'!$A$114&gt;35,BY56+BX57-CG56,IF(A57&lt;'Données projet'!$A$114,$BV$205^A57,IF(A57='Données projet'!$A$114,'Données projet'!$B$114,BY56+BX57-CG56)))</f>
        <v>708.61000000000035</v>
      </c>
      <c r="BZ57" s="13">
        <f>BY57*VLOOKUP('Données projet'!$B$12,Paramètres!$A$1:$I$89,3,0)*VLOOKUP('Données projet'!$B$12,Paramètres!$A$1:$I$89,5,0)</f>
        <v>396.1129900000002</v>
      </c>
      <c r="CA57" s="13">
        <f t="shared" si="39"/>
        <v>90.988186296707582</v>
      </c>
      <c r="CB57" s="20">
        <f t="shared" si="10"/>
        <v>848.36788205009941</v>
      </c>
      <c r="CC57" s="59">
        <f t="shared" si="11"/>
        <v>1106.0722547174387</v>
      </c>
      <c r="CD57" s="59">
        <f ca="1">AVERAGE(OFFSET($CC$3,0,0,'Données projet'!$E$12+1,1))-AVERAGE(OFFSET($H$3,0,0,'Données projet'!$E$12+1,1))</f>
        <v>420.4890915162182</v>
      </c>
      <c r="CE57" s="59">
        <f t="shared" si="40"/>
        <v>553.48432338023565</v>
      </c>
      <c r="CF57" s="15">
        <f>IF(ISNA(VLOOKUP(A57,'Données projet'!$A$113:$I$133,3,0)),0,VLOOKUP(A57,'Données projet'!$A$113:$I$133,3,0))</f>
        <v>7</v>
      </c>
      <c r="CG57" s="15">
        <f>IF(ISNA(VLOOKUP(A57,'Données projet'!$A$113:$I$133,4,0)),0,VLOOKUP(A57,'Données projet'!$A$113:$I$133,4,0))</f>
        <v>707.75</v>
      </c>
      <c r="CH57" s="16">
        <f>IF(ISNA(VLOOKUP(A57,'Données projet'!$A$113:$I$133,5,0)),0%,VLOOKUP(A57,'Données projet'!$A$113:$I$133,5,0)*VLOOKUP('Données projet'!$B$12,Paramètres!$A$1:$I$89,7,0))</f>
        <v>0.55000000000000004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379.22622977006932</v>
      </c>
      <c r="CL57" s="21">
        <f>EXP(-LN(2)/25)*CL56+(1-EXP(-LN(2)/25))/(LN(2)/25)*Calculateur!CG57*Calculateur!CI57*VLOOKUP('Données projet'!$B$12,Paramètres!$A$1:$I$89,3,0)*0.475*44/12</f>
        <v>25.996511751004398</v>
      </c>
      <c r="CM57" s="21">
        <f>EXP(-LN(2)/2)*CM56+(1-EXP(-LN(2)/2))/(LN(2)/2)*CG57*CJ57*VLOOKUP('Données projet'!$B$12,Paramètres!$A$1:$I$89,3,0)*0.475*44/12</f>
        <v>1.8064466041572562E-4</v>
      </c>
      <c r="CN57" s="22">
        <f t="shared" si="12"/>
        <v>405.22292216573413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8.4</v>
      </c>
      <c r="CT57" s="12">
        <f>IF('Données projet'!$A$140&gt;35,CT56+CS57-DB56,IF(A57&lt;'Données projet'!$A$140,$CQ$205^A57,IF(A57='Données projet'!$A$140,'Données projet'!$B$140,CT56+CS57-DB56)))</f>
        <v>315.59999999999985</v>
      </c>
      <c r="CU57" s="17">
        <f>CT57*VLOOKUP('Données projet'!$B$13,Paramètres!$A$1:$I$89,3,0)*VLOOKUP('Données projet'!$B$13,Paramètres!$A$1:$I$89,5,0)</f>
        <v>231.39791999999986</v>
      </c>
      <c r="CV57" s="13">
        <f t="shared" si="41"/>
        <v>56.584837838715806</v>
      </c>
      <c r="CW57" s="20">
        <f t="shared" si="13"/>
        <v>501.5699699024297</v>
      </c>
      <c r="CX57" s="59">
        <f t="shared" si="14"/>
        <v>759.27434256976903</v>
      </c>
      <c r="CY57" s="59">
        <f ca="1">AVERAGE(OFFSET($CX$3,0,0,'Données projet'!$E$13+1,1))-AVERAGE(OFFSET($H$3,0,0,'Données projet'!$E$13+1,1))</f>
        <v>400.48995908576177</v>
      </c>
      <c r="CZ57" s="59">
        <f t="shared" si="42"/>
        <v>384.86917865380076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34.957218574949131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34.957218574949131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8.4</v>
      </c>
      <c r="DO57" s="12">
        <f>IF('Données projet'!$A$166&gt;35,DO56+DN57-DW56,IF(A57&lt;'Données projet'!$A$166,$DL$205^A57,IF(A57='Données projet'!$A$166,'Données projet'!$B$166,DO56+DN57-DW56)))</f>
        <v>315.59999999999985</v>
      </c>
      <c r="DP57" s="17">
        <f>DO57*VLOOKUP('Données projet'!$B$14,Paramètres!$A$1:$I$89,3,0)*VLOOKUP('Données projet'!$B$14,Paramètres!$A$1:$I$89,5,0)</f>
        <v>251.0913599999999</v>
      </c>
      <c r="DQ57" s="13">
        <f t="shared" si="43"/>
        <v>60.81957989149403</v>
      </c>
      <c r="DR57" s="20">
        <f t="shared" si="16"/>
        <v>543.24488697768527</v>
      </c>
      <c r="DS57" s="59">
        <f t="shared" si="17"/>
        <v>800.94925964502454</v>
      </c>
      <c r="DT57" s="59">
        <f ca="1">AVERAGE(OFFSET($DS$3,0,0,'Données projet'!$E$14+1,1))-AVERAGE(OFFSET($H$3,0,0,'Données projet'!$E$14+1,1))</f>
        <v>429.30603040255431</v>
      </c>
      <c r="DU57" s="59">
        <f t="shared" si="44"/>
        <v>412.18613903804726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46.753766357292207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46.753766357292207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6.0096153846153868</v>
      </c>
      <c r="EJ57" s="12">
        <f>IF('Données projet'!$A$192&gt;35,EJ56+EI57-ER56,IF(A57&lt;'Données projet'!$A$192,$EG$205^A57,IF(A57='Données projet'!$A$192,'Données projet'!$B$192,EJ56+EI57-ER56)))</f>
        <v>154.32692307692307</v>
      </c>
      <c r="EK57" s="17">
        <f>EJ57*VLOOKUP('Données projet'!$B$15,Paramètres!$A$1:$I$89,3,0)*VLOOKUP('Données projet'!$B$15,Paramètres!$A$1:$I$89,5,0)</f>
        <v>120.375</v>
      </c>
      <c r="EL57" s="13">
        <f t="shared" si="45"/>
        <v>31.762445997133341</v>
      </c>
      <c r="EM57" s="20">
        <f t="shared" si="19"/>
        <v>264.97271844500727</v>
      </c>
      <c r="EN57" s="59">
        <f t="shared" si="20"/>
        <v>522.6770911123466</v>
      </c>
      <c r="EO57" s="59">
        <f ca="1">AVERAGE(OFFSET($EN$3,0,0,'Données projet'!$E$15+1,1))-AVERAGE(OFFSET($H$3,0,0,'Données projet'!$E$15+1,1))</f>
        <v>217.53602321474159</v>
      </c>
      <c r="EP57" s="59">
        <f t="shared" si="46"/>
        <v>215.75909414893025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30.885614810451393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30.885614810451393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12.271428571428576</v>
      </c>
      <c r="FE57" s="12">
        <f>IF('Données projet'!$A$218&gt;35,FE56+FD57-FM56,IF(A57&lt;'Données projet'!$A$218,$FB$205^A57,IF(A57='Données projet'!$A$218,'Données projet'!$B$218,FE56+FD57-FM56)))</f>
        <v>265.39857142857153</v>
      </c>
      <c r="FF57" s="17">
        <f>FE57*VLOOKUP('Données projet'!$B$16,Paramètres!$A$1:$I$89,3,0)*VLOOKUP('Données projet'!$B$16,Paramètres!$A$1:$I$89,5,0)</f>
        <v>178.02936171428578</v>
      </c>
      <c r="FG57" s="13">
        <f t="shared" si="47"/>
        <v>44.883474953850168</v>
      </c>
      <c r="FH57" s="20">
        <f t="shared" si="22"/>
        <v>388.2398571970034</v>
      </c>
      <c r="FI57" s="59">
        <f t="shared" si="23"/>
        <v>645.94422986434279</v>
      </c>
      <c r="FJ57" s="59">
        <f ca="1">AVERAGE(OFFSET($FI$3,0,0,'Données projet'!$E$16+1,1))-AVERAGE(OFFSET($H$3,0,0,'Données projet'!$E$16+1,1))</f>
        <v>441.20130048888439</v>
      </c>
      <c r="FK57" s="59">
        <f t="shared" si="48"/>
        <v>237.47732532183946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54.504752183097871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54.504752183097871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5.6</v>
      </c>
      <c r="FZ57" s="12">
        <f>IF('Données projet'!$A$244&gt;35,FZ56+FY57-GH56,IF(A57&lt;'Données projet'!$A$244,$FW$205^A57,IF(A57='Données projet'!$A$244,'Données projet'!$B$244,FZ56+FY57-GH56)))</f>
        <v>185.40000000000003</v>
      </c>
      <c r="GA57" s="17">
        <f>FZ57*VLOOKUP('Données projet'!$B$17,Paramètres!$A$1:$I$89,3,0)*VLOOKUP('Données projet'!$B$17,Paramètres!$A$1:$I$89,5,0)</f>
        <v>121.47408000000001</v>
      </c>
      <c r="GB57" s="13">
        <f t="shared" si="49"/>
        <v>32.018559567275666</v>
      </c>
      <c r="GC57" s="20">
        <f t="shared" si="25"/>
        <v>267.33301391300517</v>
      </c>
      <c r="GD57" s="59">
        <f t="shared" si="26"/>
        <v>525.03738658034445</v>
      </c>
      <c r="GE57" s="59">
        <f ca="1">AVERAGE(OFFSET($GD$3,0,0,'Données projet'!$E$17+1,1))-AVERAGE(OFFSET($H$3,0,0,'Données projet'!$E$17+1,1))</f>
        <v>257.66104339896992</v>
      </c>
      <c r="GF57" s="59">
        <f t="shared" si="50"/>
        <v>254.79488636184996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21.457864624104168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21.457864624104168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5.4</v>
      </c>
      <c r="GU57" s="12">
        <f>IF('Données projet'!$A$270&gt;35,GU56+GT57-HC56,IF(A57&lt;'Données projet'!$A$270,$GR$205^A57,IF(A57='Données projet'!$A$270,'Données projet'!$B$270,GU56+GT57-HC56)))</f>
        <v>178.60000000000005</v>
      </c>
      <c r="GV57" s="17">
        <f>GU57*VLOOKUP('Données projet'!$B$18,Paramètres!$A$1:$I$89,3,0)*VLOOKUP('Données projet'!$B$18,Paramètres!$A$1:$I$89,5,0)</f>
        <v>144.88032000000004</v>
      </c>
      <c r="GW57" s="13">
        <f t="shared" si="51"/>
        <v>37.412778923310412</v>
      </c>
      <c r="GX57" s="20">
        <f t="shared" si="28"/>
        <v>317.493813958099</v>
      </c>
      <c r="GY57" s="59">
        <f t="shared" si="29"/>
        <v>575.19818662543832</v>
      </c>
      <c r="GZ57" s="59">
        <f ca="1">AVERAGE(OFFSET($GY$3,0,0,'Données projet'!$E$18+1,1))-AVERAGE(OFFSET($H$3,0,0,'Données projet'!$E$18+1,1))</f>
        <v>299.98377156721153</v>
      </c>
      <c r="HA57" s="59">
        <f t="shared" si="52"/>
        <v>241.36164657721102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16.479726336672353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16.479726336672353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277.67</v>
      </c>
      <c r="L58" s="12">
        <f>VLOOKUP(A58,'Données projet'!$A$35:$I$55,9,0)</f>
        <v>12.271428571428576</v>
      </c>
      <c r="M58" s="12">
        <f t="array" ref="M58">INDEX(L:L,MIN(IF(ISNUMBER(L58:L254),ROW(L58:L254),"")))</f>
        <v>12.271428571428576</v>
      </c>
      <c r="N58" s="13">
        <f>IF('Données projet'!$A$36&gt;35,N57+M58-V57,IF(A58&lt;'Données projet'!$A$36,$K$205^A58,IF(A58='Données projet'!$A$36,'Données projet'!$B$36,N57+M58-V57)))</f>
        <v>277.67000000000013</v>
      </c>
      <c r="O58" s="13">
        <f>N58*VLOOKUP('Données projet'!$B$9,Paramètres!$A$1:$I$89,3,0)*VLOOKUP('Données projet'!$B$9,Paramètres!$A$1:$I$89,5,0)</f>
        <v>251.23581600000009</v>
      </c>
      <c r="P58" s="13">
        <f t="shared" si="33"/>
        <v>60.850496254681879</v>
      </c>
      <c r="Q58" s="20">
        <f t="shared" si="53"/>
        <v>543.55032717690437</v>
      </c>
      <c r="R58" s="59">
        <f t="shared" si="0"/>
        <v>801.87278265737575</v>
      </c>
      <c r="S58" s="59">
        <f ca="1">AVERAGE(OFFSET($R$3,0,0,'Données projet'!$E$9+1,1))-AVERAGE(OFFSET($H$3,0,0,'Données projet'!$E$9+1,1))</f>
        <v>567.42635821507474</v>
      </c>
      <c r="T58" s="59">
        <f t="shared" si="34"/>
        <v>299.04735309930152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58.24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83.526024239001245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83.526024239001245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306</v>
      </c>
      <c r="AG58" s="12">
        <f>VLOOKUP(A58,'Données projet'!$A$61:$I$81,9,0)</f>
        <v>13.4</v>
      </c>
      <c r="AH58" s="12">
        <f t="array" ref="AH58">INDEX(AG:AG,MIN(IF(ISNUMBER(AG58:AG254),ROW(AG58:AG254),"")))</f>
        <v>13.4</v>
      </c>
      <c r="AI58" s="13">
        <f>IF('Données projet'!$A$62&gt;35,AI57+AH58-AQ57,IF(A58&lt;'Données projet'!$A$62,$AF$205^A58,IF(A58='Données projet'!$A$62,'Données projet'!$B$62,AI57+AH58-AQ57)))</f>
        <v>306.00000000000006</v>
      </c>
      <c r="AJ58" s="13">
        <f>AI58*VLOOKUP('Données projet'!$B$10,Paramètres!$A$1:$I$89,3,0)*VLOOKUP('Données projet'!$B$10,Paramètres!$A$1:$I$89,5,0)</f>
        <v>262.54800000000006</v>
      </c>
      <c r="AK58" s="13">
        <f t="shared" si="35"/>
        <v>63.265199933079444</v>
      </c>
      <c r="AL58" s="20">
        <f t="shared" si="4"/>
        <v>567.45798988344677</v>
      </c>
      <c r="AM58" s="59">
        <f t="shared" si="5"/>
        <v>825.78044536391815</v>
      </c>
      <c r="AN58" s="59">
        <f ca="1">AVERAGE(OFFSET($AM$3,0,0,'Données projet'!$E$10+1,1))-AVERAGE(OFFSET($H$3,0,0,'Données projet'!$E$10+1,1))</f>
        <v>569.97793593332699</v>
      </c>
      <c r="AO58" s="59">
        <f t="shared" si="36"/>
        <v>331.25104323342907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0.53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72.876761170629749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72.876761170629749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277.99999999999994</v>
      </c>
      <c r="BE58" s="13">
        <f>BD58*VLOOKUP('Données projet'!$B$11,Paramètres!$A$1:$I$89,3,0)*VLOOKUP('Données projet'!$B$11,Paramètres!$A$1:$I$89,5,0)</f>
        <v>151.78799999999998</v>
      </c>
      <c r="BF58" s="13">
        <f t="shared" si="37"/>
        <v>38.984634390835623</v>
      </c>
      <c r="BG58" s="20">
        <f t="shared" si="7"/>
        <v>332.26233823070532</v>
      </c>
      <c r="BH58" s="59">
        <f t="shared" si="8"/>
        <v>590.58479371117664</v>
      </c>
      <c r="BI58" s="59">
        <f ca="1">AVERAGE(OFFSET($BH$3,0,0,'Données projet'!$E$11+1,1))-AVERAGE(OFFSET($H$3,0,0,'Données projet'!$E$11+1,1))</f>
        <v>215.37314197175104</v>
      </c>
      <c r="BJ58" s="59">
        <f t="shared" si="38"/>
        <v>361.17630426655978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22.372639749399521</v>
      </c>
      <c r="BQ58" s="21">
        <f>EXP(-LN(2)/25)*BQ57+(1-EXP(-LN(2)/25))/(LN(2)/25)*Calculateur!BL58*Calculateur!BN58*VLOOKUP('Données projet'!$B$11,Paramètres!$A$1:$I$89,3,0)*0.475*44/12</f>
        <v>48.020735180718631</v>
      </c>
      <c r="BR58" s="21">
        <f>EXP(-LN(2)/2)*BR57+(1-EXP(-LN(2)/2))/(LN(2)/2)*BL58*BO58*VLOOKUP('Données projet'!$B$11,Paramètres!$A$1:$I$89,3,0)*0.475*44/12</f>
        <v>4.3772622810255764E-6</v>
      </c>
      <c r="BS58" s="22">
        <f t="shared" si="9"/>
        <v>70.393379307380442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0.8600000000003547</v>
      </c>
      <c r="BZ58" s="13">
        <f>BY58*VLOOKUP('Données projet'!$B$12,Paramètres!$A$1:$I$89,3,0)*VLOOKUP('Données projet'!$B$12,Paramètres!$A$1:$I$89,5,0)</f>
        <v>0.48074000000019829</v>
      </c>
      <c r="CA58" s="13">
        <f t="shared" si="39"/>
        <v>0.24126147010950588</v>
      </c>
      <c r="CB58" s="20">
        <f t="shared" si="10"/>
        <v>1.2574858937744013</v>
      </c>
      <c r="CC58" s="59">
        <f t="shared" si="11"/>
        <v>259.57994137424578</v>
      </c>
      <c r="CD58" s="59">
        <f ca="1">AVERAGE(OFFSET($CC$3,0,0,'Données projet'!$E$12+1,1))-AVERAGE(OFFSET($H$3,0,0,'Données projet'!$E$12+1,1))</f>
        <v>420.4890915162182</v>
      </c>
      <c r="CE58" s="59">
        <f t="shared" si="40"/>
        <v>553.48432338023565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371.78983470943894</v>
      </c>
      <c r="CL58" s="21">
        <f>EXP(-LN(2)/25)*CL57+(1-EXP(-LN(2)/25))/(LN(2)/25)*Calculateur!CG58*Calculateur!CI58*VLOOKUP('Données projet'!$B$12,Paramètres!$A$1:$I$89,3,0)*0.475*44/12</f>
        <v>25.285635770076045</v>
      </c>
      <c r="CM58" s="21">
        <f>EXP(-LN(2)/2)*CM57+(1-EXP(-LN(2)/2))/(LN(2)/2)*CG58*CJ58*VLOOKUP('Données projet'!$B$12,Paramètres!$A$1:$I$89,3,0)*0.475*44/12</f>
        <v>1.2773506436510067E-4</v>
      </c>
      <c r="CN58" s="22">
        <f t="shared" si="12"/>
        <v>397.07559821457937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324</v>
      </c>
      <c r="CR58" s="12">
        <f>VLOOKUP(A58,'Données projet'!$A$139:$I$159,9,0)</f>
        <v>8.4</v>
      </c>
      <c r="CS58" s="12">
        <f t="array" ref="CS58">INDEX(CR:CR,MIN(IF(ISNUMBER(CR58:CR254),ROW(CR58:CR254),"")))</f>
        <v>8.4</v>
      </c>
      <c r="CT58" s="12">
        <f>IF('Données projet'!$A$140&gt;35,CT57+CS58-DB57,IF(A58&lt;'Données projet'!$A$140,$CQ$205^A58,IF(A58='Données projet'!$A$140,'Données projet'!$B$140,CT57+CS58-DB57)))</f>
        <v>323.99999999999983</v>
      </c>
      <c r="CU58" s="17">
        <f>CT58*VLOOKUP('Données projet'!$B$13,Paramètres!$A$1:$I$89,3,0)*VLOOKUP('Données projet'!$B$13,Paramètres!$A$1:$I$89,5,0)</f>
        <v>237.55679999999987</v>
      </c>
      <c r="CV58" s="13">
        <f t="shared" si="41"/>
        <v>57.913551469467308</v>
      </c>
      <c r="CW58" s="20">
        <f t="shared" si="13"/>
        <v>514.61086214265526</v>
      </c>
      <c r="CX58" s="59">
        <f t="shared" si="14"/>
        <v>772.93331762312664</v>
      </c>
      <c r="CY58" s="59">
        <f ca="1">AVERAGE(OFFSET($CX$3,0,0,'Données projet'!$E$13+1,1))-AVERAGE(OFFSET($H$3,0,0,'Données projet'!$E$13+1,1))</f>
        <v>400.48995908576177</v>
      </c>
      <c r="CZ58" s="59">
        <f t="shared" si="42"/>
        <v>384.86917865380076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18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40.545237869289707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40.545237869289707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324</v>
      </c>
      <c r="DM58" s="12">
        <f>VLOOKUP(A58,'Données projet'!$A$165:$I$185,9,0)</f>
        <v>8.4</v>
      </c>
      <c r="DN58" s="12">
        <f t="array" ref="DN58">INDEX(DM:DM,MIN(IF(ISNUMBER(DM58:DM254),ROW(DM58:DM254),"")))</f>
        <v>8.4</v>
      </c>
      <c r="DO58" s="12">
        <f>IF('Données projet'!$A$166&gt;35,DO57+DN58-DW57,IF(A58&lt;'Données projet'!$A$166,$DL$205^A58,IF(A58='Données projet'!$A$166,'Données projet'!$B$166,DO57+DN58-DW57)))</f>
        <v>323.99999999999983</v>
      </c>
      <c r="DP58" s="17">
        <f>DO58*VLOOKUP('Données projet'!$B$14,Paramètres!$A$1:$I$89,3,0)*VLOOKUP('Données projet'!$B$14,Paramètres!$A$1:$I$89,5,0)</f>
        <v>257.7743999999999</v>
      </c>
      <c r="DQ58" s="13">
        <f t="shared" si="43"/>
        <v>62.247732872134243</v>
      </c>
      <c r="DR58" s="20">
        <f t="shared" si="16"/>
        <v>557.37188141896695</v>
      </c>
      <c r="DS58" s="59">
        <f t="shared" si="17"/>
        <v>815.69433689943833</v>
      </c>
      <c r="DT58" s="59">
        <f ca="1">AVERAGE(OFFSET($DS$3,0,0,'Données projet'!$E$14+1,1))-AVERAGE(OFFSET($H$3,0,0,'Données projet'!$E$14+1,1))</f>
        <v>429.30603040255431</v>
      </c>
      <c r="DU58" s="59">
        <f t="shared" si="44"/>
        <v>412.18613903804726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18</v>
      </c>
      <c r="DX58" s="16">
        <f>IF(ISNA(VLOOKUP(A58,'Données projet'!$A$165:$I$185,5,0)),0%,VLOOKUP(A58,'Données projet'!$A$165:$I$185,5,0)*VLOOKUP('Données projet'!$B$14,Paramètres!$A$1:$I$89,7,0))</f>
        <v>0.53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54.227500227951566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54.227500227951566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6.0096153846153868</v>
      </c>
      <c r="EJ58" s="12">
        <f>IF('Données projet'!$A$192&gt;35,EJ57+EI58-ER57,IF(A58&lt;'Données projet'!$A$192,$EG$205^A58,IF(A58='Données projet'!$A$192,'Données projet'!$B$192,EJ57+EI58-ER57)))</f>
        <v>160.33653846153845</v>
      </c>
      <c r="EK58" s="17">
        <f>EJ58*VLOOKUP('Données projet'!$B$15,Paramètres!$A$1:$I$89,3,0)*VLOOKUP('Données projet'!$B$15,Paramètres!$A$1:$I$89,5,0)</f>
        <v>125.0625</v>
      </c>
      <c r="EL58" s="13">
        <f t="shared" si="45"/>
        <v>32.852889709555718</v>
      </c>
      <c r="EM58" s="20">
        <f t="shared" si="19"/>
        <v>275.03597041080951</v>
      </c>
      <c r="EN58" s="59">
        <f t="shared" si="20"/>
        <v>533.35842589128083</v>
      </c>
      <c r="EO58" s="59">
        <f ca="1">AVERAGE(OFFSET($EN$3,0,0,'Données projet'!$E$15+1,1))-AVERAGE(OFFSET($H$3,0,0,'Données projet'!$E$15+1,1))</f>
        <v>217.53602321474159</v>
      </c>
      <c r="EP58" s="59">
        <f t="shared" si="46"/>
        <v>215.75909414893025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30.279966742383341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30.279966742383341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277.67</v>
      </c>
      <c r="FC58" s="12">
        <f>VLOOKUP(A58,'Données projet'!$A$217:$I$237,9,0)</f>
        <v>12.271428571428576</v>
      </c>
      <c r="FD58" s="12">
        <f t="array" ref="FD58">INDEX(FC:FC,MIN(IF(ISNUMBER(FC58:FC254),ROW(FC58:FC254),"")))</f>
        <v>12.271428571428576</v>
      </c>
      <c r="FE58" s="12">
        <f>IF('Données projet'!$A$218&gt;35,FE57+FD58-FM57,IF(A58&lt;'Données projet'!$A$218,$FB$205^A58,IF(A58='Données projet'!$A$218,'Données projet'!$B$218,FE57+FD58-FM57)))</f>
        <v>277.67000000000013</v>
      </c>
      <c r="FF58" s="17">
        <f>FE58*VLOOKUP('Données projet'!$B$16,Paramètres!$A$1:$I$89,3,0)*VLOOKUP('Données projet'!$B$16,Paramètres!$A$1:$I$89,5,0)</f>
        <v>186.2610360000001</v>
      </c>
      <c r="FG58" s="13">
        <f t="shared" si="47"/>
        <v>46.712367246699529</v>
      </c>
      <c r="FH58" s="20">
        <f t="shared" si="22"/>
        <v>405.76201065466853</v>
      </c>
      <c r="FI58" s="59">
        <f t="shared" si="23"/>
        <v>664.08446613513991</v>
      </c>
      <c r="FJ58" s="59">
        <f ca="1">AVERAGE(OFFSET($FI$3,0,0,'Données projet'!$E$16+1,1))-AVERAGE(OFFSET($H$3,0,0,'Données projet'!$E$16+1,1))</f>
        <v>441.20130048888439</v>
      </c>
      <c r="FK58" s="59">
        <f t="shared" si="48"/>
        <v>237.47732532183946</v>
      </c>
      <c r="FL58" s="15">
        <f>IF(ISNA(VLOOKUP(A58,'Données projet'!$A$217:$I$237,3,0)),0,VLOOKUP(A58,'Données projet'!$A$217:$I$237,3,0))</f>
        <v>4</v>
      </c>
      <c r="FM58" s="15">
        <f>IF(ISNA(VLOOKUP(A58,'Données projet'!$A$217:$I$237,4,0)),0,VLOOKUP(A58,'Données projet'!$A$217:$I$237,4,0))</f>
        <v>58.24</v>
      </c>
      <c r="FN58" s="16">
        <f>IF(ISNA(VLOOKUP(A58,'Données projet'!$A$217:$I$237,5,0)),0%,VLOOKUP(A58,'Données projet'!$A$217:$I$237,5,0)*VLOOKUP('Données projet'!$B$16,Paramètres!$A$1:$I$89,7,0))</f>
        <v>0.53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76.325504908052864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76.325504908052864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191</v>
      </c>
      <c r="FX58" s="12">
        <f>VLOOKUP(A58,'Données projet'!$A$243:$I$263,9,0)</f>
        <v>5.6</v>
      </c>
      <c r="FY58" s="12">
        <f t="array" ref="FY58">INDEX(FX:FX,MIN(IF(ISNUMBER(FX58:FX254),ROW(FX58:FX254),"")))</f>
        <v>5.6</v>
      </c>
      <c r="FZ58" s="12">
        <f>IF('Données projet'!$A$244&gt;35,FZ57+FY58-GH57,IF(A58&lt;'Données projet'!$A$244,$FW$205^A58,IF(A58='Données projet'!$A$244,'Données projet'!$B$244,FZ57+FY58-GH57)))</f>
        <v>191.00000000000003</v>
      </c>
      <c r="GA58" s="17">
        <f>FZ58*VLOOKUP('Données projet'!$B$17,Paramètres!$A$1:$I$89,3,0)*VLOOKUP('Données projet'!$B$17,Paramètres!$A$1:$I$89,5,0)</f>
        <v>125.14320000000002</v>
      </c>
      <c r="GB58" s="13">
        <f t="shared" si="49"/>
        <v>32.871620642334328</v>
      </c>
      <c r="GC58" s="20">
        <f t="shared" si="25"/>
        <v>275.20914595206563</v>
      </c>
      <c r="GD58" s="59">
        <f t="shared" si="26"/>
        <v>533.53160143253695</v>
      </c>
      <c r="GE58" s="59">
        <f ca="1">AVERAGE(OFFSET($GD$3,0,0,'Données projet'!$E$17+1,1))-AVERAGE(OFFSET($H$3,0,0,'Données projet'!$E$17+1,1))</f>
        <v>257.66104339896992</v>
      </c>
      <c r="GF58" s="59">
        <f t="shared" si="50"/>
        <v>254.79488636184996</v>
      </c>
      <c r="GG58" s="15">
        <f>IF(ISNA(VLOOKUP(A58,'Données projet'!$A$243:$I$263,3,0)),0,VLOOKUP(A58,'Données projet'!$A$243:$I$263,3,0))</f>
        <v>10</v>
      </c>
      <c r="GH58" s="15">
        <f>IF(ISNA(VLOOKUP(A58,'Données projet'!$A$243:$I$263,4,0)),0,VLOOKUP(A58,'Données projet'!$A$243:$I$263,4,0))</f>
        <v>20</v>
      </c>
      <c r="GI58" s="16">
        <f>IF(ISNA(VLOOKUP(A58,'Données projet'!$A$243:$I$263,5,0)),0%,VLOOKUP(A58,'Données projet'!$A$243:$I$263,5,0)*VLOOKUP('Données projet'!$B$17,Paramètres!$A$1:$I$89,7,0))</f>
        <v>0.43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27.266105043792475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27.266105043792475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184</v>
      </c>
      <c r="GS58" s="12">
        <f>VLOOKUP(A58,'Données projet'!$A$269:$I$289,9,0)</f>
        <v>5.4</v>
      </c>
      <c r="GT58" s="12">
        <f t="array" ref="GT58">INDEX(GS:GS,MIN(IF(ISNUMBER(GS58:GS254),ROW(GS58:GS254),"")))</f>
        <v>5.4</v>
      </c>
      <c r="GU58" s="12">
        <f>IF('Données projet'!$A$270&gt;35,GU57+GT58-HC57,IF(A58&lt;'Données projet'!$A$270,$GR$205^A58,IF(A58='Données projet'!$A$270,'Données projet'!$B$270,GU57+GT58-HC57)))</f>
        <v>184.00000000000006</v>
      </c>
      <c r="GV58" s="17">
        <f>GU58*VLOOKUP('Données projet'!$B$18,Paramètres!$A$1:$I$89,3,0)*VLOOKUP('Données projet'!$B$18,Paramètres!$A$1:$I$89,5,0)</f>
        <v>149.26080000000005</v>
      </c>
      <c r="GW58" s="13">
        <f t="shared" si="51"/>
        <v>38.410551499792909</v>
      </c>
      <c r="GX58" s="20">
        <f t="shared" si="28"/>
        <v>326.86093719547273</v>
      </c>
      <c r="GY58" s="59">
        <f t="shared" si="29"/>
        <v>585.18339267594411</v>
      </c>
      <c r="GZ58" s="59">
        <f ca="1">AVERAGE(OFFSET($GY$3,0,0,'Données projet'!$E$18+1,1))-AVERAGE(OFFSET($H$3,0,0,'Données projet'!$E$18+1,1))</f>
        <v>299.98377156721153</v>
      </c>
      <c r="HA58" s="59">
        <f t="shared" si="52"/>
        <v>241.36164657721102</v>
      </c>
      <c r="HB58" s="15">
        <f>IF(ISNA(VLOOKUP(A58,'Données projet'!$A$269:$I$289,3,0)),0,VLOOKUP(A58,'Données projet'!$A$269:$I$289,3,0))</f>
        <v>8</v>
      </c>
      <c r="HC58" s="15">
        <f>IF(ISNA(VLOOKUP(A58,'Données projet'!$A$269:$I$289,4,0)),0,VLOOKUP(A58,'Données projet'!$A$269:$I$289,4,0))</f>
        <v>14</v>
      </c>
      <c r="HD58" s="16">
        <f>IF(ISNA(VLOOKUP(A58,'Données projet'!$A$269:$I$289,5,0)),0%,VLOOKUP(A58,'Données projet'!$A$269:$I$289,5,0)*VLOOKUP('Données projet'!$B$18,Paramètres!$A$1:$I$89,7,0))</f>
        <v>0.43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21.555049537551078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21.555049537551078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11.644999999999996</v>
      </c>
      <c r="N59" s="13">
        <f>IF('Données projet'!$A$36&gt;35,N58+M59-V58,IF(A59&lt;'Données projet'!$A$36,$K$205^A59,IF(A59='Données projet'!$A$36,'Données projet'!$B$36,N58+M59-V58)))</f>
        <v>231.0750000000001</v>
      </c>
      <c r="O59" s="13">
        <f>N59*VLOOKUP('Données projet'!$B$9,Paramètres!$A$1:$I$89,3,0)*VLOOKUP('Données projet'!$B$9,Paramètres!$A$1:$I$89,5,0)</f>
        <v>209.07666000000006</v>
      </c>
      <c r="P59" s="13">
        <f t="shared" si="33"/>
        <v>51.733760959596957</v>
      </c>
      <c r="Q59" s="20">
        <f t="shared" si="53"/>
        <v>454.24481650463144</v>
      </c>
      <c r="R59" s="59">
        <f t="shared" si="0"/>
        <v>713.17463244325313</v>
      </c>
      <c r="S59" s="59">
        <f ca="1">AVERAGE(OFFSET($R$3,0,0,'Données projet'!$E$9+1,1))-AVERAGE(OFFSET($H$3,0,0,'Données projet'!$E$9+1,1))</f>
        <v>567.42635821507474</v>
      </c>
      <c r="T59" s="59">
        <f t="shared" si="34"/>
        <v>299.04735309930152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81.888129849518734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81.888129849518734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</v>
      </c>
      <c r="AI59" s="13">
        <f>IF('Données projet'!$A$62&gt;35,AI58+AH59-AQ58,IF(A59&lt;'Données projet'!$A$62,$AF$205^A59,IF(A59='Données projet'!$A$62,'Données projet'!$B$62,AI58+AH59-AQ58)))</f>
        <v>284.00000000000006</v>
      </c>
      <c r="AJ59" s="13">
        <f>AI59*VLOOKUP('Données projet'!$B$10,Paramètres!$A$1:$I$89,3,0)*VLOOKUP('Données projet'!$B$10,Paramètres!$A$1:$I$89,5,0)</f>
        <v>243.67200000000008</v>
      </c>
      <c r="AK59" s="13">
        <f t="shared" si="35"/>
        <v>59.228879636606202</v>
      </c>
      <c r="AL59" s="20">
        <f t="shared" si="4"/>
        <v>527.55236536708924</v>
      </c>
      <c r="AM59" s="59">
        <f t="shared" si="5"/>
        <v>786.48218130571104</v>
      </c>
      <c r="AN59" s="59">
        <f ca="1">AVERAGE(OFFSET($AM$3,0,0,'Données projet'!$E$10+1,1))-AVERAGE(OFFSET($H$3,0,0,'Données projet'!$E$10+1,1))</f>
        <v>569.97793593332699</v>
      </c>
      <c r="AO59" s="59">
        <f t="shared" si="36"/>
        <v>331.25104323342907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71.447692334508901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71.447692334508901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277.99999999999994</v>
      </c>
      <c r="BE59" s="13">
        <f>BD59*VLOOKUP('Données projet'!$B$11,Paramètres!$A$1:$I$89,3,0)*VLOOKUP('Données projet'!$B$11,Paramètres!$A$1:$I$89,5,0)</f>
        <v>151.78799999999998</v>
      </c>
      <c r="BF59" s="13">
        <f t="shared" si="37"/>
        <v>38.984634390835623</v>
      </c>
      <c r="BG59" s="20">
        <f t="shared" si="7"/>
        <v>332.26233823070532</v>
      </c>
      <c r="BH59" s="59">
        <f t="shared" si="8"/>
        <v>591.19215416932707</v>
      </c>
      <c r="BI59" s="59">
        <f ca="1">AVERAGE(OFFSET($BH$3,0,0,'Données projet'!$E$11+1,1))-AVERAGE(OFFSET($H$3,0,0,'Données projet'!$E$11+1,1))</f>
        <v>215.37314197175104</v>
      </c>
      <c r="BJ59" s="59">
        <f t="shared" si="38"/>
        <v>361.17630426655978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21.933925929876619</v>
      </c>
      <c r="BQ59" s="21">
        <f>EXP(-LN(2)/25)*BQ58+(1-EXP(-LN(2)/25))/(LN(2)/25)*Calculateur!BL59*Calculateur!BN59*VLOOKUP('Données projet'!$B$11,Paramètres!$A$1:$I$89,3,0)*0.475*44/12</f>
        <v>46.707605651901169</v>
      </c>
      <c r="BR59" s="21">
        <f>EXP(-LN(2)/2)*BR58+(1-EXP(-LN(2)/2))/(LN(2)/2)*BL59*BO59*VLOOKUP('Données projet'!$B$11,Paramètres!$A$1:$I$89,3,0)*0.475*44/12</f>
        <v>3.0951918419452803E-6</v>
      </c>
      <c r="BS59" s="22">
        <f t="shared" si="9"/>
        <v>68.641534676969627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0.8600000000003547</v>
      </c>
      <c r="BZ59" s="13">
        <f>BY59*VLOOKUP('Données projet'!$B$12,Paramètres!$A$1:$I$89,3,0)*VLOOKUP('Données projet'!$B$12,Paramètres!$A$1:$I$89,5,0)</f>
        <v>0.48074000000019829</v>
      </c>
      <c r="CA59" s="13">
        <f t="shared" si="39"/>
        <v>0.24126147010950588</v>
      </c>
      <c r="CB59" s="20">
        <f t="shared" si="10"/>
        <v>1.2574858937744013</v>
      </c>
      <c r="CC59" s="59">
        <f t="shared" si="11"/>
        <v>260.18730183239614</v>
      </c>
      <c r="CD59" s="59">
        <f ca="1">AVERAGE(OFFSET($CC$3,0,0,'Données projet'!$E$12+1,1))-AVERAGE(OFFSET($H$3,0,0,'Données projet'!$E$12+1,1))</f>
        <v>420.4890915162182</v>
      </c>
      <c r="CE59" s="59">
        <f t="shared" si="40"/>
        <v>553.48432338023565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364.49926282019442</v>
      </c>
      <c r="CL59" s="21">
        <f>EXP(-LN(2)/25)*CL58+(1-EXP(-LN(2)/25))/(LN(2)/25)*Calculateur!CG59*Calculateur!CI59*VLOOKUP('Données projet'!$B$12,Paramètres!$A$1:$I$89,3,0)*0.475*44/12</f>
        <v>24.594198730229522</v>
      </c>
      <c r="CM59" s="21">
        <f>EXP(-LN(2)/2)*CM58+(1-EXP(-LN(2)/2))/(LN(2)/2)*CG59*CJ59*VLOOKUP('Données projet'!$B$12,Paramètres!$A$1:$I$89,3,0)*0.475*44/12</f>
        <v>9.032233020786281E-5</v>
      </c>
      <c r="CN59" s="22">
        <f t="shared" si="12"/>
        <v>389.09355187275418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7.4</v>
      </c>
      <c r="CT59" s="12">
        <f>IF('Données projet'!$A$140&gt;35,CT58+CS59-DB58,IF(A59&lt;'Données projet'!$A$140,$CQ$205^A59,IF(A59='Données projet'!$A$140,'Données projet'!$B$140,CT58+CS59-DB58)))</f>
        <v>313.39999999999981</v>
      </c>
      <c r="CU59" s="17">
        <f>CT59*VLOOKUP('Données projet'!$B$13,Paramètres!$A$1:$I$89,3,0)*VLOOKUP('Données projet'!$B$13,Paramètres!$A$1:$I$89,5,0)</f>
        <v>229.78487999999984</v>
      </c>
      <c r="CV59" s="13">
        <f t="shared" si="41"/>
        <v>56.236165024777975</v>
      </c>
      <c r="CW59" s="20">
        <f t="shared" si="13"/>
        <v>498.15332008482136</v>
      </c>
      <c r="CX59" s="59">
        <f t="shared" si="14"/>
        <v>757.0831360234431</v>
      </c>
      <c r="CY59" s="59">
        <f ca="1">AVERAGE(OFFSET($CX$3,0,0,'Données projet'!$E$13+1,1))-AVERAGE(OFFSET($H$3,0,0,'Données projet'!$E$13+1,1))</f>
        <v>400.48995908576177</v>
      </c>
      <c r="CZ59" s="59">
        <f t="shared" si="42"/>
        <v>384.86917865380076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39.750170484826135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39.750170484826135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7.4</v>
      </c>
      <c r="DO59" s="12">
        <f>IF('Données projet'!$A$166&gt;35,DO58+DN59-DW58,IF(A59&lt;'Données projet'!$A$166,$DL$205^A59,IF(A59='Données projet'!$A$166,'Données projet'!$B$166,DO58+DN59-DW58)))</f>
        <v>313.39999999999981</v>
      </c>
      <c r="DP59" s="17">
        <f>DO59*VLOOKUP('Données projet'!$B$14,Paramètres!$A$1:$I$89,3,0)*VLOOKUP('Données projet'!$B$14,Paramètres!$A$1:$I$89,5,0)</f>
        <v>249.34103999999988</v>
      </c>
      <c r="DQ59" s="13">
        <f t="shared" si="43"/>
        <v>60.444812818312201</v>
      </c>
      <c r="DR59" s="20">
        <f t="shared" si="16"/>
        <v>539.54369365856019</v>
      </c>
      <c r="DS59" s="59">
        <f t="shared" si="17"/>
        <v>798.47350959718187</v>
      </c>
      <c r="DT59" s="59">
        <f ca="1">AVERAGE(OFFSET($DS$3,0,0,'Données projet'!$E$14+1,1))-AVERAGE(OFFSET($H$3,0,0,'Données projet'!$E$14+1,1))</f>
        <v>429.30603040255431</v>
      </c>
      <c r="DU59" s="59">
        <f t="shared" si="44"/>
        <v>412.18613903804726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53.164132023990639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53.164132023990639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6.0096153846153868</v>
      </c>
      <c r="EJ59" s="12">
        <f>IF('Données projet'!$A$192&gt;35,EJ58+EI59-ER58,IF(A59&lt;'Données projet'!$A$192,$EG$205^A59,IF(A59='Données projet'!$A$192,'Données projet'!$B$192,EJ58+EI59-ER58)))</f>
        <v>166.34615384615384</v>
      </c>
      <c r="EK59" s="17">
        <f>EJ59*VLOOKUP('Données projet'!$B$15,Paramètres!$A$1:$I$89,3,0)*VLOOKUP('Données projet'!$B$15,Paramètres!$A$1:$I$89,5,0)</f>
        <v>129.75</v>
      </c>
      <c r="EL59" s="13">
        <f t="shared" si="45"/>
        <v>33.938585202364465</v>
      </c>
      <c r="EM59" s="20">
        <f t="shared" si="19"/>
        <v>285.09095256078473</v>
      </c>
      <c r="EN59" s="59">
        <f t="shared" si="20"/>
        <v>544.02076849940647</v>
      </c>
      <c r="EO59" s="59">
        <f ca="1">AVERAGE(OFFSET($EN$3,0,0,'Données projet'!$E$15+1,1))-AVERAGE(OFFSET($H$3,0,0,'Données projet'!$E$15+1,1))</f>
        <v>217.53602321474159</v>
      </c>
      <c r="EP59" s="59">
        <f t="shared" si="46"/>
        <v>215.75909414893025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29.686195063521257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29.686195063521257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11.644999999999996</v>
      </c>
      <c r="FE59" s="12">
        <f>IF('Données projet'!$A$218&gt;35,FE58+FD59-FM58,IF(A59&lt;'Données projet'!$A$218,$FB$205^A59,IF(A59='Données projet'!$A$218,'Données projet'!$B$218,FE58+FD59-FM58)))</f>
        <v>231.0750000000001</v>
      </c>
      <c r="FF59" s="17">
        <f>FE59*VLOOKUP('Données projet'!$B$16,Paramètres!$A$1:$I$89,3,0)*VLOOKUP('Données projet'!$B$16,Paramètres!$A$1:$I$89,5,0)</f>
        <v>155.00511000000009</v>
      </c>
      <c r="FG59" s="13">
        <f t="shared" si="47"/>
        <v>39.71383291408609</v>
      </c>
      <c r="FH59" s="20">
        <f t="shared" si="22"/>
        <v>339.13549224203337</v>
      </c>
      <c r="FI59" s="59">
        <f t="shared" si="23"/>
        <v>598.06530818065517</v>
      </c>
      <c r="FJ59" s="59">
        <f ca="1">AVERAGE(OFFSET($FI$3,0,0,'Données projet'!$E$16+1,1))-AVERAGE(OFFSET($H$3,0,0,'Données projet'!$E$16+1,1))</f>
        <v>441.20130048888439</v>
      </c>
      <c r="FK59" s="59">
        <f t="shared" si="48"/>
        <v>237.47732532183946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74.828808310767116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74.828808310767116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</v>
      </c>
      <c r="FZ59" s="12">
        <f>IF('Données projet'!$A$244&gt;35,FZ58+FY59-GH58,IF(A59&lt;'Données projet'!$A$244,$FW$205^A59,IF(A59='Données projet'!$A$244,'Données projet'!$B$244,FZ58+FY59-GH58)))</f>
        <v>176.00000000000003</v>
      </c>
      <c r="GA59" s="17">
        <f>FZ59*VLOOKUP('Données projet'!$B$17,Paramètres!$A$1:$I$89,3,0)*VLOOKUP('Données projet'!$B$17,Paramètres!$A$1:$I$89,5,0)</f>
        <v>115.31520000000003</v>
      </c>
      <c r="GB59" s="13">
        <f t="shared" si="49"/>
        <v>30.579827148797317</v>
      </c>
      <c r="GC59" s="20">
        <f t="shared" si="25"/>
        <v>254.10050561748869</v>
      </c>
      <c r="GD59" s="59">
        <f t="shared" si="26"/>
        <v>513.03032155611049</v>
      </c>
      <c r="GE59" s="59">
        <f ca="1">AVERAGE(OFFSET($GD$3,0,0,'Données projet'!$E$17+1,1))-AVERAGE(OFFSET($H$3,0,0,'Données projet'!$E$17+1,1))</f>
        <v>257.66104339896992</v>
      </c>
      <c r="GF59" s="59">
        <f t="shared" si="50"/>
        <v>254.79488636184996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26.731433354565638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26.731433354565638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5.4</v>
      </c>
      <c r="GU59" s="12">
        <f>IF('Données projet'!$A$270&gt;35,GU58+GT59-HC58,IF(A59&lt;'Données projet'!$A$270,$GR$205^A59,IF(A59='Données projet'!$A$270,'Données projet'!$B$270,GU58+GT59-HC58)))</f>
        <v>175.40000000000006</v>
      </c>
      <c r="GV59" s="17">
        <f>GU59*VLOOKUP('Données projet'!$B$18,Paramètres!$A$1:$I$89,3,0)*VLOOKUP('Données projet'!$B$18,Paramètres!$A$1:$I$89,5,0)</f>
        <v>142.28448000000006</v>
      </c>
      <c r="GW59" s="13">
        <f t="shared" si="51"/>
        <v>36.819853762091817</v>
      </c>
      <c r="GX59" s="20">
        <f t="shared" si="28"/>
        <v>311.94004796897667</v>
      </c>
      <c r="GY59" s="59">
        <f t="shared" si="29"/>
        <v>570.86986390759841</v>
      </c>
      <c r="GZ59" s="59">
        <f ca="1">AVERAGE(OFFSET($GY$3,0,0,'Données projet'!$E$18+1,1))-AVERAGE(OFFSET($H$3,0,0,'Données projet'!$E$18+1,1))</f>
        <v>299.98377156721153</v>
      </c>
      <c r="HA59" s="59">
        <f t="shared" si="52"/>
        <v>241.36164657721102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21.132368163401733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21.132368163401733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11.644999999999996</v>
      </c>
      <c r="N60" s="13">
        <f>IF('Données projet'!$A$36&gt;35,N59+M60-V59,IF(A60&lt;'Données projet'!$A$36,$K$205^A60,IF(A60='Données projet'!$A$36,'Données projet'!$B$36,N59+M60-V59)))</f>
        <v>242.72000000000008</v>
      </c>
      <c r="O60" s="13">
        <f>N60*VLOOKUP('Données projet'!$B$9,Paramètres!$A$1:$I$89,3,0)*VLOOKUP('Données projet'!$B$9,Paramètres!$A$1:$I$89,5,0)</f>
        <v>219.61305600000006</v>
      </c>
      <c r="P60" s="13">
        <f t="shared" si="33"/>
        <v>54.030776739498059</v>
      </c>
      <c r="Q60" s="20">
        <f t="shared" si="53"/>
        <v>476.59634202129263</v>
      </c>
      <c r="R60" s="59">
        <f t="shared" si="0"/>
        <v>736.12298207197034</v>
      </c>
      <c r="S60" s="59">
        <f ca="1">AVERAGE(OFFSET($R$3,0,0,'Données projet'!$E$9+1,1))-AVERAGE(OFFSET($H$3,0,0,'Données projet'!$E$9+1,1))</f>
        <v>567.42635821507474</v>
      </c>
      <c r="T60" s="59">
        <f t="shared" si="34"/>
        <v>299.04735309930152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80.282353569997042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80.282353569997042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</v>
      </c>
      <c r="AI60" s="13">
        <f>IF('Données projet'!$A$62&gt;35,AI59+AH60-AQ59,IF(A60&lt;'Données projet'!$A$62,$AF$205^A60,IF(A60='Données projet'!$A$62,'Données projet'!$B$62,AI59+AH60-AQ59)))</f>
        <v>297.00000000000006</v>
      </c>
      <c r="AJ60" s="13">
        <f>AI60*VLOOKUP('Données projet'!$B$10,Paramètres!$A$1:$I$89,3,0)*VLOOKUP('Données projet'!$B$10,Paramètres!$A$1:$I$89,5,0)</f>
        <v>254.82600000000008</v>
      </c>
      <c r="AK60" s="13">
        <f t="shared" si="35"/>
        <v>61.618203339594587</v>
      </c>
      <c r="AL60" s="20">
        <f t="shared" si="4"/>
        <v>551.14032081646064</v>
      </c>
      <c r="AM60" s="59">
        <f t="shared" si="5"/>
        <v>810.66696086713841</v>
      </c>
      <c r="AN60" s="59">
        <f ca="1">AVERAGE(OFFSET($AM$3,0,0,'Données projet'!$E$10+1,1))-AVERAGE(OFFSET($H$3,0,0,'Données projet'!$E$10+1,1))</f>
        <v>569.97793593332699</v>
      </c>
      <c r="AO60" s="59">
        <f t="shared" si="36"/>
        <v>331.25104323342907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70.046646666618457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70.046646666618457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277.99999999999994</v>
      </c>
      <c r="BE60" s="13">
        <f>BD60*VLOOKUP('Données projet'!$B$11,Paramètres!$A$1:$I$89,3,0)*VLOOKUP('Données projet'!$B$11,Paramètres!$A$1:$I$89,5,0)</f>
        <v>151.78799999999998</v>
      </c>
      <c r="BF60" s="13">
        <f t="shared" si="37"/>
        <v>38.984634390835623</v>
      </c>
      <c r="BG60" s="20">
        <f t="shared" si="7"/>
        <v>332.26233823070532</v>
      </c>
      <c r="BH60" s="59">
        <f t="shared" si="8"/>
        <v>591.78897828138304</v>
      </c>
      <c r="BI60" s="59">
        <f ca="1">AVERAGE(OFFSET($BH$3,0,0,'Données projet'!$E$11+1,1))-AVERAGE(OFFSET($H$3,0,0,'Données projet'!$E$11+1,1))</f>
        <v>215.37314197175104</v>
      </c>
      <c r="BJ60" s="59">
        <f t="shared" si="38"/>
        <v>361.17630426655978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21.503815020765551</v>
      </c>
      <c r="BQ60" s="21">
        <f>EXP(-LN(2)/25)*BQ59+(1-EXP(-LN(2)/25))/(LN(2)/25)*Calculateur!BL60*Calculateur!BN60*VLOOKUP('Données projet'!$B$11,Paramètres!$A$1:$I$89,3,0)*0.475*44/12</f>
        <v>45.430383719103702</v>
      </c>
      <c r="BR60" s="21">
        <f>EXP(-LN(2)/2)*BR59+(1-EXP(-LN(2)/2))/(LN(2)/2)*BL60*BO60*VLOOKUP('Données projet'!$B$11,Paramètres!$A$1:$I$89,3,0)*0.475*44/12</f>
        <v>2.1886311405127882E-6</v>
      </c>
      <c r="BS60" s="22">
        <f t="shared" si="9"/>
        <v>66.934200928500402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0.8600000000003547</v>
      </c>
      <c r="BZ60" s="13">
        <f>BY60*VLOOKUP('Données projet'!$B$12,Paramètres!$A$1:$I$89,3,0)*VLOOKUP('Données projet'!$B$12,Paramètres!$A$1:$I$89,5,0)</f>
        <v>0.48074000000019829</v>
      </c>
      <c r="CA60" s="13">
        <f t="shared" si="39"/>
        <v>0.24126147010950588</v>
      </c>
      <c r="CB60" s="20">
        <f t="shared" si="10"/>
        <v>1.2574858937744013</v>
      </c>
      <c r="CC60" s="59">
        <f t="shared" si="11"/>
        <v>260.78412594445211</v>
      </c>
      <c r="CD60" s="59">
        <f ca="1">AVERAGE(OFFSET($CC$3,0,0,'Données projet'!$E$12+1,1))-AVERAGE(OFFSET($H$3,0,0,'Données projet'!$E$12+1,1))</f>
        <v>420.4890915162182</v>
      </c>
      <c r="CE60" s="59">
        <f t="shared" si="40"/>
        <v>553.48432338023565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357.35165459888822</v>
      </c>
      <c r="CL60" s="21">
        <f>EXP(-LN(2)/25)*CL59+(1-EXP(-LN(2)/25))/(LN(2)/25)*Calculateur!CG60*Calculateur!CI60*VLOOKUP('Données projet'!$B$12,Paramètres!$A$1:$I$89,3,0)*0.475*44/12</f>
        <v>23.921669072598696</v>
      </c>
      <c r="CM60" s="21">
        <f>EXP(-LN(2)/2)*CM59+(1-EXP(-LN(2)/2))/(LN(2)/2)*CG60*CJ60*VLOOKUP('Données projet'!$B$12,Paramètres!$A$1:$I$89,3,0)*0.475*44/12</f>
        <v>6.3867532182550337E-5</v>
      </c>
      <c r="CN60" s="22">
        <f t="shared" si="12"/>
        <v>381.2733875390191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7.4</v>
      </c>
      <c r="CT60" s="12">
        <f>IF('Données projet'!$A$140&gt;35,CT59+CS60-DB59,IF(A60&lt;'Données projet'!$A$140,$CQ$205^A60,IF(A60='Données projet'!$A$140,'Données projet'!$B$140,CT59+CS60-DB59)))</f>
        <v>320.79999999999978</v>
      </c>
      <c r="CU60" s="17">
        <f>CT60*VLOOKUP('Données projet'!$B$13,Paramètres!$A$1:$I$89,3,0)*VLOOKUP('Données projet'!$B$13,Paramètres!$A$1:$I$89,5,0)</f>
        <v>235.21055999999984</v>
      </c>
      <c r="CV60" s="13">
        <f t="shared" si="41"/>
        <v>57.407853322119394</v>
      </c>
      <c r="CW60" s="20">
        <f t="shared" si="13"/>
        <v>509.64373653602433</v>
      </c>
      <c r="CX60" s="59">
        <f t="shared" si="14"/>
        <v>769.1703765867021</v>
      </c>
      <c r="CY60" s="59">
        <f ca="1">AVERAGE(OFFSET($CX$3,0,0,'Données projet'!$E$13+1,1))-AVERAGE(OFFSET($H$3,0,0,'Données projet'!$E$13+1,1))</f>
        <v>400.48995908576177</v>
      </c>
      <c r="CZ60" s="59">
        <f t="shared" si="42"/>
        <v>384.86917865380076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38.970693886828677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38.970693886828677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7.4</v>
      </c>
      <c r="DO60" s="12">
        <f>IF('Données projet'!$A$166&gt;35,DO59+DN60-DW59,IF(A60&lt;'Données projet'!$A$166,$DL$205^A60,IF(A60='Données projet'!$A$166,'Données projet'!$B$166,DO59+DN60-DW59)))</f>
        <v>320.79999999999978</v>
      </c>
      <c r="DP60" s="17">
        <f>DO60*VLOOKUP('Données projet'!$B$14,Paramètres!$A$1:$I$89,3,0)*VLOOKUP('Données projet'!$B$14,Paramètres!$A$1:$I$89,5,0)</f>
        <v>255.22847999999985</v>
      </c>
      <c r="DQ60" s="13">
        <f t="shared" si="43"/>
        <v>61.704188876103551</v>
      </c>
      <c r="DR60" s="20">
        <f t="shared" si="16"/>
        <v>551.99106495921342</v>
      </c>
      <c r="DS60" s="59">
        <f t="shared" si="17"/>
        <v>811.51770500989119</v>
      </c>
      <c r="DT60" s="59">
        <f ca="1">AVERAGE(OFFSET($DS$3,0,0,'Données projet'!$E$14+1,1))-AVERAGE(OFFSET($H$3,0,0,'Données projet'!$E$14+1,1))</f>
        <v>429.30603040255431</v>
      </c>
      <c r="DU60" s="59">
        <f t="shared" si="44"/>
        <v>412.18613903804726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52.121615821918823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52.121615821918823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6.0096153846153868</v>
      </c>
      <c r="EJ60" s="12">
        <f>IF('Données projet'!$A$192&gt;35,EJ59+EI60-ER59,IF(A60&lt;'Données projet'!$A$192,$EG$205^A60,IF(A60='Données projet'!$A$192,'Données projet'!$B$192,EJ59+EI60-ER59)))</f>
        <v>172.35576923076923</v>
      </c>
      <c r="EK60" s="17">
        <f>EJ60*VLOOKUP('Données projet'!$B$15,Paramètres!$A$1:$I$89,3,0)*VLOOKUP('Données projet'!$B$15,Paramètres!$A$1:$I$89,5,0)</f>
        <v>134.4375</v>
      </c>
      <c r="EL60" s="13">
        <f t="shared" si="45"/>
        <v>35.019723665000747</v>
      </c>
      <c r="EM60" s="20">
        <f t="shared" si="19"/>
        <v>295.13799788320961</v>
      </c>
      <c r="EN60" s="59">
        <f t="shared" si="20"/>
        <v>554.66463793388732</v>
      </c>
      <c r="EO60" s="59">
        <f ca="1">AVERAGE(OFFSET($EN$3,0,0,'Données projet'!$E$15+1,1))-AVERAGE(OFFSET($H$3,0,0,'Données projet'!$E$15+1,1))</f>
        <v>217.53602321474159</v>
      </c>
      <c r="EP60" s="59">
        <f t="shared" si="46"/>
        <v>215.75909414893025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29.104066885116698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29.104066885116698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11.644999999999996</v>
      </c>
      <c r="FE60" s="12">
        <f>IF('Données projet'!$A$218&gt;35,FE59+FD60-FM59,IF(A60&lt;'Données projet'!$A$218,$FB$205^A60,IF(A60='Données projet'!$A$218,'Données projet'!$B$218,FE59+FD60-FM59)))</f>
        <v>242.72000000000008</v>
      </c>
      <c r="FF60" s="17">
        <f>FE60*VLOOKUP('Données projet'!$B$16,Paramètres!$A$1:$I$89,3,0)*VLOOKUP('Données projet'!$B$16,Paramètres!$A$1:$I$89,5,0)</f>
        <v>162.81657600000005</v>
      </c>
      <c r="FG60" s="13">
        <f t="shared" si="47"/>
        <v>41.477155340136981</v>
      </c>
      <c r="FH60" s="20">
        <f t="shared" si="22"/>
        <v>355.81158208407197</v>
      </c>
      <c r="FI60" s="59">
        <f t="shared" si="23"/>
        <v>615.33822213474969</v>
      </c>
      <c r="FJ60" s="59">
        <f ca="1">AVERAGE(OFFSET($FI$3,0,0,'Données projet'!$E$16+1,1))-AVERAGE(OFFSET($H$3,0,0,'Données projet'!$E$16+1,1))</f>
        <v>441.20130048888439</v>
      </c>
      <c r="FK60" s="59">
        <f t="shared" si="48"/>
        <v>237.47732532183946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73.361461020859366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73.361461020859366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</v>
      </c>
      <c r="FZ60" s="12">
        <f>IF('Données projet'!$A$244&gt;35,FZ59+FY60-GH59,IF(A60&lt;'Données projet'!$A$244,$FW$205^A60,IF(A60='Données projet'!$A$244,'Données projet'!$B$244,FZ59+FY60-GH59)))</f>
        <v>181.00000000000003</v>
      </c>
      <c r="GA60" s="17">
        <f>FZ60*VLOOKUP('Données projet'!$B$17,Paramètres!$A$1:$I$89,3,0)*VLOOKUP('Données projet'!$B$17,Paramètres!$A$1:$I$89,5,0)</f>
        <v>118.59120000000001</v>
      </c>
      <c r="GB60" s="13">
        <f t="shared" si="49"/>
        <v>31.346194334434067</v>
      </c>
      <c r="GC60" s="20">
        <f t="shared" si="25"/>
        <v>261.14096179913935</v>
      </c>
      <c r="GD60" s="59">
        <f t="shared" si="26"/>
        <v>520.66760184981706</v>
      </c>
      <c r="GE60" s="59">
        <f ca="1">AVERAGE(OFFSET($GD$3,0,0,'Données projet'!$E$17+1,1))-AVERAGE(OFFSET($H$3,0,0,'Données projet'!$E$17+1,1))</f>
        <v>257.66104339896992</v>
      </c>
      <c r="GF60" s="59">
        <f t="shared" si="50"/>
        <v>254.79488636184996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26.20724625104701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26.20724625104701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5.4</v>
      </c>
      <c r="GU60" s="12">
        <f>IF('Données projet'!$A$270&gt;35,GU59+GT60-HC59,IF(A60&lt;'Données projet'!$A$270,$GR$205^A60,IF(A60='Données projet'!$A$270,'Données projet'!$B$270,GU59+GT60-HC59)))</f>
        <v>180.80000000000007</v>
      </c>
      <c r="GV60" s="17">
        <f>GU60*VLOOKUP('Données projet'!$B$18,Paramètres!$A$1:$I$89,3,0)*VLOOKUP('Données projet'!$B$18,Paramètres!$A$1:$I$89,5,0)</f>
        <v>146.66496000000006</v>
      </c>
      <c r="GW60" s="13">
        <f t="shared" si="51"/>
        <v>37.819696883427554</v>
      </c>
      <c r="GX60" s="20">
        <f t="shared" si="28"/>
        <v>321.3107774053031</v>
      </c>
      <c r="GY60" s="59">
        <f t="shared" si="29"/>
        <v>580.83741745598081</v>
      </c>
      <c r="GZ60" s="59">
        <f ca="1">AVERAGE(OFFSET($GY$3,0,0,'Données projet'!$E$18+1,1))-AVERAGE(OFFSET($H$3,0,0,'Données projet'!$E$18+1,1))</f>
        <v>299.98377156721153</v>
      </c>
      <c r="HA60" s="59">
        <f t="shared" si="52"/>
        <v>241.36164657721102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20.717975313189275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20.717975313189275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11.644999999999996</v>
      </c>
      <c r="N61" s="13">
        <f>IF('Données projet'!$A$36&gt;35,N60+M61-V60,IF(A61&lt;'Données projet'!$A$36,$K$205^A61,IF(A61='Données projet'!$A$36,'Données projet'!$B$36,N60+M61-V60)))</f>
        <v>254.36500000000007</v>
      </c>
      <c r="O61" s="13">
        <f>N61*VLOOKUP('Données projet'!$B$9,Paramètres!$A$1:$I$89,3,0)*VLOOKUP('Données projet'!$B$9,Paramètres!$A$1:$I$89,5,0)</f>
        <v>230.14945200000005</v>
      </c>
      <c r="P61" s="13">
        <f t="shared" si="33"/>
        <v>56.314995325940238</v>
      </c>
      <c r="Q61" s="20">
        <f t="shared" si="53"/>
        <v>498.9255790926793</v>
      </c>
      <c r="R61" s="59">
        <f t="shared" si="0"/>
        <v>759.03868969136772</v>
      </c>
      <c r="S61" s="59">
        <f ca="1">AVERAGE(OFFSET($R$3,0,0,'Données projet'!$E$9+1,1))-AVERAGE(OFFSET($H$3,0,0,'Données projet'!$E$9+1,1))</f>
        <v>567.42635821507474</v>
      </c>
      <c r="T61" s="59">
        <f t="shared" si="34"/>
        <v>299.04735309930152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78.708065583889947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78.708065583889947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</v>
      </c>
      <c r="AI61" s="13">
        <f>IF('Données projet'!$A$62&gt;35,AI60+AH61-AQ60,IF(A61&lt;'Données projet'!$A$62,$AF$205^A61,IF(A61='Données projet'!$A$62,'Données projet'!$B$62,AI60+AH61-AQ60)))</f>
        <v>310.00000000000006</v>
      </c>
      <c r="AJ61" s="13">
        <f>AI61*VLOOKUP('Données projet'!$B$10,Paramètres!$A$1:$I$89,3,0)*VLOOKUP('Données projet'!$B$10,Paramètres!$A$1:$I$89,5,0)</f>
        <v>265.98000000000008</v>
      </c>
      <c r="AK61" s="13">
        <f t="shared" si="35"/>
        <v>63.995380422211646</v>
      </c>
      <c r="AL61" s="20">
        <f t="shared" si="4"/>
        <v>574.7071209020188</v>
      </c>
      <c r="AM61" s="59">
        <f t="shared" si="5"/>
        <v>834.82023150070722</v>
      </c>
      <c r="AN61" s="59">
        <f ca="1">AVERAGE(OFFSET($AM$3,0,0,'Données projet'!$E$10+1,1))-AVERAGE(OFFSET($H$3,0,0,'Données projet'!$E$10+1,1))</f>
        <v>569.97793593332699</v>
      </c>
      <c r="AO61" s="59">
        <f t="shared" si="36"/>
        <v>331.25104323342907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68.673074649721869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68.673074649721869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277.99999999999994</v>
      </c>
      <c r="BE61" s="13">
        <f>BD61*VLOOKUP('Données projet'!$B$11,Paramètres!$A$1:$I$89,3,0)*VLOOKUP('Données projet'!$B$11,Paramètres!$A$1:$I$89,5,0)</f>
        <v>151.78799999999998</v>
      </c>
      <c r="BF61" s="13">
        <f t="shared" si="37"/>
        <v>38.984634390835623</v>
      </c>
      <c r="BG61" s="20">
        <f t="shared" si="7"/>
        <v>332.26233823070532</v>
      </c>
      <c r="BH61" s="59">
        <f t="shared" si="8"/>
        <v>592.37544882939369</v>
      </c>
      <c r="BI61" s="59">
        <f ca="1">AVERAGE(OFFSET($BH$3,0,0,'Données projet'!$E$11+1,1))-AVERAGE(OFFSET($H$3,0,0,'Données projet'!$E$11+1,1))</f>
        <v>215.37314197175104</v>
      </c>
      <c r="BJ61" s="59">
        <f t="shared" si="38"/>
        <v>361.17630426655978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21.0821383242404</v>
      </c>
      <c r="BQ61" s="21">
        <f>EXP(-LN(2)/25)*BQ60+(1-EXP(-LN(2)/25))/(LN(2)/25)*Calculateur!BL61*Calculateur!BN61*VLOOKUP('Données projet'!$B$11,Paramètres!$A$1:$I$89,3,0)*0.475*44/12</f>
        <v>44.188087487224763</v>
      </c>
      <c r="BR61" s="21">
        <f>EXP(-LN(2)/2)*BR60+(1-EXP(-LN(2)/2))/(LN(2)/2)*BL61*BO61*VLOOKUP('Données projet'!$B$11,Paramètres!$A$1:$I$89,3,0)*0.475*44/12</f>
        <v>1.5475959209726401E-6</v>
      </c>
      <c r="BS61" s="22">
        <f t="shared" si="9"/>
        <v>65.270227359061082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0.8600000000003547</v>
      </c>
      <c r="BZ61" s="13">
        <f>BY61*VLOOKUP('Données projet'!$B$12,Paramètres!$A$1:$I$89,3,0)*VLOOKUP('Données projet'!$B$12,Paramètres!$A$1:$I$89,5,0)</f>
        <v>0.48074000000019829</v>
      </c>
      <c r="CA61" s="13">
        <f t="shared" si="39"/>
        <v>0.24126147010950588</v>
      </c>
      <c r="CB61" s="20">
        <f t="shared" si="10"/>
        <v>1.2574858937744013</v>
      </c>
      <c r="CC61" s="59">
        <f t="shared" si="11"/>
        <v>261.37059649246282</v>
      </c>
      <c r="CD61" s="59">
        <f ca="1">AVERAGE(OFFSET($CC$3,0,0,'Données projet'!$E$12+1,1))-AVERAGE(OFFSET($H$3,0,0,'Données projet'!$E$12+1,1))</f>
        <v>420.4890915162182</v>
      </c>
      <c r="CE61" s="59">
        <f t="shared" si="40"/>
        <v>553.48432338023565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350.34420661519124</v>
      </c>
      <c r="CL61" s="21">
        <f>EXP(-LN(2)/25)*CL60+(1-EXP(-LN(2)/25))/(LN(2)/25)*Calculateur!CG61*Calculateur!CI61*VLOOKUP('Données projet'!$B$12,Paramètres!$A$1:$I$89,3,0)*0.475*44/12</f>
        <v>23.267529773822581</v>
      </c>
      <c r="CM61" s="21">
        <f>EXP(-LN(2)/2)*CM60+(1-EXP(-LN(2)/2))/(LN(2)/2)*CG61*CJ61*VLOOKUP('Données projet'!$B$12,Paramètres!$A$1:$I$89,3,0)*0.475*44/12</f>
        <v>4.5161165103931405E-5</v>
      </c>
      <c r="CN61" s="22">
        <f t="shared" si="12"/>
        <v>373.61178155017888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7.4</v>
      </c>
      <c r="CT61" s="12">
        <f>IF('Données projet'!$A$140&gt;35,CT60+CS61-DB60,IF(A61&lt;'Données projet'!$A$140,$CQ$205^A61,IF(A61='Données projet'!$A$140,'Données projet'!$B$140,CT60+CS61-DB60)))</f>
        <v>328.19999999999976</v>
      </c>
      <c r="CU61" s="17">
        <f>CT61*VLOOKUP('Données projet'!$B$13,Paramètres!$A$1:$I$89,3,0)*VLOOKUP('Données projet'!$B$13,Paramètres!$A$1:$I$89,5,0)</f>
        <v>240.63623999999982</v>
      </c>
      <c r="CV61" s="13">
        <f t="shared" si="41"/>
        <v>58.576399517863109</v>
      </c>
      <c r="CW61" s="20">
        <f t="shared" si="13"/>
        <v>521.12868049361134</v>
      </c>
      <c r="CX61" s="59">
        <f t="shared" si="14"/>
        <v>781.24179109229976</v>
      </c>
      <c r="CY61" s="59">
        <f ca="1">AVERAGE(OFFSET($CX$3,0,0,'Données projet'!$E$13+1,1))-AVERAGE(OFFSET($H$3,0,0,'Données projet'!$E$13+1,1))</f>
        <v>400.48995908576177</v>
      </c>
      <c r="CZ61" s="59">
        <f t="shared" si="42"/>
        <v>384.86917865380076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38.206502349484168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38.206502349484168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7.4</v>
      </c>
      <c r="DO61" s="12">
        <f>IF('Données projet'!$A$166&gt;35,DO60+DN61-DW60,IF(A61&lt;'Données projet'!$A$166,$DL$205^A61,IF(A61='Données projet'!$A$166,'Données projet'!$B$166,DO60+DN61-DW60)))</f>
        <v>328.19999999999976</v>
      </c>
      <c r="DP61" s="17">
        <f>DO61*VLOOKUP('Données projet'!$B$14,Paramètres!$A$1:$I$89,3,0)*VLOOKUP('Données projet'!$B$14,Paramètres!$A$1:$I$89,5,0)</f>
        <v>261.11591999999985</v>
      </c>
      <c r="DQ61" s="13">
        <f t="shared" si="43"/>
        <v>62.960187681145797</v>
      </c>
      <c r="DR61" s="20">
        <f t="shared" si="16"/>
        <v>564.43255421132858</v>
      </c>
      <c r="DS61" s="59">
        <f t="shared" si="17"/>
        <v>824.545664810017</v>
      </c>
      <c r="DT61" s="59">
        <f ca="1">AVERAGE(OFFSET($DS$3,0,0,'Données projet'!$E$14+1,1))-AVERAGE(OFFSET($H$3,0,0,'Données projet'!$E$14+1,1))</f>
        <v>429.30603040255431</v>
      </c>
      <c r="DU61" s="59">
        <f t="shared" si="44"/>
        <v>412.18613903804726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51.099542726697543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51.099542726697543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6.0096153846153868</v>
      </c>
      <c r="EJ61" s="12">
        <f>IF('Données projet'!$A$192&gt;35,EJ60+EI61-ER60,IF(A61&lt;'Données projet'!$A$192,$EG$205^A61,IF(A61='Données projet'!$A$192,'Données projet'!$B$192,EJ60+EI61-ER60)))</f>
        <v>178.36538461538461</v>
      </c>
      <c r="EK61" s="17">
        <f>EJ61*VLOOKUP('Données projet'!$B$15,Paramètres!$A$1:$I$89,3,0)*VLOOKUP('Données projet'!$B$15,Paramètres!$A$1:$I$89,5,0)</f>
        <v>139.125</v>
      </c>
      <c r="EL61" s="13">
        <f t="shared" si="45"/>
        <v>36.096482198248644</v>
      </c>
      <c r="EM61" s="20">
        <f t="shared" si="19"/>
        <v>305.17741482861635</v>
      </c>
      <c r="EN61" s="59">
        <f t="shared" si="20"/>
        <v>565.29052542730483</v>
      </c>
      <c r="EO61" s="59">
        <f ca="1">AVERAGE(OFFSET($EN$3,0,0,'Données projet'!$E$15+1,1))-AVERAGE(OFFSET($H$3,0,0,'Données projet'!$E$15+1,1))</f>
        <v>217.53602321474159</v>
      </c>
      <c r="EP61" s="59">
        <f t="shared" si="46"/>
        <v>215.75909414893025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28.533353885227523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28.533353885227523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11.644999999999996</v>
      </c>
      <c r="FE61" s="12">
        <f>IF('Données projet'!$A$218&gt;35,FE60+FD61-FM60,IF(A61&lt;'Données projet'!$A$218,$FB$205^A61,IF(A61='Données projet'!$A$218,'Données projet'!$B$218,FE60+FD61-FM60)))</f>
        <v>254.36500000000007</v>
      </c>
      <c r="FF61" s="17">
        <f>FE61*VLOOKUP('Données projet'!$B$16,Paramètres!$A$1:$I$89,3,0)*VLOOKUP('Données projet'!$B$16,Paramètres!$A$1:$I$89,5,0)</f>
        <v>170.62804200000005</v>
      </c>
      <c r="FG61" s="13">
        <f t="shared" si="47"/>
        <v>43.230653898883929</v>
      </c>
      <c r="FH61" s="20">
        <f t="shared" si="22"/>
        <v>372.4705620238895</v>
      </c>
      <c r="FI61" s="59">
        <f t="shared" si="23"/>
        <v>632.58367262257798</v>
      </c>
      <c r="FJ61" s="59">
        <f ca="1">AVERAGE(OFFSET($FI$3,0,0,'Données projet'!$E$16+1,1))-AVERAGE(OFFSET($H$3,0,0,'Données projet'!$E$16+1,1))</f>
        <v>441.20130048888439</v>
      </c>
      <c r="FK61" s="59">
        <f t="shared" si="48"/>
        <v>237.47732532183946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71.922887516313224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71.922887516313224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</v>
      </c>
      <c r="FZ61" s="12">
        <f>IF('Données projet'!$A$244&gt;35,FZ60+FY61-GH60,IF(A61&lt;'Données projet'!$A$244,$FW$205^A61,IF(A61='Données projet'!$A$244,'Données projet'!$B$244,FZ60+FY61-GH60)))</f>
        <v>186.00000000000003</v>
      </c>
      <c r="GA61" s="17">
        <f>FZ61*VLOOKUP('Données projet'!$B$17,Paramètres!$A$1:$I$89,3,0)*VLOOKUP('Données projet'!$B$17,Paramètres!$A$1:$I$89,5,0)</f>
        <v>121.86720000000001</v>
      </c>
      <c r="GB61" s="13">
        <f t="shared" si="49"/>
        <v>32.110100916567376</v>
      </c>
      <c r="GC61" s="20">
        <f t="shared" si="25"/>
        <v>268.17713242968824</v>
      </c>
      <c r="GD61" s="59">
        <f t="shared" si="26"/>
        <v>528.29024302837661</v>
      </c>
      <c r="GE61" s="59">
        <f ca="1">AVERAGE(OFFSET($GD$3,0,0,'Données projet'!$E$17+1,1))-AVERAGE(OFFSET($H$3,0,0,'Données projet'!$E$17+1,1))</f>
        <v>257.66104339896992</v>
      </c>
      <c r="GF61" s="59">
        <f t="shared" si="50"/>
        <v>254.79488636184996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25.693338136905819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25.693338136905819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5.4</v>
      </c>
      <c r="GU61" s="12">
        <f>IF('Données projet'!$A$270&gt;35,GU60+GT61-HC60,IF(A61&lt;'Données projet'!$A$270,$GR$205^A61,IF(A61='Données projet'!$A$270,'Données projet'!$B$270,GU60+GT61-HC60)))</f>
        <v>186.20000000000007</v>
      </c>
      <c r="GV61" s="17">
        <f>GU61*VLOOKUP('Données projet'!$B$18,Paramètres!$A$1:$I$89,3,0)*VLOOKUP('Données projet'!$B$18,Paramètres!$A$1:$I$89,5,0)</f>
        <v>151.04544000000007</v>
      </c>
      <c r="GW61" s="13">
        <f t="shared" si="51"/>
        <v>38.816069491558714</v>
      </c>
      <c r="GX61" s="20">
        <f t="shared" si="28"/>
        <v>330.67546236446486</v>
      </c>
      <c r="GY61" s="59">
        <f t="shared" si="29"/>
        <v>590.78857296315323</v>
      </c>
      <c r="GZ61" s="59">
        <f ca="1">AVERAGE(OFFSET($GY$3,0,0,'Données projet'!$E$18+1,1))-AVERAGE(OFFSET($H$3,0,0,'Données projet'!$E$18+1,1))</f>
        <v>299.98377156721153</v>
      </c>
      <c r="HA61" s="59">
        <f t="shared" si="52"/>
        <v>241.36164657721102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20.311708454014802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20.311708454014802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11.644999999999996</v>
      </c>
      <c r="N62" s="13">
        <f>IF('Données projet'!$A$36&gt;35,N61+M62-V61,IF(A62&lt;'Données projet'!$A$36,$K$205^A62,IF(A62='Données projet'!$A$36,'Données projet'!$B$36,N61+M62-V61)))</f>
        <v>266.01000000000005</v>
      </c>
      <c r="O62" s="13">
        <f>N62*VLOOKUP('Données projet'!$B$9,Paramètres!$A$1:$I$89,3,0)*VLOOKUP('Données projet'!$B$9,Paramètres!$A$1:$I$89,5,0)</f>
        <v>240.68584800000005</v>
      </c>
      <c r="P62" s="13">
        <f t="shared" si="33"/>
        <v>58.587069504016014</v>
      </c>
      <c r="Q62" s="20">
        <f t="shared" si="53"/>
        <v>521.23366465282788</v>
      </c>
      <c r="R62" s="59">
        <f t="shared" si="0"/>
        <v>781.92307184667061</v>
      </c>
      <c r="S62" s="59">
        <f ca="1">AVERAGE(OFFSET($R$3,0,0,'Données projet'!$E$9+1,1))-AVERAGE(OFFSET($H$3,0,0,'Données projet'!$E$9+1,1))</f>
        <v>567.42635821507474</v>
      </c>
      <c r="T62" s="59">
        <f t="shared" si="34"/>
        <v>299.04735309930152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77.164648424969556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77.164648424969556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</v>
      </c>
      <c r="AI62" s="13">
        <f>IF('Données projet'!$A$62&gt;35,AI61+AH62-AQ61,IF(A62&lt;'Données projet'!$A$62,$AF$205^A62,IF(A62='Données projet'!$A$62,'Données projet'!$B$62,AI61+AH62-AQ61)))</f>
        <v>323.00000000000006</v>
      </c>
      <c r="AJ62" s="13">
        <f>AI62*VLOOKUP('Données projet'!$B$10,Paramètres!$A$1:$I$89,3,0)*VLOOKUP('Données projet'!$B$10,Paramètres!$A$1:$I$89,5,0)</f>
        <v>277.13400000000007</v>
      </c>
      <c r="AK62" s="13">
        <f t="shared" si="35"/>
        <v>66.360978503745613</v>
      </c>
      <c r="AL62" s="20">
        <f t="shared" si="4"/>
        <v>598.25375422735704</v>
      </c>
      <c r="AM62" s="59">
        <f t="shared" si="5"/>
        <v>858.94316142119987</v>
      </c>
      <c r="AN62" s="59">
        <f ca="1">AVERAGE(OFFSET($AM$3,0,0,'Données projet'!$E$10+1,1))-AVERAGE(OFFSET($H$3,0,0,'Données projet'!$E$10+1,1))</f>
        <v>569.97793593332699</v>
      </c>
      <c r="AO62" s="59">
        <f t="shared" si="36"/>
        <v>331.25104323342907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67.326437542280416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67.326437542280416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277.99999999999994</v>
      </c>
      <c r="BE62" s="13">
        <f>BD62*VLOOKUP('Données projet'!$B$11,Paramètres!$A$1:$I$89,3,0)*VLOOKUP('Données projet'!$B$11,Paramètres!$A$1:$I$89,5,0)</f>
        <v>151.78799999999998</v>
      </c>
      <c r="BF62" s="13">
        <f t="shared" si="37"/>
        <v>38.984634390835623</v>
      </c>
      <c r="BG62" s="20">
        <f t="shared" si="7"/>
        <v>332.26233823070532</v>
      </c>
      <c r="BH62" s="59">
        <f t="shared" si="8"/>
        <v>592.95174542454811</v>
      </c>
      <c r="BI62" s="59">
        <f ca="1">AVERAGE(OFFSET($BH$3,0,0,'Données projet'!$E$11+1,1))-AVERAGE(OFFSET($H$3,0,0,'Données projet'!$E$11+1,1))</f>
        <v>215.37314197175104</v>
      </c>
      <c r="BJ62" s="59">
        <f t="shared" si="38"/>
        <v>361.17630426655978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20.668730450536721</v>
      </c>
      <c r="BQ62" s="21">
        <f>EXP(-LN(2)/25)*BQ61+(1-EXP(-LN(2)/25))/(LN(2)/25)*Calculateur!BL62*Calculateur!BN62*VLOOKUP('Données projet'!$B$11,Paramètres!$A$1:$I$89,3,0)*0.475*44/12</f>
        <v>42.979761911136073</v>
      </c>
      <c r="BR62" s="21">
        <f>EXP(-LN(2)/2)*BR61+(1-EXP(-LN(2)/2))/(LN(2)/2)*BL62*BO62*VLOOKUP('Données projet'!$B$11,Paramètres!$A$1:$I$89,3,0)*0.475*44/12</f>
        <v>1.0943155702563941E-6</v>
      </c>
      <c r="BS62" s="22">
        <f t="shared" si="9"/>
        <v>63.648493455988365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0.8600000000003547</v>
      </c>
      <c r="BZ62" s="13">
        <f>BY62*VLOOKUP('Données projet'!$B$12,Paramètres!$A$1:$I$89,3,0)*VLOOKUP('Données projet'!$B$12,Paramètres!$A$1:$I$89,5,0)</f>
        <v>0.48074000000019829</v>
      </c>
      <c r="CA62" s="13">
        <f t="shared" si="39"/>
        <v>0.24126147010950588</v>
      </c>
      <c r="CB62" s="20">
        <f t="shared" si="10"/>
        <v>1.2574858937744013</v>
      </c>
      <c r="CC62" s="59">
        <f t="shared" si="11"/>
        <v>261.94689308761718</v>
      </c>
      <c r="CD62" s="59">
        <f ca="1">AVERAGE(OFFSET($CC$3,0,0,'Données projet'!$E$12+1,1))-AVERAGE(OFFSET($H$3,0,0,'Données projet'!$E$12+1,1))</f>
        <v>420.4890915162182</v>
      </c>
      <c r="CE62" s="59">
        <f t="shared" si="40"/>
        <v>553.48432338023565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343.47417041233336</v>
      </c>
      <c r="CL62" s="21">
        <f>EXP(-LN(2)/25)*CL61+(1-EXP(-LN(2)/25))/(LN(2)/25)*Calculateur!CG62*Calculateur!CI62*VLOOKUP('Données projet'!$B$12,Paramètres!$A$1:$I$89,3,0)*0.475*44/12</f>
        <v>22.631277948571189</v>
      </c>
      <c r="CM62" s="21">
        <f>EXP(-LN(2)/2)*CM61+(1-EXP(-LN(2)/2))/(LN(2)/2)*CG62*CJ62*VLOOKUP('Données projet'!$B$12,Paramètres!$A$1:$I$89,3,0)*0.475*44/12</f>
        <v>3.1933766091275169E-5</v>
      </c>
      <c r="CN62" s="22">
        <f t="shared" si="12"/>
        <v>366.10548029467066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7.4</v>
      </c>
      <c r="CT62" s="12">
        <f>IF('Données projet'!$A$140&gt;35,CT61+CS62-DB61,IF(A62&lt;'Données projet'!$A$140,$CQ$205^A62,IF(A62='Données projet'!$A$140,'Données projet'!$B$140,CT61+CS62-DB61)))</f>
        <v>335.59999999999974</v>
      </c>
      <c r="CU62" s="17">
        <f>CT62*VLOOKUP('Données projet'!$B$13,Paramètres!$A$1:$I$89,3,0)*VLOOKUP('Données projet'!$B$13,Paramètres!$A$1:$I$89,5,0)</f>
        <v>246.06191999999979</v>
      </c>
      <c r="CV62" s="13">
        <f t="shared" si="41"/>
        <v>59.741882613953308</v>
      </c>
      <c r="CW62" s="20">
        <f t="shared" si="13"/>
        <v>532.60828955263503</v>
      </c>
      <c r="CX62" s="59">
        <f t="shared" si="14"/>
        <v>793.29769674647787</v>
      </c>
      <c r="CY62" s="59">
        <f ca="1">AVERAGE(OFFSET($CX$3,0,0,'Données projet'!$E$13+1,1))-AVERAGE(OFFSET($H$3,0,0,'Données projet'!$E$13+1,1))</f>
        <v>400.48995908576177</v>
      </c>
      <c r="CZ62" s="59">
        <f t="shared" si="42"/>
        <v>384.86917865380076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37.457296142076174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37.457296142076174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7.4</v>
      </c>
      <c r="DO62" s="12">
        <f>IF('Données projet'!$A$166&gt;35,DO61+DN62-DW61,IF(A62&lt;'Données projet'!$A$166,$DL$205^A62,IF(A62='Données projet'!$A$166,'Données projet'!$B$166,DO61+DN62-DW61)))</f>
        <v>335.59999999999974</v>
      </c>
      <c r="DP62" s="17">
        <f>DO62*VLOOKUP('Données projet'!$B$14,Paramètres!$A$1:$I$89,3,0)*VLOOKUP('Données projet'!$B$14,Paramètres!$A$1:$I$89,5,0)</f>
        <v>267.00335999999982</v>
      </c>
      <c r="DQ62" s="13">
        <f t="shared" si="43"/>
        <v>64.212894147794728</v>
      </c>
      <c r="DR62" s="20">
        <f t="shared" si="16"/>
        <v>576.86830930740882</v>
      </c>
      <c r="DS62" s="59">
        <f t="shared" si="17"/>
        <v>837.55771650125166</v>
      </c>
      <c r="DT62" s="59">
        <f ca="1">AVERAGE(OFFSET($DS$3,0,0,'Données projet'!$E$14+1,1))-AVERAGE(OFFSET($H$3,0,0,'Données projet'!$E$14+1,1))</f>
        <v>429.30603040255431</v>
      </c>
      <c r="DU62" s="59">
        <f t="shared" si="44"/>
        <v>412.18613903804726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50.097511861470515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50.097511861470515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6.0096153846153868</v>
      </c>
      <c r="EJ62" s="12">
        <f>IF('Données projet'!$A$192&gt;35,EJ61+EI62-ER61,IF(A62&lt;'Données projet'!$A$192,$EG$205^A62,IF(A62='Données projet'!$A$192,'Données projet'!$B$192,EJ61+EI62-ER61)))</f>
        <v>184.375</v>
      </c>
      <c r="EK62" s="17">
        <f>EJ62*VLOOKUP('Données projet'!$B$15,Paramètres!$A$1:$I$89,3,0)*VLOOKUP('Données projet'!$B$15,Paramètres!$A$1:$I$89,5,0)</f>
        <v>143.8125</v>
      </c>
      <c r="EL62" s="13">
        <f t="shared" si="45"/>
        <v>37.169025291790518</v>
      </c>
      <c r="EM62" s="20">
        <f t="shared" si="19"/>
        <v>315.2094898832018</v>
      </c>
      <c r="EN62" s="59">
        <f t="shared" si="20"/>
        <v>575.89889707704458</v>
      </c>
      <c r="EO62" s="59">
        <f ca="1">AVERAGE(OFFSET($EN$3,0,0,'Données projet'!$E$15+1,1))-AVERAGE(OFFSET($H$3,0,0,'Données projet'!$E$15+1,1))</f>
        <v>217.53602321474159</v>
      </c>
      <c r="EP62" s="59">
        <f t="shared" si="46"/>
        <v>215.75909414893025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27.973832219165615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27.973832219165615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11.644999999999996</v>
      </c>
      <c r="FE62" s="12">
        <f>IF('Données projet'!$A$218&gt;35,FE61+FD62-FM61,IF(A62&lt;'Données projet'!$A$218,$FB$205^A62,IF(A62='Données projet'!$A$218,'Données projet'!$B$218,FE61+FD62-FM61)))</f>
        <v>266.01000000000005</v>
      </c>
      <c r="FF62" s="17">
        <f>FE62*VLOOKUP('Données projet'!$B$16,Paramètres!$A$1:$I$89,3,0)*VLOOKUP('Données projet'!$B$16,Paramètres!$A$1:$I$89,5,0)</f>
        <v>178.43950800000005</v>
      </c>
      <c r="FG62" s="13">
        <f t="shared" si="47"/>
        <v>44.974829705993358</v>
      </c>
      <c r="FH62" s="20">
        <f t="shared" si="22"/>
        <v>389.11330483793853</v>
      </c>
      <c r="FI62" s="59">
        <f t="shared" si="23"/>
        <v>649.80271203178131</v>
      </c>
      <c r="FJ62" s="59">
        <f ca="1">AVERAGE(OFFSET($FI$3,0,0,'Données projet'!$E$16+1,1))-AVERAGE(OFFSET($H$3,0,0,'Données projet'!$E$16+1,1))</f>
        <v>441.20130048888439</v>
      </c>
      <c r="FK62" s="59">
        <f t="shared" si="48"/>
        <v>237.47732532183946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70.512523560748036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70.512523560748036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</v>
      </c>
      <c r="FZ62" s="12">
        <f>IF('Données projet'!$A$244&gt;35,FZ61+FY62-GH61,IF(A62&lt;'Données projet'!$A$244,$FW$205^A62,IF(A62='Données projet'!$A$244,'Données projet'!$B$244,FZ61+FY62-GH61)))</f>
        <v>191.00000000000003</v>
      </c>
      <c r="GA62" s="17">
        <f>FZ62*VLOOKUP('Données projet'!$B$17,Paramètres!$A$1:$I$89,3,0)*VLOOKUP('Données projet'!$B$17,Paramètres!$A$1:$I$89,5,0)</f>
        <v>125.14320000000002</v>
      </c>
      <c r="GB62" s="13">
        <f t="shared" si="49"/>
        <v>32.871620642334328</v>
      </c>
      <c r="GC62" s="20">
        <f t="shared" si="25"/>
        <v>275.20914595206563</v>
      </c>
      <c r="GD62" s="59">
        <f t="shared" si="26"/>
        <v>535.89855314590841</v>
      </c>
      <c r="GE62" s="59">
        <f ca="1">AVERAGE(OFFSET($GD$3,0,0,'Données projet'!$E$17+1,1))-AVERAGE(OFFSET($H$3,0,0,'Données projet'!$E$17+1,1))</f>
        <v>257.66104339896992</v>
      </c>
      <c r="GF62" s="59">
        <f t="shared" si="50"/>
        <v>254.79488636184996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25.189507447429939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25.189507447429939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5.4</v>
      </c>
      <c r="GU62" s="12">
        <f>IF('Données projet'!$A$270&gt;35,GU61+GT62-HC61,IF(A62&lt;'Données projet'!$A$270,$GR$205^A62,IF(A62='Données projet'!$A$270,'Données projet'!$B$270,GU61+GT62-HC61)))</f>
        <v>191.60000000000008</v>
      </c>
      <c r="GV62" s="17">
        <f>GU62*VLOOKUP('Données projet'!$B$18,Paramètres!$A$1:$I$89,3,0)*VLOOKUP('Données projet'!$B$18,Paramètres!$A$1:$I$89,5,0)</f>
        <v>155.42592000000008</v>
      </c>
      <c r="GW62" s="13">
        <f t="shared" si="51"/>
        <v>39.809083793032812</v>
      </c>
      <c r="GX62" s="20">
        <f t="shared" si="28"/>
        <v>340.03429827286561</v>
      </c>
      <c r="GY62" s="59">
        <f t="shared" si="29"/>
        <v>600.72370546670845</v>
      </c>
      <c r="GZ62" s="59">
        <f ca="1">AVERAGE(OFFSET($GY$3,0,0,'Données projet'!$E$18+1,1))-AVERAGE(OFFSET($H$3,0,0,'Données projet'!$E$18+1,1))</f>
        <v>299.98377156721153</v>
      </c>
      <c r="HA62" s="59">
        <f t="shared" si="52"/>
        <v>241.36164657721102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19.913408240150424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19.913408240150424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11.644999999999996</v>
      </c>
      <c r="N63" s="13">
        <f>IF('Données projet'!$A$36&gt;35,N62+M63-V62,IF(A63&lt;'Données projet'!$A$36,$K$205^A63,IF(A63='Données projet'!$A$36,'Données projet'!$B$36,N62+M63-V62)))</f>
        <v>277.65500000000003</v>
      </c>
      <c r="O63" s="13">
        <f>N63*VLOOKUP('Données projet'!$B$9,Paramètres!$A$1:$I$89,3,0)*VLOOKUP('Données projet'!$B$9,Paramètres!$A$1:$I$89,5,0)</f>
        <v>251.22224400000005</v>
      </c>
      <c r="P63" s="13">
        <f t="shared" si="33"/>
        <v>60.847591673657284</v>
      </c>
      <c r="Q63" s="20">
        <f t="shared" si="53"/>
        <v>543.52163046495309</v>
      </c>
      <c r="R63" s="59">
        <f t="shared" si="0"/>
        <v>804.77733679643052</v>
      </c>
      <c r="S63" s="59">
        <f ca="1">AVERAGE(OFFSET($R$3,0,0,'Données projet'!$E$9+1,1))-AVERAGE(OFFSET($H$3,0,0,'Données projet'!$E$9+1,1))</f>
        <v>567.42635821507474</v>
      </c>
      <c r="T63" s="59">
        <f t="shared" si="34"/>
        <v>299.04735309930152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75.651496735144079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75.651496735144079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336</v>
      </c>
      <c r="AG63" s="12">
        <f>VLOOKUP(A63,'Données projet'!$A$61:$I$81,9,0)</f>
        <v>13</v>
      </c>
      <c r="AH63" s="12">
        <f t="array" ref="AH63">INDEX(AG:AG,MIN(IF(ISNUMBER(AG63:AG259),ROW(AG63:AG259),"")))</f>
        <v>13</v>
      </c>
      <c r="AI63" s="13">
        <f>IF('Données projet'!$A$62&gt;35,AI62+AH63-AQ62,IF(A63&lt;'Données projet'!$A$62,$AF$205^A63,IF(A63='Données projet'!$A$62,'Données projet'!$B$62,AI62+AH63-AQ62)))</f>
        <v>336.00000000000006</v>
      </c>
      <c r="AJ63" s="13">
        <f>AI63*VLOOKUP('Données projet'!$B$10,Paramètres!$A$1:$I$89,3,0)*VLOOKUP('Données projet'!$B$10,Paramètres!$A$1:$I$89,5,0)</f>
        <v>288.28800000000007</v>
      </c>
      <c r="AK63" s="13">
        <f t="shared" si="35"/>
        <v>68.715516926722444</v>
      </c>
      <c r="AL63" s="20">
        <f t="shared" si="4"/>
        <v>621.78112531404167</v>
      </c>
      <c r="AM63" s="59">
        <f t="shared" si="5"/>
        <v>883.03683164551921</v>
      </c>
      <c r="AN63" s="59">
        <f ca="1">AVERAGE(OFFSET($AM$3,0,0,'Données projet'!$E$10+1,1))-AVERAGE(OFFSET($H$3,0,0,'Données projet'!$E$10+1,1))</f>
        <v>569.97793593332699</v>
      </c>
      <c r="AO63" s="59">
        <f t="shared" si="36"/>
        <v>331.25104323342907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35</v>
      </c>
      <c r="AR63" s="16">
        <f>IF(ISNA(VLOOKUP(A63,'Données projet'!$A$61:$I$81,5,0)),0%,VLOOKUP(A63,'Données projet'!$A$61:$I$81,5,0)*VLOOKUP('Données projet'!$B$10,Paramètres!$A$1:$I$89,7,0))</f>
        <v>0.53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83.600763180756843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83.600763180756843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277.99999999999994</v>
      </c>
      <c r="BE63" s="13">
        <f>BD63*VLOOKUP('Données projet'!$B$11,Paramètres!$A$1:$I$89,3,0)*VLOOKUP('Données projet'!$B$11,Paramètres!$A$1:$I$89,5,0)</f>
        <v>151.78799999999998</v>
      </c>
      <c r="BF63" s="13">
        <f t="shared" si="37"/>
        <v>38.984634390835623</v>
      </c>
      <c r="BG63" s="20">
        <f t="shared" si="7"/>
        <v>332.26233823070532</v>
      </c>
      <c r="BH63" s="59">
        <f t="shared" si="8"/>
        <v>593.51804456218281</v>
      </c>
      <c r="BI63" s="59">
        <f ca="1">AVERAGE(OFFSET($BH$3,0,0,'Données projet'!$E$11+1,1))-AVERAGE(OFFSET($H$3,0,0,'Données projet'!$E$11+1,1))</f>
        <v>215.37314197175104</v>
      </c>
      <c r="BJ63" s="59">
        <f t="shared" si="38"/>
        <v>361.17630426655978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20.263429253082464</v>
      </c>
      <c r="BQ63" s="21">
        <f>EXP(-LN(2)/25)*BQ62+(1-EXP(-LN(2)/25))/(LN(2)/25)*Calculateur!BL63*Calculateur!BN63*VLOOKUP('Données projet'!$B$11,Paramètres!$A$1:$I$89,3,0)*0.475*44/12</f>
        <v>41.804478061468608</v>
      </c>
      <c r="BR63" s="21">
        <f>EXP(-LN(2)/2)*BR62+(1-EXP(-LN(2)/2))/(LN(2)/2)*BL63*BO63*VLOOKUP('Données projet'!$B$11,Paramètres!$A$1:$I$89,3,0)*0.475*44/12</f>
        <v>7.7379796048632007E-7</v>
      </c>
      <c r="BS63" s="22">
        <f t="shared" si="9"/>
        <v>62.067908088349029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0.8600000000003547</v>
      </c>
      <c r="BZ63" s="13">
        <f>BY63*VLOOKUP('Données projet'!$B$12,Paramètres!$A$1:$I$89,3,0)*VLOOKUP('Données projet'!$B$12,Paramètres!$A$1:$I$89,5,0)</f>
        <v>0.48074000000019829</v>
      </c>
      <c r="CA63" s="13">
        <f t="shared" si="39"/>
        <v>0.24126147010950588</v>
      </c>
      <c r="CB63" s="20">
        <f t="shared" si="10"/>
        <v>1.2574858937744013</v>
      </c>
      <c r="CC63" s="59">
        <f t="shared" si="11"/>
        <v>262.51319222525188</v>
      </c>
      <c r="CD63" s="59">
        <f ca="1">AVERAGE(OFFSET($CC$3,0,0,'Données projet'!$E$12+1,1))-AVERAGE(OFFSET($H$3,0,0,'Données projet'!$E$12+1,1))</f>
        <v>420.4890915162182</v>
      </c>
      <c r="CE63" s="59">
        <f t="shared" si="40"/>
        <v>553.48432338023565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336.73885142910518</v>
      </c>
      <c r="CL63" s="21">
        <f>EXP(-LN(2)/25)*CL62+(1-EXP(-LN(2)/25))/(LN(2)/25)*Calculateur!CG63*Calculateur!CI63*VLOOKUP('Données projet'!$B$12,Paramètres!$A$1:$I$89,3,0)*0.475*44/12</f>
        <v>22.012424462940327</v>
      </c>
      <c r="CM63" s="21">
        <f>EXP(-LN(2)/2)*CM62+(1-EXP(-LN(2)/2))/(LN(2)/2)*CG63*CJ63*VLOOKUP('Données projet'!$B$12,Paramètres!$A$1:$I$89,3,0)*0.475*44/12</f>
        <v>2.2580582551965702E-5</v>
      </c>
      <c r="CN63" s="22">
        <f t="shared" si="12"/>
        <v>358.75129847262804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343</v>
      </c>
      <c r="CR63" s="12">
        <f>VLOOKUP(A63,'Données projet'!$A$139:$I$159,9,0)</f>
        <v>7.4</v>
      </c>
      <c r="CS63" s="12">
        <f t="array" ref="CS63">INDEX(CR:CR,MIN(IF(ISNUMBER(CR63:CR259),ROW(CR63:CR259),"")))</f>
        <v>7.4</v>
      </c>
      <c r="CT63" s="12">
        <f>IF('Données projet'!$A$140&gt;35,CT62+CS63-DB62,IF(A63&lt;'Données projet'!$A$140,$CQ$205^A63,IF(A63='Données projet'!$A$140,'Données projet'!$B$140,CT62+CS63-DB62)))</f>
        <v>342.99999999999972</v>
      </c>
      <c r="CU63" s="17">
        <f>CT63*VLOOKUP('Données projet'!$B$13,Paramètres!$A$1:$I$89,3,0)*VLOOKUP('Données projet'!$B$13,Paramètres!$A$1:$I$89,5,0)</f>
        <v>251.48759999999979</v>
      </c>
      <c r="CV63" s="13">
        <f t="shared" si="41"/>
        <v>60.904377929400603</v>
      </c>
      <c r="CW63" s="20">
        <f t="shared" si="13"/>
        <v>544.08269489370571</v>
      </c>
      <c r="CX63" s="59">
        <f t="shared" si="14"/>
        <v>805.33840122518313</v>
      </c>
      <c r="CY63" s="59">
        <f ca="1">AVERAGE(OFFSET($CX$3,0,0,'Données projet'!$E$13+1,1))-AVERAGE(OFFSET($H$3,0,0,'Données projet'!$E$13+1,1))</f>
        <v>400.48995908576177</v>
      </c>
      <c r="CZ63" s="59">
        <f t="shared" si="42"/>
        <v>384.86917865380076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17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42.647762160844501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42.647762160844501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343</v>
      </c>
      <c r="DM63" s="12">
        <f>VLOOKUP(A63,'Données projet'!$A$165:$I$185,9,0)</f>
        <v>7.4</v>
      </c>
      <c r="DN63" s="12">
        <f t="array" ref="DN63">INDEX(DM:DM,MIN(IF(ISNUMBER(DM63:DM259),ROW(DM63:DM259),"")))</f>
        <v>7.4</v>
      </c>
      <c r="DO63" s="12">
        <f>IF('Données projet'!$A$166&gt;35,DO62+DN63-DW62,IF(A63&lt;'Données projet'!$A$166,$DL$205^A63,IF(A63='Données projet'!$A$166,'Données projet'!$B$166,DO62+DN63-DW62)))</f>
        <v>342.99999999999972</v>
      </c>
      <c r="DP63" s="17">
        <f>DO63*VLOOKUP('Données projet'!$B$14,Paramètres!$A$1:$I$89,3,0)*VLOOKUP('Données projet'!$B$14,Paramètres!$A$1:$I$89,5,0)</f>
        <v>272.89079999999979</v>
      </c>
      <c r="DQ63" s="13">
        <f t="shared" si="43"/>
        <v>65.462389231846373</v>
      </c>
      <c r="DR63" s="20">
        <f t="shared" si="16"/>
        <v>589.29847124546529</v>
      </c>
      <c r="DS63" s="59">
        <f t="shared" si="17"/>
        <v>850.55417757694272</v>
      </c>
      <c r="DT63" s="59">
        <f ca="1">AVERAGE(OFFSET($DS$3,0,0,'Données projet'!$E$14+1,1))-AVERAGE(OFFSET($H$3,0,0,'Données projet'!$E$14+1,1))</f>
        <v>429.30603040255431</v>
      </c>
      <c r="DU63" s="59">
        <f t="shared" si="44"/>
        <v>412.18613903804726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17</v>
      </c>
      <c r="DX63" s="16">
        <f>IF(ISNA(VLOOKUP(A63,'Données projet'!$A$165:$I$185,5,0)),0%,VLOOKUP(A63,'Données projet'!$A$165:$I$185,5,0)*VLOOKUP('Données projet'!$B$14,Paramètres!$A$1:$I$89,7,0))</f>
        <v>0.53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57.039535438279415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57.039535438279415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190.38461538461539</v>
      </c>
      <c r="EH63" s="12">
        <f>VLOOKUP(A63,'Données projet'!$A$191:$I$211,9,0)</f>
        <v>6.0096153846153868</v>
      </c>
      <c r="EI63" s="12">
        <f t="array" ref="EI63">INDEX(EH:EH,MIN(IF(ISNUMBER(EH63:EH259),ROW(EH63:EH259),"")))</f>
        <v>6.0096153846153868</v>
      </c>
      <c r="EJ63" s="12">
        <f>IF('Données projet'!$A$192&gt;35,EJ62+EI63-ER62,IF(A63&lt;'Données projet'!$A$192,$EG$205^A63,IF(A63='Données projet'!$A$192,'Données projet'!$B$192,EJ62+EI63-ER62)))</f>
        <v>190.38461538461539</v>
      </c>
      <c r="EK63" s="17">
        <f>EJ63*VLOOKUP('Données projet'!$B$15,Paramètres!$A$1:$I$89,3,0)*VLOOKUP('Données projet'!$B$15,Paramètres!$A$1:$I$89,5,0)</f>
        <v>148.5</v>
      </c>
      <c r="EL63" s="13">
        <f t="shared" si="45"/>
        <v>38.237506103710217</v>
      </c>
      <c r="EM63" s="20">
        <f t="shared" si="19"/>
        <v>325.23448979729528</v>
      </c>
      <c r="EN63" s="59">
        <f t="shared" si="20"/>
        <v>586.49019612877282</v>
      </c>
      <c r="EO63" s="59">
        <f ca="1">AVERAGE(OFFSET($EN$3,0,0,'Données projet'!$E$15+1,1))-AVERAGE(OFFSET($H$3,0,0,'Données projet'!$E$15+1,1))</f>
        <v>217.53602321474159</v>
      </c>
      <c r="EP63" s="59">
        <f t="shared" si="46"/>
        <v>215.75909414893025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30.128205128205128</v>
      </c>
      <c r="ES63" s="16">
        <f>IF(ISNA(VLOOKUP(A63,'Données projet'!$A$191:$I$211,5,0)),0%,VLOOKUP(A63,'Données projet'!$A$191:$I$211,5,0)*VLOOKUP('Données projet'!$B$15,Paramètres!$A$1:$I$89,7,0))</f>
        <v>0.43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38.596060616881118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38.596060616881118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11.644999999999996</v>
      </c>
      <c r="FE63" s="12">
        <f>IF('Données projet'!$A$218&gt;35,FE62+FD63-FM62,IF(A63&lt;'Données projet'!$A$218,$FB$205^A63,IF(A63='Données projet'!$A$218,'Données projet'!$B$218,FE62+FD63-FM62)))</f>
        <v>277.65500000000003</v>
      </c>
      <c r="FF63" s="17">
        <f>FE63*VLOOKUP('Données projet'!$B$16,Paramètres!$A$1:$I$89,3,0)*VLOOKUP('Données projet'!$B$16,Paramètres!$A$1:$I$89,5,0)</f>
        <v>186.25097400000001</v>
      </c>
      <c r="FG63" s="13">
        <f t="shared" si="47"/>
        <v>46.710137521982844</v>
      </c>
      <c r="FH63" s="20">
        <f t="shared" si="22"/>
        <v>405.74060256745344</v>
      </c>
      <c r="FI63" s="59">
        <f t="shared" si="23"/>
        <v>666.99630889893092</v>
      </c>
      <c r="FJ63" s="59">
        <f ca="1">AVERAGE(OFFSET($FI$3,0,0,'Données projet'!$E$16+1,1))-AVERAGE(OFFSET($H$3,0,0,'Données projet'!$E$16+1,1))</f>
        <v>441.20130048888439</v>
      </c>
      <c r="FK63" s="59">
        <f t="shared" si="48"/>
        <v>237.47732532183946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69.129815982114408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69.129815982114408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196</v>
      </c>
      <c r="FX63" s="12">
        <f>VLOOKUP(A63,'Données projet'!$A$243:$I$263,9,0)</f>
        <v>5</v>
      </c>
      <c r="FY63" s="12">
        <f t="array" ref="FY63">INDEX(FX:FX,MIN(IF(ISNUMBER(FX63:FX259),ROW(FX63:FX259),"")))</f>
        <v>5</v>
      </c>
      <c r="FZ63" s="12">
        <f>IF('Données projet'!$A$244&gt;35,FZ62+FY63-GH62,IF(A63&lt;'Données projet'!$A$244,$FW$205^A63,IF(A63='Données projet'!$A$244,'Données projet'!$B$244,FZ62+FY63-GH62)))</f>
        <v>196.00000000000003</v>
      </c>
      <c r="GA63" s="17">
        <f>FZ63*VLOOKUP('Données projet'!$B$17,Paramètres!$A$1:$I$89,3,0)*VLOOKUP('Données projet'!$B$17,Paramètres!$A$1:$I$89,5,0)</f>
        <v>128.41920000000002</v>
      </c>
      <c r="GB63" s="13">
        <f t="shared" si="49"/>
        <v>33.630823177860762</v>
      </c>
      <c r="GC63" s="20">
        <f t="shared" si="25"/>
        <v>282.23712370144091</v>
      </c>
      <c r="GD63" s="59">
        <f t="shared" si="26"/>
        <v>543.49283003291839</v>
      </c>
      <c r="GE63" s="59">
        <f ca="1">AVERAGE(OFFSET($GD$3,0,0,'Données projet'!$E$17+1,1))-AVERAGE(OFFSET($H$3,0,0,'Données projet'!$E$17+1,1))</f>
        <v>257.66104339896992</v>
      </c>
      <c r="GF63" s="59">
        <f t="shared" si="50"/>
        <v>254.79488636184996</v>
      </c>
      <c r="GG63" s="15">
        <f>IF(ISNA(VLOOKUP(A63,'Données projet'!$A$243:$I$263,3,0)),0,VLOOKUP(A63,'Données projet'!$A$243:$I$263,3,0))</f>
        <v>11</v>
      </c>
      <c r="GH63" s="15">
        <f>IF(ISNA(VLOOKUP(A63,'Données projet'!$A$243:$I$263,4,0)),0,VLOOKUP(A63,'Données projet'!$A$243:$I$263,4,0))</f>
        <v>19</v>
      </c>
      <c r="GI63" s="16">
        <f>IF(ISNA(VLOOKUP(A63,'Données projet'!$A$243:$I$263,5,0)),0%,VLOOKUP(A63,'Données projet'!$A$243:$I$263,5,0)*VLOOKUP('Données projet'!$B$17,Paramètres!$A$1:$I$89,7,0))</f>
        <v>0.43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30.613121824582112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30.613121824582112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197</v>
      </c>
      <c r="GS63" s="12">
        <f>VLOOKUP(A63,'Données projet'!$A$269:$I$289,9,0)</f>
        <v>5.4</v>
      </c>
      <c r="GT63" s="12">
        <f t="array" ref="GT63">INDEX(GS:GS,MIN(IF(ISNUMBER(GS63:GS259),ROW(GS63:GS259),"")))</f>
        <v>5.4</v>
      </c>
      <c r="GU63" s="12">
        <f>IF('Données projet'!$A$270&gt;35,GU62+GT63-HC62,IF(A63&lt;'Données projet'!$A$270,$GR$205^A63,IF(A63='Données projet'!$A$270,'Données projet'!$B$270,GU62+GT63-HC62)))</f>
        <v>197.00000000000009</v>
      </c>
      <c r="GV63" s="17">
        <f>GU63*VLOOKUP('Données projet'!$B$18,Paramètres!$A$1:$I$89,3,0)*VLOOKUP('Données projet'!$B$18,Paramètres!$A$1:$I$89,5,0)</f>
        <v>159.80640000000008</v>
      </c>
      <c r="GW63" s="13">
        <f t="shared" si="51"/>
        <v>40.798845309789208</v>
      </c>
      <c r="GX63" s="20">
        <f t="shared" si="28"/>
        <v>349.38746891454963</v>
      </c>
      <c r="GY63" s="59">
        <f t="shared" si="29"/>
        <v>610.64317524602711</v>
      </c>
      <c r="GZ63" s="59">
        <f ca="1">AVERAGE(OFFSET($GY$3,0,0,'Données projet'!$E$18+1,1))-AVERAGE(OFFSET($H$3,0,0,'Données projet'!$E$18+1,1))</f>
        <v>299.98377156721153</v>
      </c>
      <c r="HA63" s="59">
        <f t="shared" si="52"/>
        <v>241.36164657721102</v>
      </c>
      <c r="HB63" s="15">
        <f>IF(ISNA(VLOOKUP(A63,'Données projet'!$A$269:$I$289,3,0)),0,VLOOKUP(A63,'Données projet'!$A$269:$I$289,3,0))</f>
        <v>9</v>
      </c>
      <c r="HC63" s="15">
        <f>IF(ISNA(VLOOKUP(A63,'Données projet'!$A$269:$I$289,4,0)),0,VLOOKUP(A63,'Données projet'!$A$269:$I$289,4,0))</f>
        <v>14</v>
      </c>
      <c r="HD63" s="16">
        <f>IF(ISNA(VLOOKUP(A63,'Données projet'!$A$269:$I$289,5,0)),0%,VLOOKUP(A63,'Données projet'!$A$269:$I$289,5,0)*VLOOKUP('Données projet'!$B$18,Paramètres!$A$1:$I$89,7,0))</f>
        <v>0.43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24.921399033241105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24.921399033241105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11.644999999999996</v>
      </c>
      <c r="N64" s="13">
        <f>IF('Données projet'!$A$36&gt;35,N63+M64-V63,IF(A64&lt;'Données projet'!$A$36,$K$205^A64,IF(A64='Données projet'!$A$36,'Données projet'!$B$36,N63+M64-V63)))</f>
        <v>289.3</v>
      </c>
      <c r="O64" s="13">
        <f>N64*VLOOKUP('Données projet'!$B$9,Paramètres!$A$1:$I$89,3,0)*VLOOKUP('Données projet'!$B$9,Paramètres!$A$1:$I$89,5,0)</f>
        <v>261.75863999999996</v>
      </c>
      <c r="P64" s="13">
        <f t="shared" si="33"/>
        <v>63.097101732536537</v>
      </c>
      <c r="Q64" s="20">
        <f t="shared" si="53"/>
        <v>565.79041685083439</v>
      </c>
      <c r="R64" s="59">
        <f t="shared" si="0"/>
        <v>827.60259829596373</v>
      </c>
      <c r="S64" s="59">
        <f ca="1">AVERAGE(OFFSET($R$3,0,0,'Données projet'!$E$9+1,1))-AVERAGE(OFFSET($H$3,0,0,'Données projet'!$E$9+1,1))</f>
        <v>567.42635821507474</v>
      </c>
      <c r="T64" s="59">
        <f t="shared" si="34"/>
        <v>299.04735309930152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74.168017027024689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74.168017027024689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12.4</v>
      </c>
      <c r="AI64" s="13">
        <f>IF('Données projet'!$A$62&gt;35,AI63+AH64-AQ63,IF(A64&lt;'Données projet'!$A$62,$AF$205^A64,IF(A64='Données projet'!$A$62,'Données projet'!$B$62,AI63+AH64-AQ63)))</f>
        <v>313.40000000000003</v>
      </c>
      <c r="AJ64" s="13">
        <f>AI64*VLOOKUP('Données projet'!$B$10,Paramètres!$A$1:$I$89,3,0)*VLOOKUP('Données projet'!$B$10,Paramètres!$A$1:$I$89,5,0)</f>
        <v>268.89720000000005</v>
      </c>
      <c r="AK64" s="13">
        <f t="shared" si="35"/>
        <v>64.615171575073688</v>
      </c>
      <c r="AL64" s="20">
        <f t="shared" si="4"/>
        <v>580.86738049325345</v>
      </c>
      <c r="AM64" s="59">
        <f t="shared" si="5"/>
        <v>842.67956193838279</v>
      </c>
      <c r="AN64" s="59">
        <f ca="1">AVERAGE(OFFSET($AM$3,0,0,'Données projet'!$E$10+1,1))-AVERAGE(OFFSET($H$3,0,0,'Données projet'!$E$10+1,1))</f>
        <v>569.97793593332699</v>
      </c>
      <c r="AO64" s="59">
        <f t="shared" si="36"/>
        <v>331.25104323342907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81.961403206212751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81.961403206212751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277.99999999999994</v>
      </c>
      <c r="BE64" s="13">
        <f>BD64*VLOOKUP('Données projet'!$B$11,Paramètres!$A$1:$I$89,3,0)*VLOOKUP('Données projet'!$B$11,Paramètres!$A$1:$I$89,5,0)</f>
        <v>151.78799999999998</v>
      </c>
      <c r="BF64" s="13">
        <f t="shared" si="37"/>
        <v>38.984634390835623</v>
      </c>
      <c r="BG64" s="20">
        <f t="shared" si="7"/>
        <v>332.26233823070532</v>
      </c>
      <c r="BH64" s="59">
        <f t="shared" si="8"/>
        <v>594.07451967583461</v>
      </c>
      <c r="BI64" s="59">
        <f ca="1">AVERAGE(OFFSET($BH$3,0,0,'Données projet'!$E$11+1,1))-AVERAGE(OFFSET($H$3,0,0,'Données projet'!$E$11+1,1))</f>
        <v>215.37314197175104</v>
      </c>
      <c r="BJ64" s="59">
        <f t="shared" si="38"/>
        <v>361.17630426655978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19.866075764900966</v>
      </c>
      <c r="BQ64" s="21">
        <f>EXP(-LN(2)/25)*BQ63+(1-EXP(-LN(2)/25))/(LN(2)/25)*Calculateur!BL64*Calculateur!BN64*VLOOKUP('Données projet'!$B$11,Paramètres!$A$1:$I$89,3,0)*0.475*44/12</f>
        <v>40.661332410475794</v>
      </c>
      <c r="BR64" s="21">
        <f>EXP(-LN(2)/2)*BR63+(1-EXP(-LN(2)/2))/(LN(2)/2)*BL64*BO64*VLOOKUP('Données projet'!$B$11,Paramètres!$A$1:$I$89,3,0)*0.475*44/12</f>
        <v>5.4715778512819706E-7</v>
      </c>
      <c r="BS64" s="22">
        <f t="shared" si="9"/>
        <v>60.527408722534545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0.8600000000003547</v>
      </c>
      <c r="BZ64" s="13">
        <f>BY64*VLOOKUP('Données projet'!$B$12,Paramètres!$A$1:$I$89,3,0)*VLOOKUP('Données projet'!$B$12,Paramètres!$A$1:$I$89,5,0)</f>
        <v>0.48074000000019829</v>
      </c>
      <c r="CA64" s="13">
        <f t="shared" si="39"/>
        <v>0.24126147010950588</v>
      </c>
      <c r="CB64" s="20">
        <f t="shared" si="10"/>
        <v>1.2574858937744013</v>
      </c>
      <c r="CC64" s="59">
        <f t="shared" si="11"/>
        <v>263.06966733890374</v>
      </c>
      <c r="CD64" s="59">
        <f ca="1">AVERAGE(OFFSET($CC$3,0,0,'Données projet'!$E$12+1,1))-AVERAGE(OFFSET($H$3,0,0,'Données projet'!$E$12+1,1))</f>
        <v>420.4890915162182</v>
      </c>
      <c r="CE64" s="59">
        <f t="shared" si="40"/>
        <v>553.48432338023565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330.13560794299917</v>
      </c>
      <c r="CL64" s="21">
        <f>EXP(-LN(2)/25)*CL63+(1-EXP(-LN(2)/25))/(LN(2)/25)*Calculateur!CG64*Calculateur!CI64*VLOOKUP('Données projet'!$B$12,Paramètres!$A$1:$I$89,3,0)*0.475*44/12</f>
        <v>21.410493558418132</v>
      </c>
      <c r="CM64" s="21">
        <f>EXP(-LN(2)/2)*CM63+(1-EXP(-LN(2)/2))/(LN(2)/2)*CG64*CJ64*VLOOKUP('Données projet'!$B$12,Paramètres!$A$1:$I$89,3,0)*0.475*44/12</f>
        <v>1.5966883045637584E-5</v>
      </c>
      <c r="CN64" s="22">
        <f t="shared" si="12"/>
        <v>351.54611746830034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331.99999999999972</v>
      </c>
      <c r="CU64" s="17">
        <f>CT64*VLOOKUP('Données projet'!$B$13,Paramètres!$A$1:$I$89,3,0)*VLOOKUP('Données projet'!$B$13,Paramètres!$A$1:$I$89,5,0)</f>
        <v>243.42239999999978</v>
      </c>
      <c r="CV64" s="13">
        <f t="shared" si="41"/>
        <v>59.175268615646175</v>
      </c>
      <c r="CW64" s="20">
        <f t="shared" si="13"/>
        <v>527.02427283891677</v>
      </c>
      <c r="CX64" s="59">
        <f t="shared" si="14"/>
        <v>788.83645428404611</v>
      </c>
      <c r="CY64" s="59">
        <f ca="1">AVERAGE(OFFSET($CX$3,0,0,'Données projet'!$E$13+1,1))-AVERAGE(OFFSET($H$3,0,0,'Données projet'!$E$13+1,1))</f>
        <v>400.48995908576177</v>
      </c>
      <c r="CZ64" s="59">
        <f t="shared" si="42"/>
        <v>384.86917865380076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41.811465557436733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41.811465557436733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</v>
      </c>
      <c r="DO64" s="12">
        <f>IF('Données projet'!$A$166&gt;35,DO63+DN64-DW63,IF(A64&lt;'Données projet'!$A$166,$DL$205^A64,IF(A64='Données projet'!$A$166,'Données projet'!$B$166,DO63+DN64-DW63)))</f>
        <v>331.99999999999972</v>
      </c>
      <c r="DP64" s="17">
        <f>DO64*VLOOKUP('Données projet'!$B$14,Paramètres!$A$1:$I$89,3,0)*VLOOKUP('Données projet'!$B$14,Paramètres!$A$1:$I$89,5,0)</f>
        <v>264.13919999999979</v>
      </c>
      <c r="DQ64" s="13">
        <f t="shared" si="43"/>
        <v>63.60387543087441</v>
      </c>
      <c r="DR64" s="20">
        <f t="shared" si="16"/>
        <v>570.81918970877257</v>
      </c>
      <c r="DS64" s="59">
        <f t="shared" si="17"/>
        <v>832.63137115390191</v>
      </c>
      <c r="DT64" s="59">
        <f ca="1">AVERAGE(OFFSET($DS$3,0,0,'Données projet'!$E$14+1,1))-AVERAGE(OFFSET($H$3,0,0,'Données projet'!$E$14+1,1))</f>
        <v>429.30603040255431</v>
      </c>
      <c r="DU64" s="59">
        <f t="shared" si="44"/>
        <v>412.18613903804726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55.921024939016078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55.921024939016078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5.5555555555555554</v>
      </c>
      <c r="EJ64" s="12">
        <f>IF('Données projet'!$A$192&gt;35,EJ63+EI64-ER63,IF(A64&lt;'Données projet'!$A$192,$EG$205^A64,IF(A64='Données projet'!$A$192,'Données projet'!$B$192,EJ63+EI64-ER63)))</f>
        <v>165.81196581196579</v>
      </c>
      <c r="EK64" s="17">
        <f>EJ64*VLOOKUP('Données projet'!$B$15,Paramètres!$A$1:$I$89,3,0)*VLOOKUP('Données projet'!$B$15,Paramètres!$A$1:$I$89,5,0)</f>
        <v>129.33333333333331</v>
      </c>
      <c r="EL64" s="13">
        <f t="shared" si="45"/>
        <v>33.84226617438533</v>
      </c>
      <c r="EM64" s="20">
        <f t="shared" si="19"/>
        <v>284.19750247594328</v>
      </c>
      <c r="EN64" s="59">
        <f t="shared" si="20"/>
        <v>546.00968392107256</v>
      </c>
      <c r="EO64" s="59">
        <f ca="1">AVERAGE(OFFSET($EN$3,0,0,'Données projet'!$E$15+1,1))-AVERAGE(OFFSET($H$3,0,0,'Données projet'!$E$15+1,1))</f>
        <v>217.53602321474159</v>
      </c>
      <c r="EP64" s="59">
        <f t="shared" si="46"/>
        <v>215.75909414893025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37.83921540945655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37.83921540945655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11.644999999999996</v>
      </c>
      <c r="FE64" s="12">
        <f>IF('Données projet'!$A$218&gt;35,FE63+FD64-FM63,IF(A64&lt;'Données projet'!$A$218,$FB$205^A64,IF(A64='Données projet'!$A$218,'Données projet'!$B$218,FE63+FD64-FM63)))</f>
        <v>289.3</v>
      </c>
      <c r="FF64" s="17">
        <f>FE64*VLOOKUP('Données projet'!$B$16,Paramètres!$A$1:$I$89,3,0)*VLOOKUP('Données projet'!$B$16,Paramètres!$A$1:$I$89,5,0)</f>
        <v>194.06244000000001</v>
      </c>
      <c r="FG64" s="13">
        <f t="shared" si="47"/>
        <v>48.436991803593244</v>
      </c>
      <c r="FH64" s="20">
        <f t="shared" si="22"/>
        <v>422.35317705792494</v>
      </c>
      <c r="FI64" s="59">
        <f t="shared" si="23"/>
        <v>684.16535850305422</v>
      </c>
      <c r="FJ64" s="59">
        <f ca="1">AVERAGE(OFFSET($FI$3,0,0,'Données projet'!$E$16+1,1))-AVERAGE(OFFSET($H$3,0,0,'Données projet'!$E$16+1,1))</f>
        <v>441.20130048888439</v>
      </c>
      <c r="FK64" s="59">
        <f t="shared" si="48"/>
        <v>237.47732532183946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67.774222455729443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67.774222455729443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4.8</v>
      </c>
      <c r="FZ64" s="12">
        <f>IF('Données projet'!$A$244&gt;35,FZ63+FY64-GH63,IF(A64&lt;'Données projet'!$A$244,$FW$205^A64,IF(A64='Données projet'!$A$244,'Données projet'!$B$244,FZ63+FY64-GH63)))</f>
        <v>181.80000000000004</v>
      </c>
      <c r="GA64" s="17">
        <f>FZ64*VLOOKUP('Données projet'!$B$17,Paramètres!$A$1:$I$89,3,0)*VLOOKUP('Données projet'!$B$17,Paramètres!$A$1:$I$89,5,0)</f>
        <v>119.11536000000002</v>
      </c>
      <c r="GB64" s="13">
        <f t="shared" si="49"/>
        <v>31.468582772748093</v>
      </c>
      <c r="GC64" s="20">
        <f t="shared" si="25"/>
        <v>262.26703366253628</v>
      </c>
      <c r="GD64" s="59">
        <f t="shared" si="26"/>
        <v>524.07921510766562</v>
      </c>
      <c r="GE64" s="59">
        <f ca="1">AVERAGE(OFFSET($GD$3,0,0,'Données projet'!$E$17+1,1))-AVERAGE(OFFSET($H$3,0,0,'Données projet'!$E$17+1,1))</f>
        <v>257.66104339896992</v>
      </c>
      <c r="GF64" s="59">
        <f t="shared" si="50"/>
        <v>254.79488636184996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30.012817177762649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30.012817177762649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5</v>
      </c>
      <c r="GU64" s="12">
        <f>IF('Données projet'!$A$270&gt;35,GU63+GT64-HC63,IF(A64&lt;'Données projet'!$A$270,$GR$205^A64,IF(A64='Données projet'!$A$270,'Données projet'!$B$270,GU63+GT64-HC63)))</f>
        <v>188.00000000000009</v>
      </c>
      <c r="GV64" s="17">
        <f>GU64*VLOOKUP('Données projet'!$B$18,Paramètres!$A$1:$I$89,3,0)*VLOOKUP('Données projet'!$B$18,Paramètres!$A$1:$I$89,5,0)</f>
        <v>152.50560000000007</v>
      </c>
      <c r="GW64" s="13">
        <f t="shared" si="51"/>
        <v>39.147442061162252</v>
      </c>
      <c r="GX64" s="20">
        <f t="shared" si="28"/>
        <v>333.79571492319104</v>
      </c>
      <c r="GY64" s="59">
        <f t="shared" si="29"/>
        <v>595.60789636832033</v>
      </c>
      <c r="GZ64" s="59">
        <f ca="1">AVERAGE(OFFSET($GY$3,0,0,'Données projet'!$E$18+1,1))-AVERAGE(OFFSET($H$3,0,0,'Données projet'!$E$18+1,1))</f>
        <v>299.98377156721153</v>
      </c>
      <c r="HA64" s="59">
        <f t="shared" si="52"/>
        <v>241.36164657721102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24.432705598751728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24.432705598751728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11.644999999999996</v>
      </c>
      <c r="N65" s="13">
        <f>IF('Données projet'!$A$36&gt;35,N64+M65-V64,IF(A65&lt;'Données projet'!$A$36,$K$205^A65,IF(A65='Données projet'!$A$36,'Données projet'!$B$36,N64+M65-V64)))</f>
        <v>300.94499999999999</v>
      </c>
      <c r="O65" s="13">
        <f>N65*VLOOKUP('Données projet'!$B$9,Paramètres!$A$1:$I$89,3,0)*VLOOKUP('Données projet'!$B$9,Paramètres!$A$1:$I$89,5,0)</f>
        <v>272.29503599999998</v>
      </c>
      <c r="P65" s="13">
        <f t="shared" si="33"/>
        <v>65.336093654015798</v>
      </c>
      <c r="Q65" s="20">
        <f t="shared" si="53"/>
        <v>588.04088414741079</v>
      </c>
      <c r="R65" s="59">
        <f t="shared" si="0"/>
        <v>850.39988710706211</v>
      </c>
      <c r="S65" s="59">
        <f ca="1">AVERAGE(OFFSET($R$3,0,0,'Données projet'!$E$9+1,1))-AVERAGE(OFFSET($H$3,0,0,'Données projet'!$E$9+1,1))</f>
        <v>567.42635821507474</v>
      </c>
      <c r="T65" s="59">
        <f t="shared" si="34"/>
        <v>299.04735309930152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72.713627451148241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72.713627451148241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12.4</v>
      </c>
      <c r="AI65" s="13">
        <f>IF('Données projet'!$A$62&gt;35,AI64+AH65-AQ64,IF(A65&lt;'Données projet'!$A$62,$AF$205^A65,IF(A65='Données projet'!$A$62,'Données projet'!$B$62,AI64+AH65-AQ64)))</f>
        <v>325.8</v>
      </c>
      <c r="AJ65" s="13">
        <f>AI65*VLOOKUP('Données projet'!$B$10,Paramètres!$A$1:$I$89,3,0)*VLOOKUP('Données projet'!$B$10,Paramètres!$A$1:$I$89,5,0)</f>
        <v>279.53640000000007</v>
      </c>
      <c r="AK65" s="13">
        <f t="shared" si="35"/>
        <v>66.869027427528763</v>
      </c>
      <c r="AL65" s="20">
        <f t="shared" si="4"/>
        <v>603.322786102946</v>
      </c>
      <c r="AM65" s="59">
        <f t="shared" si="5"/>
        <v>865.68178906259732</v>
      </c>
      <c r="AN65" s="59">
        <f ca="1">AVERAGE(OFFSET($AM$3,0,0,'Données projet'!$E$10+1,1))-AVERAGE(OFFSET($H$3,0,0,'Données projet'!$E$10+1,1))</f>
        <v>569.97793593332699</v>
      </c>
      <c r="AO65" s="59">
        <f t="shared" si="36"/>
        <v>331.25104323342907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80.354190080858615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80.354190080858615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277.99999999999994</v>
      </c>
      <c r="BE65" s="13">
        <f>BD65*VLOOKUP('Données projet'!$B$11,Paramètres!$A$1:$I$89,3,0)*VLOOKUP('Données projet'!$B$11,Paramètres!$A$1:$I$89,5,0)</f>
        <v>151.78799999999998</v>
      </c>
      <c r="BF65" s="13">
        <f t="shared" si="37"/>
        <v>38.984634390835623</v>
      </c>
      <c r="BG65" s="20">
        <f t="shared" si="7"/>
        <v>332.26233823070532</v>
      </c>
      <c r="BH65" s="59">
        <f t="shared" si="8"/>
        <v>594.62134119035659</v>
      </c>
      <c r="BI65" s="59">
        <f ca="1">AVERAGE(OFFSET($BH$3,0,0,'Données projet'!$E$11+1,1))-AVERAGE(OFFSET($H$3,0,0,'Données projet'!$E$11+1,1))</f>
        <v>215.37314197175104</v>
      </c>
      <c r="BJ65" s="59">
        <f t="shared" si="38"/>
        <v>361.17630426655978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19.476514136261009</v>
      </c>
      <c r="BQ65" s="21">
        <f>EXP(-LN(2)/25)*BQ64+(1-EXP(-LN(2)/25))/(LN(2)/25)*Calculateur!BL65*Calculateur!BN65*VLOOKUP('Données projet'!$B$11,Paramètres!$A$1:$I$89,3,0)*0.475*44/12</f>
        <v>39.549446137424795</v>
      </c>
      <c r="BR65" s="21">
        <f>EXP(-LN(2)/2)*BR64+(1-EXP(-LN(2)/2))/(LN(2)/2)*BL65*BO65*VLOOKUP('Données projet'!$B$11,Paramètres!$A$1:$I$89,3,0)*0.475*44/12</f>
        <v>3.8689898024316003E-7</v>
      </c>
      <c r="BS65" s="22">
        <f t="shared" si="9"/>
        <v>59.025960660584786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0.8600000000003547</v>
      </c>
      <c r="BZ65" s="13">
        <f>BY65*VLOOKUP('Données projet'!$B$12,Paramètres!$A$1:$I$89,3,0)*VLOOKUP('Données projet'!$B$12,Paramètres!$A$1:$I$89,5,0)</f>
        <v>0.48074000000019829</v>
      </c>
      <c r="CA65" s="13">
        <f t="shared" si="39"/>
        <v>0.24126147010950588</v>
      </c>
      <c r="CB65" s="20">
        <f t="shared" si="10"/>
        <v>1.2574858937744013</v>
      </c>
      <c r="CC65" s="59">
        <f t="shared" si="11"/>
        <v>263.61648885342572</v>
      </c>
      <c r="CD65" s="59">
        <f ca="1">AVERAGE(OFFSET($CC$3,0,0,'Données projet'!$E$12+1,1))-AVERAGE(OFFSET($H$3,0,0,'Données projet'!$E$12+1,1))</f>
        <v>420.4890915162182</v>
      </c>
      <c r="CE65" s="59">
        <f t="shared" si="40"/>
        <v>553.48432338023565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323.66185003407486</v>
      </c>
      <c r="CL65" s="21">
        <f>EXP(-LN(2)/25)*CL64+(1-EXP(-LN(2)/25))/(LN(2)/25)*Calculateur!CG65*Calculateur!CI65*VLOOKUP('Données projet'!$B$12,Paramètres!$A$1:$I$89,3,0)*0.475*44/12</f>
        <v>20.825022486134266</v>
      </c>
      <c r="CM65" s="21">
        <f>EXP(-LN(2)/2)*CM64+(1-EXP(-LN(2)/2))/(LN(2)/2)*CG65*CJ65*VLOOKUP('Données projet'!$B$12,Paramètres!$A$1:$I$89,3,0)*0.475*44/12</f>
        <v>1.1290291275982851E-5</v>
      </c>
      <c r="CN65" s="22">
        <f t="shared" si="12"/>
        <v>344.48688381050044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337.99999999999972</v>
      </c>
      <c r="CU65" s="17">
        <f>CT65*VLOOKUP('Données projet'!$B$13,Paramètres!$A$1:$I$89,3,0)*VLOOKUP('Données projet'!$B$13,Paramètres!$A$1:$I$89,5,0)</f>
        <v>247.82159999999982</v>
      </c>
      <c r="CV65" s="13">
        <f t="shared" si="41"/>
        <v>60.119231945607517</v>
      </c>
      <c r="CW65" s="20">
        <f t="shared" si="13"/>
        <v>536.330282305266</v>
      </c>
      <c r="CX65" s="59">
        <f t="shared" si="14"/>
        <v>798.68928526491732</v>
      </c>
      <c r="CY65" s="59">
        <f ca="1">AVERAGE(OFFSET($CX$3,0,0,'Données projet'!$E$13+1,1))-AVERAGE(OFFSET($H$3,0,0,'Données projet'!$E$13+1,1))</f>
        <v>400.48995908576177</v>
      </c>
      <c r="CZ65" s="59">
        <f t="shared" si="42"/>
        <v>384.86917865380076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40.991568220331231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40.991568220331231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</v>
      </c>
      <c r="DO65" s="12">
        <f>IF('Données projet'!$A$166&gt;35,DO64+DN65-DW64,IF(A65&lt;'Données projet'!$A$166,$DL$205^A65,IF(A65='Données projet'!$A$166,'Données projet'!$B$166,DO64+DN65-DW64)))</f>
        <v>337.99999999999972</v>
      </c>
      <c r="DP65" s="17">
        <f>DO65*VLOOKUP('Données projet'!$B$14,Paramètres!$A$1:$I$89,3,0)*VLOOKUP('Données projet'!$B$14,Paramètres!$A$1:$I$89,5,0)</f>
        <v>268.91279999999978</v>
      </c>
      <c r="DQ65" s="13">
        <f t="shared" si="43"/>
        <v>64.618483855217065</v>
      </c>
      <c r="DR65" s="20">
        <f t="shared" si="16"/>
        <v>580.90031938116931</v>
      </c>
      <c r="DS65" s="59">
        <f t="shared" si="17"/>
        <v>843.25932234082063</v>
      </c>
      <c r="DT65" s="59">
        <f ca="1">AVERAGE(OFFSET($DS$3,0,0,'Données projet'!$E$14+1,1))-AVERAGE(OFFSET($H$3,0,0,'Données projet'!$E$14+1,1))</f>
        <v>429.30603040255431</v>
      </c>
      <c r="DU65" s="59">
        <f t="shared" si="44"/>
        <v>412.18613903804726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54.824447748419253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54.824447748419253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5.5555555555555554</v>
      </c>
      <c r="EJ65" s="12">
        <f>IF('Données projet'!$A$192&gt;35,EJ64+EI65-ER64,IF(A65&lt;'Données projet'!$A$192,$EG$205^A65,IF(A65='Données projet'!$A$192,'Données projet'!$B$192,EJ64+EI65-ER64)))</f>
        <v>171.36752136752133</v>
      </c>
      <c r="EK65" s="17">
        <f>EJ65*VLOOKUP('Données projet'!$B$15,Paramètres!$A$1:$I$89,3,0)*VLOOKUP('Données projet'!$B$15,Paramètres!$A$1:$I$89,5,0)</f>
        <v>133.66666666666666</v>
      </c>
      <c r="EL65" s="13">
        <f t="shared" si="45"/>
        <v>34.842241918705284</v>
      </c>
      <c r="EM65" s="20">
        <f t="shared" si="19"/>
        <v>293.4863491195228</v>
      </c>
      <c r="EN65" s="59">
        <f t="shared" si="20"/>
        <v>555.84535207917406</v>
      </c>
      <c r="EO65" s="59">
        <f ca="1">AVERAGE(OFFSET($EN$3,0,0,'Données projet'!$E$15+1,1))-AVERAGE(OFFSET($H$3,0,0,'Données projet'!$E$15+1,1))</f>
        <v>217.53602321474159</v>
      </c>
      <c r="EP65" s="59">
        <f t="shared" si="46"/>
        <v>215.75909414893025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37.097211474919582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37.097211474919582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11.644999999999996</v>
      </c>
      <c r="FE65" s="12">
        <f>IF('Données projet'!$A$218&gt;35,FE64+FD65-FM64,IF(A65&lt;'Données projet'!$A$218,$FB$205^A65,IF(A65='Données projet'!$A$218,'Données projet'!$B$218,FE64+FD65-FM64)))</f>
        <v>300.94499999999999</v>
      </c>
      <c r="FF65" s="17">
        <f>FE65*VLOOKUP('Données projet'!$B$16,Paramètres!$A$1:$I$89,3,0)*VLOOKUP('Données projet'!$B$16,Paramètres!$A$1:$I$89,5,0)</f>
        <v>201.87390600000001</v>
      </c>
      <c r="FG65" s="13">
        <f t="shared" si="47"/>
        <v>50.155771753403194</v>
      </c>
      <c r="FH65" s="20">
        <f t="shared" si="22"/>
        <v>438.95168875384388</v>
      </c>
      <c r="FI65" s="59">
        <f t="shared" si="23"/>
        <v>701.3106917134952</v>
      </c>
      <c r="FJ65" s="59">
        <f ca="1">AVERAGE(OFFSET($FI$3,0,0,'Données projet'!$E$16+1,1))-AVERAGE(OFFSET($H$3,0,0,'Données projet'!$E$16+1,1))</f>
        <v>441.20130048888439</v>
      </c>
      <c r="FK65" s="59">
        <f t="shared" si="48"/>
        <v>237.47732532183946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66.44521129156648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66.44521129156648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4.8</v>
      </c>
      <c r="FZ65" s="12">
        <f>IF('Données projet'!$A$244&gt;35,FZ64+FY65-GH64,IF(A65&lt;'Données projet'!$A$244,$FW$205^A65,IF(A65='Données projet'!$A$244,'Données projet'!$B$244,FZ64+FY65-GH64)))</f>
        <v>186.60000000000005</v>
      </c>
      <c r="GA65" s="17">
        <f>FZ65*VLOOKUP('Données projet'!$B$17,Paramètres!$A$1:$I$89,3,0)*VLOOKUP('Données projet'!$B$17,Paramètres!$A$1:$I$89,5,0)</f>
        <v>122.26032000000002</v>
      </c>
      <c r="GB65" s="13">
        <f t="shared" si="49"/>
        <v>32.2016078999482</v>
      </c>
      <c r="GC65" s="20">
        <f t="shared" si="25"/>
        <v>269.02119109240982</v>
      </c>
      <c r="GD65" s="59">
        <f t="shared" si="26"/>
        <v>531.38019405206114</v>
      </c>
      <c r="GE65" s="59">
        <f ca="1">AVERAGE(OFFSET($GD$3,0,0,'Données projet'!$E$17+1,1))-AVERAGE(OFFSET($H$3,0,0,'Données projet'!$E$17+1,1))</f>
        <v>257.66104339896992</v>
      </c>
      <c r="GF65" s="59">
        <f t="shared" si="50"/>
        <v>254.79488636184996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29.424284138917635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29.424284138917635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5</v>
      </c>
      <c r="GU65" s="12">
        <f>IF('Données projet'!$A$270&gt;35,GU64+GT65-HC64,IF(A65&lt;'Données projet'!$A$270,$GR$205^A65,IF(A65='Données projet'!$A$270,'Données projet'!$B$270,GU64+GT65-HC64)))</f>
        <v>193.00000000000009</v>
      </c>
      <c r="GV65" s="17">
        <f>GU65*VLOOKUP('Données projet'!$B$18,Paramètres!$A$1:$I$89,3,0)*VLOOKUP('Données projet'!$B$18,Paramètres!$A$1:$I$89,5,0)</f>
        <v>156.56160000000008</v>
      </c>
      <c r="GW65" s="13">
        <f t="shared" si="51"/>
        <v>40.065996859746512</v>
      </c>
      <c r="GX65" s="20">
        <f t="shared" si="28"/>
        <v>342.45973119739205</v>
      </c>
      <c r="GY65" s="59">
        <f t="shared" si="29"/>
        <v>604.81873415704331</v>
      </c>
      <c r="GZ65" s="59">
        <f ca="1">AVERAGE(OFFSET($GY$3,0,0,'Données projet'!$E$18+1,1))-AVERAGE(OFFSET($H$3,0,0,'Données projet'!$E$18+1,1))</f>
        <v>299.98377156721153</v>
      </c>
      <c r="HA65" s="59">
        <f t="shared" si="52"/>
        <v>241.36164657721102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23.953595144439124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23.953595144439124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312.58999999999997</v>
      </c>
      <c r="L66" s="12">
        <f>VLOOKUP(A66,'Données projet'!$A$35:$I$55,9,0)</f>
        <v>11.644999999999996</v>
      </c>
      <c r="M66" s="12">
        <f t="array" ref="M66">INDEX(L:L,MIN(IF(ISNUMBER(L66:L262),ROW(L66:L262),"")))</f>
        <v>11.644999999999996</v>
      </c>
      <c r="N66" s="13">
        <f>IF('Données projet'!$A$36&gt;35,N65+M66-V65,IF(A66&lt;'Données projet'!$A$36,$K$205^A66,IF(A66='Données projet'!$A$36,'Données projet'!$B$36,N65+M66-V65)))</f>
        <v>312.58999999999997</v>
      </c>
      <c r="O66" s="13">
        <f>N66*VLOOKUP('Données projet'!$B$9,Paramètres!$A$1:$I$89,3,0)*VLOOKUP('Données projet'!$B$9,Paramètres!$A$1:$I$89,5,0)</f>
        <v>282.83143199999995</v>
      </c>
      <c r="P66" s="13">
        <f t="shared" si="33"/>
        <v>67.565021018325751</v>
      </c>
      <c r="Q66" s="20">
        <f t="shared" si="53"/>
        <v>610.2738223402506</v>
      </c>
      <c r="R66" s="59">
        <f t="shared" si="0"/>
        <v>873.17016068365672</v>
      </c>
      <c r="S66" s="59">
        <f ca="1">AVERAGE(OFFSET($R$3,0,0,'Données projet'!$E$9+1,1))-AVERAGE(OFFSET($H$3,0,0,'Données projet'!$E$9+1,1))</f>
        <v>567.42635821507474</v>
      </c>
      <c r="T66" s="59">
        <f t="shared" si="34"/>
        <v>299.04735309930152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54.21</v>
      </c>
      <c r="W66" s="16">
        <f>IF(ISNA(VLOOKUP(A66,'Données projet'!$A$35:$I$55,5,0)),0%,VLOOKUP(A66,'Données projet'!$A$35:$I$55,5,0)*VLOOKUP('Données projet'!$B$9,Paramètres!$A$1:$I$89,7,0))</f>
        <v>0.43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94.603409598691442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94.603409598691442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12.4</v>
      </c>
      <c r="AI66" s="13">
        <f>IF('Données projet'!$A$62&gt;35,AI65+AH66-AQ65,IF(A66&lt;'Données projet'!$A$62,$AF$205^A66,IF(A66='Données projet'!$A$62,'Données projet'!$B$62,AI65+AH66-AQ65)))</f>
        <v>338.2</v>
      </c>
      <c r="AJ66" s="13">
        <f>AI66*VLOOKUP('Données projet'!$B$10,Paramètres!$A$1:$I$89,3,0)*VLOOKUP('Données projet'!$B$10,Paramètres!$A$1:$I$89,5,0)</f>
        <v>290.17560000000003</v>
      </c>
      <c r="AK66" s="13">
        <f t="shared" si="35"/>
        <v>69.112917785973508</v>
      </c>
      <c r="AL66" s="20">
        <f t="shared" si="4"/>
        <v>625.76083514390393</v>
      </c>
      <c r="AM66" s="59">
        <f t="shared" si="5"/>
        <v>888.65717348731005</v>
      </c>
      <c r="AN66" s="59">
        <f ca="1">AVERAGE(OFFSET($AM$3,0,0,'Données projet'!$E$10+1,1))-AVERAGE(OFFSET($H$3,0,0,'Données projet'!$E$10+1,1))</f>
        <v>569.97793593332699</v>
      </c>
      <c r="AO66" s="59">
        <f t="shared" si="36"/>
        <v>331.25104323342907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78.77849342458947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78.77849342458947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277.99999999999994</v>
      </c>
      <c r="BE66" s="13">
        <f>BD66*VLOOKUP('Données projet'!$B$11,Paramètres!$A$1:$I$89,3,0)*VLOOKUP('Données projet'!$B$11,Paramètres!$A$1:$I$89,5,0)</f>
        <v>151.78799999999998</v>
      </c>
      <c r="BF66" s="13">
        <f t="shared" si="37"/>
        <v>38.984634390835623</v>
      </c>
      <c r="BG66" s="20">
        <f t="shared" si="7"/>
        <v>332.26233823070532</v>
      </c>
      <c r="BH66" s="59">
        <f t="shared" si="8"/>
        <v>595.1586765741115</v>
      </c>
      <c r="BI66" s="59">
        <f ca="1">AVERAGE(OFFSET($BH$3,0,0,'Données projet'!$E$11+1,1))-AVERAGE(OFFSET($H$3,0,0,'Données projet'!$E$11+1,1))</f>
        <v>215.37314197175104</v>
      </c>
      <c r="BJ66" s="59">
        <f t="shared" si="38"/>
        <v>361.17630426655978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19.09459157354955</v>
      </c>
      <c r="BQ66" s="21">
        <f>EXP(-LN(2)/25)*BQ65+(1-EXP(-LN(2)/25))/(LN(2)/25)*Calculateur!BL66*Calculateur!BN66*VLOOKUP('Données projet'!$B$11,Paramètres!$A$1:$I$89,3,0)*0.475*44/12</f>
        <v>38.467964452981931</v>
      </c>
      <c r="BR66" s="21">
        <f>EXP(-LN(2)/2)*BR65+(1-EXP(-LN(2)/2))/(LN(2)/2)*BL66*BO66*VLOOKUP('Données projet'!$B$11,Paramètres!$A$1:$I$89,3,0)*0.475*44/12</f>
        <v>2.7357889256409853E-7</v>
      </c>
      <c r="BS66" s="22">
        <f t="shared" si="9"/>
        <v>57.562556300110373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0.8600000000003547</v>
      </c>
      <c r="BZ66" s="13">
        <f>BY66*VLOOKUP('Données projet'!$B$12,Paramètres!$A$1:$I$89,3,0)*VLOOKUP('Données projet'!$B$12,Paramètres!$A$1:$I$89,5,0)</f>
        <v>0.48074000000019829</v>
      </c>
      <c r="CA66" s="13">
        <f t="shared" si="39"/>
        <v>0.24126147010950588</v>
      </c>
      <c r="CB66" s="20">
        <f t="shared" si="10"/>
        <v>1.2574858937744013</v>
      </c>
      <c r="CC66" s="59">
        <f t="shared" si="11"/>
        <v>264.15382423718052</v>
      </c>
      <c r="CD66" s="59">
        <f ca="1">AVERAGE(OFFSET($CC$3,0,0,'Données projet'!$E$12+1,1))-AVERAGE(OFFSET($H$3,0,0,'Données projet'!$E$12+1,1))</f>
        <v>420.4890915162182</v>
      </c>
      <c r="CE66" s="59">
        <f t="shared" si="40"/>
        <v>553.48432338023565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317.31503856914213</v>
      </c>
      <c r="CL66" s="21">
        <f>EXP(-LN(2)/25)*CL65+(1-EXP(-LN(2)/25))/(LN(2)/25)*Calculateur!CG66*Calculateur!CI66*VLOOKUP('Données projet'!$B$12,Paramètres!$A$1:$I$89,3,0)*0.475*44/12</f>
        <v>20.255561151110587</v>
      </c>
      <c r="CM66" s="21">
        <f>EXP(-LN(2)/2)*CM65+(1-EXP(-LN(2)/2))/(LN(2)/2)*CG66*CJ66*VLOOKUP('Données projet'!$B$12,Paramètres!$A$1:$I$89,3,0)*0.475*44/12</f>
        <v>7.9834415228187922E-6</v>
      </c>
      <c r="CN66" s="22">
        <f t="shared" si="12"/>
        <v>337.57060770369429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343.99999999999972</v>
      </c>
      <c r="CU66" s="17">
        <f>CT66*VLOOKUP('Données projet'!$B$13,Paramètres!$A$1:$I$89,3,0)*VLOOKUP('Données projet'!$B$13,Paramètres!$A$1:$I$89,5,0)</f>
        <v>252.2207999999998</v>
      </c>
      <c r="CV66" s="13">
        <f t="shared" si="41"/>
        <v>61.061246695931573</v>
      </c>
      <c r="CW66" s="20">
        <f t="shared" si="13"/>
        <v>545.63289799541383</v>
      </c>
      <c r="CX66" s="59">
        <f t="shared" si="14"/>
        <v>808.52923633881994</v>
      </c>
      <c r="CY66" s="59">
        <f ca="1">AVERAGE(OFFSET($CX$3,0,0,'Données projet'!$E$13+1,1))-AVERAGE(OFFSET($H$3,0,0,'Données projet'!$E$13+1,1))</f>
        <v>400.48995908576177</v>
      </c>
      <c r="CZ66" s="59">
        <f t="shared" si="42"/>
        <v>384.86917865380076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40.187748569918369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40.187748569918369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</v>
      </c>
      <c r="DO66" s="12">
        <f>IF('Données projet'!$A$166&gt;35,DO65+DN66-DW65,IF(A66&lt;'Données projet'!$A$166,$DL$205^A66,IF(A66='Données projet'!$A$166,'Données projet'!$B$166,DO65+DN66-DW65)))</f>
        <v>343.99999999999972</v>
      </c>
      <c r="DP66" s="17">
        <f>DO66*VLOOKUP('Données projet'!$B$14,Paramètres!$A$1:$I$89,3,0)*VLOOKUP('Données projet'!$B$14,Paramètres!$A$1:$I$89,5,0)</f>
        <v>273.68639999999976</v>
      </c>
      <c r="DQ66" s="13">
        <f t="shared" si="43"/>
        <v>65.630997870536959</v>
      </c>
      <c r="DR66" s="20">
        <f t="shared" si="16"/>
        <v>590.97780129118485</v>
      </c>
      <c r="DS66" s="59">
        <f t="shared" si="17"/>
        <v>853.87413963459096</v>
      </c>
      <c r="DT66" s="59">
        <f ca="1">AVERAGE(OFFSET($DS$3,0,0,'Données projet'!$E$14+1,1))-AVERAGE(OFFSET($H$3,0,0,'Données projet'!$E$14+1,1))</f>
        <v>429.30603040255431</v>
      </c>
      <c r="DU66" s="59">
        <f t="shared" si="44"/>
        <v>412.18613903804726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53.749373767683991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53.749373767683991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5.5555555555555554</v>
      </c>
      <c r="EJ66" s="12">
        <f>IF('Données projet'!$A$192&gt;35,EJ65+EI66-ER65,IF(A66&lt;'Données projet'!$A$192,$EG$205^A66,IF(A66='Données projet'!$A$192,'Données projet'!$B$192,EJ65+EI66-ER65)))</f>
        <v>176.92307692307688</v>
      </c>
      <c r="EK66" s="17">
        <f>EJ66*VLOOKUP('Données projet'!$B$15,Paramètres!$A$1:$I$89,3,0)*VLOOKUP('Données projet'!$B$15,Paramètres!$A$1:$I$89,5,0)</f>
        <v>137.99999999999997</v>
      </c>
      <c r="EL66" s="13">
        <f t="shared" si="45"/>
        <v>35.838450602130571</v>
      </c>
      <c r="EM66" s="20">
        <f t="shared" si="19"/>
        <v>302.76863479871071</v>
      </c>
      <c r="EN66" s="59">
        <f t="shared" si="20"/>
        <v>565.66497314211688</v>
      </c>
      <c r="EO66" s="59">
        <f ca="1">AVERAGE(OFFSET($EN$3,0,0,'Données projet'!$E$15+1,1))-AVERAGE(OFFSET($H$3,0,0,'Données projet'!$E$15+1,1))</f>
        <v>217.53602321474159</v>
      </c>
      <c r="EP66" s="59">
        <f t="shared" si="46"/>
        <v>215.75909414893025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36.369757784961173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36.369757784961173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>
        <f>VLOOKUP(A66,'Données projet'!$A$217:$I$237,2,0)</f>
        <v>312.58999999999997</v>
      </c>
      <c r="FC66" s="12">
        <f>VLOOKUP(A66,'Données projet'!$A$217:$I$237,9,0)</f>
        <v>11.644999999999996</v>
      </c>
      <c r="FD66" s="12">
        <f t="array" ref="FD66">INDEX(FC:FC,MIN(IF(ISNUMBER(FC66:FC262),ROW(FC66:FC262),"")))</f>
        <v>11.644999999999996</v>
      </c>
      <c r="FE66" s="12">
        <f>IF('Données projet'!$A$218&gt;35,FE65+FD66-FM65,IF(A66&lt;'Données projet'!$A$218,$FB$205^A66,IF(A66='Données projet'!$A$218,'Données projet'!$B$218,FE65+FD66-FM65)))</f>
        <v>312.58999999999997</v>
      </c>
      <c r="FF66" s="17">
        <f>FE66*VLOOKUP('Données projet'!$B$16,Paramètres!$A$1:$I$89,3,0)*VLOOKUP('Données projet'!$B$16,Paramètres!$A$1:$I$89,5,0)</f>
        <v>209.68537199999997</v>
      </c>
      <c r="FG66" s="13">
        <f t="shared" si="47"/>
        <v>51.86682556588309</v>
      </c>
      <c r="FH66" s="20">
        <f t="shared" si="22"/>
        <v>455.53674409391289</v>
      </c>
      <c r="FI66" s="59">
        <f t="shared" si="23"/>
        <v>718.43308243731894</v>
      </c>
      <c r="FJ66" s="59">
        <f ca="1">AVERAGE(OFFSET($FI$3,0,0,'Données projet'!$E$16+1,1))-AVERAGE(OFFSET($H$3,0,0,'Données projet'!$E$16+1,1))</f>
        <v>441.20130048888439</v>
      </c>
      <c r="FK66" s="59">
        <f t="shared" si="48"/>
        <v>237.47732532183946</v>
      </c>
      <c r="FL66" s="15">
        <f>IF(ISNA(VLOOKUP(A66,'Données projet'!$A$217:$I$237,3,0)),0,VLOOKUP(A66,'Données projet'!$A$217:$I$237,3,0))</f>
        <v>5</v>
      </c>
      <c r="FM66" s="15">
        <f>IF(ISNA(VLOOKUP(A66,'Données projet'!$A$217:$I$237,4,0)),0,VLOOKUP(A66,'Données projet'!$A$217:$I$237,4,0))</f>
        <v>54.21</v>
      </c>
      <c r="FN66" s="16">
        <f>IF(ISNA(VLOOKUP(A66,'Données projet'!$A$217:$I$237,5,0)),0%,VLOOKUP(A66,'Données projet'!$A$217:$I$237,5,0)*VLOOKUP('Données projet'!$B$16,Paramètres!$A$1:$I$89,7,0))</f>
        <v>0.53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86.447943253976646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86.447943253976646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4.8</v>
      </c>
      <c r="FZ66" s="12">
        <f>IF('Données projet'!$A$244&gt;35,FZ65+FY66-GH65,IF(A66&lt;'Données projet'!$A$244,$FW$205^A66,IF(A66='Données projet'!$A$244,'Données projet'!$B$244,FZ65+FY66-GH65)))</f>
        <v>191.40000000000006</v>
      </c>
      <c r="GA66" s="17">
        <f>FZ66*VLOOKUP('Données projet'!$B$17,Paramètres!$A$1:$I$89,3,0)*VLOOKUP('Données projet'!$B$17,Paramètres!$A$1:$I$89,5,0)</f>
        <v>125.40528000000003</v>
      </c>
      <c r="GB66" s="13">
        <f t="shared" si="49"/>
        <v>32.932441221531526</v>
      </c>
      <c r="GC66" s="20">
        <f t="shared" si="25"/>
        <v>275.77153112750079</v>
      </c>
      <c r="GD66" s="59">
        <f t="shared" si="26"/>
        <v>538.66786947090691</v>
      </c>
      <c r="GE66" s="59">
        <f ca="1">AVERAGE(OFFSET($GD$3,0,0,'Données projet'!$E$17+1,1))-AVERAGE(OFFSET($H$3,0,0,'Données projet'!$E$17+1,1))</f>
        <v>257.66104339896992</v>
      </c>
      <c r="GF66" s="59">
        <f t="shared" si="50"/>
        <v>254.79488636184996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28.84729187399466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28.84729187399466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5</v>
      </c>
      <c r="GU66" s="12">
        <f>IF('Données projet'!$A$270&gt;35,GU65+GT66-HC65,IF(A66&lt;'Données projet'!$A$270,$GR$205^A66,IF(A66='Données projet'!$A$270,'Données projet'!$B$270,GU65+GT66-HC65)))</f>
        <v>198.00000000000009</v>
      </c>
      <c r="GV66" s="17">
        <f>GU66*VLOOKUP('Données projet'!$B$18,Paramètres!$A$1:$I$89,3,0)*VLOOKUP('Données projet'!$B$18,Paramètres!$A$1:$I$89,5,0)</f>
        <v>160.6176000000001</v>
      </c>
      <c r="GW66" s="13">
        <f t="shared" si="51"/>
        <v>40.981785561145109</v>
      </c>
      <c r="GX66" s="20">
        <f t="shared" si="28"/>
        <v>351.11892985232788</v>
      </c>
      <c r="GY66" s="59">
        <f t="shared" si="29"/>
        <v>614.01526819573405</v>
      </c>
      <c r="GZ66" s="59">
        <f ca="1">AVERAGE(OFFSET($GY$3,0,0,'Données projet'!$E$18+1,1))-AVERAGE(OFFSET($H$3,0,0,'Données projet'!$E$18+1,1))</f>
        <v>299.98377156721153</v>
      </c>
      <c r="HA66" s="59">
        <f t="shared" si="52"/>
        <v>241.36164657721102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23.483879753907068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23.483879753907068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11.28875</v>
      </c>
      <c r="N67" s="13">
        <f>IF('Données projet'!$A$36&gt;35,N66+M67-V66,IF(A67&lt;'Données projet'!$A$36,$K$205^A67,IF(A67='Données projet'!$A$36,'Données projet'!$B$36,N66+M67-V66)))</f>
        <v>269.66874999999999</v>
      </c>
      <c r="O67" s="13">
        <f>N67*VLOOKUP('Données projet'!$B$9,Paramètres!$A$1:$I$89,3,0)*VLOOKUP('Données projet'!$B$9,Paramètres!$A$1:$I$89,5,0)</f>
        <v>243.996285</v>
      </c>
      <c r="P67" s="13">
        <f t="shared" si="33"/>
        <v>59.298522534643098</v>
      </c>
      <c r="Q67" s="20">
        <f t="shared" ref="Q67:Q98" si="54">(O67+P67)*0.475*44/12</f>
        <v>528.23845645617007</v>
      </c>
      <c r="R67" s="59">
        <f t="shared" ref="R67:R130" si="55">Q67+(I67+J67)*44/12</f>
        <v>791.66280861572477</v>
      </c>
      <c r="S67" s="59">
        <f ca="1">AVERAGE(OFFSET($R$3,0,0,'Données projet'!$E$9+1,1))-AVERAGE(OFFSET($H$3,0,0,'Données projet'!$E$9+1,1))</f>
        <v>567.42635821507474</v>
      </c>
      <c r="T67" s="59">
        <f t="shared" si="34"/>
        <v>299.04735309930152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92.748294438843317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92.748294438843317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12.4</v>
      </c>
      <c r="AI67" s="13">
        <f>IF('Données projet'!$A$62&gt;35,AI66+AH67-AQ66,IF(A67&lt;'Données projet'!$A$62,$AF$205^A67,IF(A67='Données projet'!$A$62,'Données projet'!$B$62,AI66+AH67-AQ66)))</f>
        <v>350.59999999999997</v>
      </c>
      <c r="AJ67" s="13">
        <f>AI67*VLOOKUP('Données projet'!$B$10,Paramètres!$A$1:$I$89,3,0)*VLOOKUP('Données projet'!$B$10,Paramètres!$A$1:$I$89,5,0)</f>
        <v>300.81479999999999</v>
      </c>
      <c r="AK67" s="13">
        <f t="shared" si="35"/>
        <v>71.347249879076941</v>
      </c>
      <c r="AL67" s="20">
        <f t="shared" si="4"/>
        <v>648.18223687272553</v>
      </c>
      <c r="AM67" s="59">
        <f t="shared" si="5"/>
        <v>911.60658903228023</v>
      </c>
      <c r="AN67" s="59">
        <f ca="1">AVERAGE(OFFSET($AM$3,0,0,'Données projet'!$E$10+1,1))-AVERAGE(OFFSET($H$3,0,0,'Données projet'!$E$10+1,1))</f>
        <v>569.97793593332699</v>
      </c>
      <c r="AO67" s="59">
        <f t="shared" si="36"/>
        <v>331.25104323342907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77.233695218669709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77.233695218669709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277.99999999999994</v>
      </c>
      <c r="BE67" s="13">
        <f>BD67*VLOOKUP('Données projet'!$B$11,Paramètres!$A$1:$I$89,3,0)*VLOOKUP('Données projet'!$B$11,Paramètres!$A$1:$I$89,5,0)</f>
        <v>151.78799999999998</v>
      </c>
      <c r="BF67" s="13">
        <f t="shared" si="37"/>
        <v>38.984634390835623</v>
      </c>
      <c r="BG67" s="20">
        <f t="shared" si="7"/>
        <v>332.26233823070532</v>
      </c>
      <c r="BH67" s="59">
        <f t="shared" si="8"/>
        <v>595.68669039026008</v>
      </c>
      <c r="BI67" s="59">
        <f ca="1">AVERAGE(OFFSET($BH$3,0,0,'Données projet'!$E$11+1,1))-AVERAGE(OFFSET($H$3,0,0,'Données projet'!$E$11+1,1))</f>
        <v>215.37314197175104</v>
      </c>
      <c r="BJ67" s="59">
        <f t="shared" si="38"/>
        <v>361.17630426655978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18.720158279343103</v>
      </c>
      <c r="BQ67" s="21">
        <f>EXP(-LN(2)/25)*BQ66+(1-EXP(-LN(2)/25))/(LN(2)/25)*Calculateur!BL67*Calculateur!BN67*VLOOKUP('Données projet'!$B$11,Paramètres!$A$1:$I$89,3,0)*0.475*44/12</f>
        <v>37.416055942072809</v>
      </c>
      <c r="BR67" s="21">
        <f>EXP(-LN(2)/2)*BR66+(1-EXP(-LN(2)/2))/(LN(2)/2)*BL67*BO67*VLOOKUP('Données projet'!$B$11,Paramètres!$A$1:$I$89,3,0)*0.475*44/12</f>
        <v>1.9344949012158002E-7</v>
      </c>
      <c r="BS67" s="22">
        <f t="shared" si="9"/>
        <v>56.1362144148654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0.8600000000003547</v>
      </c>
      <c r="BZ67" s="13">
        <f>BY67*VLOOKUP('Données projet'!$B$12,Paramètres!$A$1:$I$89,3,0)*VLOOKUP('Données projet'!$B$12,Paramètres!$A$1:$I$89,5,0)</f>
        <v>0.48074000000019829</v>
      </c>
      <c r="CA67" s="13">
        <f t="shared" si="39"/>
        <v>0.24126147010950588</v>
      </c>
      <c r="CB67" s="20">
        <f t="shared" si="10"/>
        <v>1.2574858937744013</v>
      </c>
      <c r="CC67" s="59">
        <f t="shared" si="11"/>
        <v>264.68183805332916</v>
      </c>
      <c r="CD67" s="59">
        <f ca="1">AVERAGE(OFFSET($CC$3,0,0,'Données projet'!$E$12+1,1))-AVERAGE(OFFSET($H$3,0,0,'Données projet'!$E$12+1,1))</f>
        <v>420.4890915162182</v>
      </c>
      <c r="CE67" s="59">
        <f t="shared" si="40"/>
        <v>553.48432338023565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311.09268420586397</v>
      </c>
      <c r="CL67" s="21">
        <f>EXP(-LN(2)/25)*CL66+(1-EXP(-LN(2)/25))/(LN(2)/25)*Calculateur!CG67*Calculateur!CI67*VLOOKUP('Données projet'!$B$12,Paramètres!$A$1:$I$89,3,0)*0.475*44/12</f>
        <v>19.701671766239802</v>
      </c>
      <c r="CM67" s="21">
        <f>EXP(-LN(2)/2)*CM66+(1-EXP(-LN(2)/2))/(LN(2)/2)*CG67*CJ67*VLOOKUP('Données projet'!$B$12,Paramètres!$A$1:$I$89,3,0)*0.475*44/12</f>
        <v>5.6451456379914256E-6</v>
      </c>
      <c r="CN67" s="22">
        <f t="shared" si="12"/>
        <v>330.79436161724942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349.99999999999972</v>
      </c>
      <c r="CU67" s="17">
        <f>CT67*VLOOKUP('Données projet'!$B$13,Paramètres!$A$1:$I$89,3,0)*VLOOKUP('Données projet'!$B$13,Paramètres!$A$1:$I$89,5,0)</f>
        <v>256.61999999999978</v>
      </c>
      <c r="CV67" s="13">
        <f t="shared" si="41"/>
        <v>62.001350774926514</v>
      </c>
      <c r="CW67" s="20">
        <f t="shared" si="13"/>
        <v>554.9321859329965</v>
      </c>
      <c r="CX67" s="59">
        <f t="shared" si="14"/>
        <v>818.35653809255132</v>
      </c>
      <c r="CY67" s="59">
        <f ca="1">AVERAGE(OFFSET($CX$3,0,0,'Données projet'!$E$13+1,1))-AVERAGE(OFFSET($H$3,0,0,'Données projet'!$E$13+1,1))</f>
        <v>400.48995908576177</v>
      </c>
      <c r="CZ67" s="59">
        <f t="shared" si="42"/>
        <v>384.86917865380076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39.39969133256853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39.39969133256853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</v>
      </c>
      <c r="DO67" s="12">
        <f>IF('Données projet'!$A$166&gt;35,DO66+DN67-DW66,IF(A67&lt;'Données projet'!$A$166,$DL$205^A67,IF(A67='Données projet'!$A$166,'Données projet'!$B$166,DO66+DN67-DW66)))</f>
        <v>349.99999999999972</v>
      </c>
      <c r="DP67" s="17">
        <f>DO67*VLOOKUP('Données projet'!$B$14,Paramètres!$A$1:$I$89,3,0)*VLOOKUP('Données projet'!$B$14,Paramètres!$A$1:$I$89,5,0)</f>
        <v>278.45999999999981</v>
      </c>
      <c r="DQ67" s="13">
        <f t="shared" si="43"/>
        <v>66.641458222154824</v>
      </c>
      <c r="DR67" s="20">
        <f t="shared" si="16"/>
        <v>601.05170640358597</v>
      </c>
      <c r="DS67" s="59">
        <f t="shared" si="17"/>
        <v>864.47605856314067</v>
      </c>
      <c r="DT67" s="59">
        <f ca="1">AVERAGE(OFFSET($DS$3,0,0,'Données projet'!$E$14+1,1))-AVERAGE(OFFSET($H$3,0,0,'Données projet'!$E$14+1,1))</f>
        <v>429.30603040255431</v>
      </c>
      <c r="DU67" s="59">
        <f t="shared" si="44"/>
        <v>412.18613903804726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52.69538133198057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52.69538133198057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5.5555555555555554</v>
      </c>
      <c r="EJ67" s="12">
        <f>IF('Données projet'!$A$192&gt;35,EJ66+EI67-ER66,IF(A67&lt;'Données projet'!$A$192,$EG$205^A67,IF(A67='Données projet'!$A$192,'Données projet'!$B$192,EJ66+EI67-ER66)))</f>
        <v>182.47863247863242</v>
      </c>
      <c r="EK67" s="17">
        <f>EJ67*VLOOKUP('Données projet'!$B$15,Paramètres!$A$1:$I$89,3,0)*VLOOKUP('Données projet'!$B$15,Paramètres!$A$1:$I$89,5,0)</f>
        <v>142.33333333333329</v>
      </c>
      <c r="EL67" s="13">
        <f t="shared" si="45"/>
        <v>36.831024085819266</v>
      </c>
      <c r="EM67" s="20">
        <f t="shared" si="19"/>
        <v>312.04458917169069</v>
      </c>
      <c r="EN67" s="59">
        <f t="shared" si="20"/>
        <v>575.46894133124545</v>
      </c>
      <c r="EO67" s="59">
        <f ca="1">AVERAGE(OFFSET($EN$3,0,0,'Données projet'!$E$15+1,1))-AVERAGE(OFFSET($H$3,0,0,'Données projet'!$E$15+1,1))</f>
        <v>217.53602321474159</v>
      </c>
      <c r="EP67" s="59">
        <f t="shared" si="46"/>
        <v>215.75909414893025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35.656569018159907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35.656569018159907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11.28875</v>
      </c>
      <c r="FE67" s="12">
        <f>IF('Données projet'!$A$218&gt;35,FE66+FD67-FM66,IF(A67&lt;'Données projet'!$A$218,$FB$205^A67,IF(A67='Données projet'!$A$218,'Données projet'!$B$218,FE66+FD67-FM66)))</f>
        <v>269.66874999999999</v>
      </c>
      <c r="FF67" s="17">
        <f>FE67*VLOOKUP('Données projet'!$B$16,Paramètres!$A$1:$I$89,3,0)*VLOOKUP('Données projet'!$B$16,Paramètres!$A$1:$I$89,5,0)</f>
        <v>180.89379750000001</v>
      </c>
      <c r="FG67" s="13">
        <f t="shared" si="47"/>
        <v>45.520982281419109</v>
      </c>
      <c r="FH67" s="20">
        <f t="shared" si="22"/>
        <v>394.3390747859716</v>
      </c>
      <c r="FI67" s="59">
        <f t="shared" si="23"/>
        <v>657.76342694552636</v>
      </c>
      <c r="FJ67" s="59">
        <f ca="1">AVERAGE(OFFSET($FI$3,0,0,'Données projet'!$E$16+1,1))-AVERAGE(OFFSET($H$3,0,0,'Données projet'!$E$16+1,1))</f>
        <v>441.20130048888439</v>
      </c>
      <c r="FK67" s="59">
        <f t="shared" si="48"/>
        <v>237.47732532183946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84.752751814805094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84.752751814805094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4.8</v>
      </c>
      <c r="FZ67" s="12">
        <f>IF('Données projet'!$A$244&gt;35,FZ66+FY67-GH66,IF(A67&lt;'Données projet'!$A$244,$FW$205^A67,IF(A67='Données projet'!$A$244,'Données projet'!$B$244,FZ66+FY67-GH66)))</f>
        <v>196.20000000000007</v>
      </c>
      <c r="GA67" s="17">
        <f>FZ67*VLOOKUP('Données projet'!$B$17,Paramètres!$A$1:$I$89,3,0)*VLOOKUP('Données projet'!$B$17,Paramètres!$A$1:$I$89,5,0)</f>
        <v>128.55024000000003</v>
      </c>
      <c r="GB67" s="13">
        <f t="shared" si="49"/>
        <v>33.661144026076663</v>
      </c>
      <c r="GC67" s="20">
        <f t="shared" si="25"/>
        <v>282.51816051208363</v>
      </c>
      <c r="GD67" s="59">
        <f t="shared" si="26"/>
        <v>545.94251267163838</v>
      </c>
      <c r="GE67" s="59">
        <f ca="1">AVERAGE(OFFSET($GD$3,0,0,'Données projet'!$E$17+1,1))-AVERAGE(OFFSET($H$3,0,0,'Données projet'!$E$17+1,1))</f>
        <v>257.66104339896992</v>
      </c>
      <c r="GF67" s="59">
        <f t="shared" si="50"/>
        <v>254.79488636184996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28.281614075456297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28.281614075456297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5</v>
      </c>
      <c r="GU67" s="12">
        <f>IF('Données projet'!$A$270&gt;35,GU66+GT67-HC66,IF(A67&lt;'Données projet'!$A$270,$GR$205^A67,IF(A67='Données projet'!$A$270,'Données projet'!$B$270,GU66+GT67-HC66)))</f>
        <v>203.00000000000009</v>
      </c>
      <c r="GV67" s="17">
        <f>GU67*VLOOKUP('Données projet'!$B$18,Paramètres!$A$1:$I$89,3,0)*VLOOKUP('Données projet'!$B$18,Paramètres!$A$1:$I$89,5,0)</f>
        <v>164.67360000000008</v>
      </c>
      <c r="GW67" s="13">
        <f t="shared" si="51"/>
        <v>41.894886049197019</v>
      </c>
      <c r="GX67" s="20">
        <f t="shared" si="28"/>
        <v>359.77344653568497</v>
      </c>
      <c r="GY67" s="59">
        <f t="shared" si="29"/>
        <v>623.19779869523973</v>
      </c>
      <c r="GZ67" s="59">
        <f ca="1">AVERAGE(OFFSET($GY$3,0,0,'Données projet'!$E$18+1,1))-AVERAGE(OFFSET($H$3,0,0,'Données projet'!$E$18+1,1))</f>
        <v>299.98377156721153</v>
      </c>
      <c r="HA67" s="59">
        <f t="shared" si="52"/>
        <v>241.36164657721102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23.023375195685247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23.023375195685247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11.28875</v>
      </c>
      <c r="N68" s="13">
        <f>IF('Données projet'!$A$36&gt;35,N67+M68-V67,IF(A68&lt;'Données projet'!$A$36,$K$205^A68,IF(A68='Données projet'!$A$36,'Données projet'!$B$36,N67+M68-V67)))</f>
        <v>280.95749999999998</v>
      </c>
      <c r="O68" s="13">
        <f>N68*VLOOKUP('Données projet'!$B$9,Paramètres!$A$1:$I$89,3,0)*VLOOKUP('Données projet'!$B$9,Paramètres!$A$1:$I$89,5,0)</f>
        <v>254.21034599999999</v>
      </c>
      <c r="P68" s="13">
        <f t="shared" si="33"/>
        <v>61.486644866788161</v>
      </c>
      <c r="Q68" s="20">
        <f t="shared" si="54"/>
        <v>549.83892575965604</v>
      </c>
      <c r="R68" s="59">
        <f t="shared" si="55"/>
        <v>813.78213187611118</v>
      </c>
      <c r="S68" s="59">
        <f ca="1">AVERAGE(OFFSET($R$3,0,0,'Données projet'!$E$9+1,1))-AVERAGE(OFFSET($H$3,0,0,'Données projet'!$E$9+1,1))</f>
        <v>567.42635821507474</v>
      </c>
      <c r="T68" s="59">
        <f t="shared" si="34"/>
        <v>299.04735309930152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90.929556955771304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90.929556955771304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363</v>
      </c>
      <c r="AG68" s="12">
        <f>VLOOKUP(A68,'Données projet'!$A$61:$I$81,9,0)</f>
        <v>12.4</v>
      </c>
      <c r="AH68" s="12">
        <f t="array" ref="AH68">INDEX(AG:AG,MIN(IF(ISNUMBER(AG68:AG264),ROW(AG68:AG264),"")))</f>
        <v>12.4</v>
      </c>
      <c r="AI68" s="13">
        <f>IF('Données projet'!$A$62&gt;35,AI67+AH68-AQ67,IF(A68&lt;'Données projet'!$A$62,$AF$205^A68,IF(A68='Données projet'!$A$62,'Données projet'!$B$62,AI67+AH68-AQ67)))</f>
        <v>362.99999999999994</v>
      </c>
      <c r="AJ68" s="13">
        <f>AI68*VLOOKUP('Données projet'!$B$10,Paramètres!$A$1:$I$89,3,0)*VLOOKUP('Données projet'!$B$10,Paramètres!$A$1:$I$89,5,0)</f>
        <v>311.45399999999995</v>
      </c>
      <c r="AK68" s="13">
        <f t="shared" si="35"/>
        <v>73.572400496659426</v>
      </c>
      <c r="AL68" s="20">
        <f t="shared" ref="AL68:AL131" si="58">(AJ68+AK68)*0.475*44/12</f>
        <v>670.5876475316818</v>
      </c>
      <c r="AM68" s="59">
        <f t="shared" ref="AM68:AM131" si="59">AL68+(AD68+AE68)*44/12</f>
        <v>934.53085364813705</v>
      </c>
      <c r="AN68" s="59">
        <f ca="1">AVERAGE(OFFSET($AM$3,0,0,'Données projet'!$E$10+1,1))-AVERAGE(OFFSET($H$3,0,0,'Données projet'!$E$10+1,1))</f>
        <v>569.97793593332699</v>
      </c>
      <c r="AO68" s="59">
        <f t="shared" si="36"/>
        <v>331.25104323342907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35</v>
      </c>
      <c r="AR68" s="16">
        <f>IF(ISNA(VLOOKUP(A68,'Données projet'!$A$61:$I$81,5,0)),0%,VLOOKUP(A68,'Données projet'!$A$61:$I$81,5,0)*VLOOKUP('Données projet'!$B$10,Paramètres!$A$1:$I$89,7,0))</f>
        <v>0.53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93.313745576942637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93.313745576942637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277.99999999999994</v>
      </c>
      <c r="BE68" s="13">
        <f>BD68*VLOOKUP('Données projet'!$B$11,Paramètres!$A$1:$I$89,3,0)*VLOOKUP('Données projet'!$B$11,Paramètres!$A$1:$I$89,5,0)</f>
        <v>151.78799999999998</v>
      </c>
      <c r="BF68" s="13">
        <f t="shared" si="37"/>
        <v>38.984634390835623</v>
      </c>
      <c r="BG68" s="20">
        <f t="shared" ref="BG68:BG131" si="61">(BE68+BF68)*0.475*44/12</f>
        <v>332.26233823070532</v>
      </c>
      <c r="BH68" s="59">
        <f t="shared" ref="BH68:BH131" si="62">BG68+(AY68+AZ68)*44/12</f>
        <v>596.20554434716053</v>
      </c>
      <c r="BI68" s="59">
        <f ca="1">AVERAGE(OFFSET($BH$3,0,0,'Données projet'!$E$11+1,1))-AVERAGE(OFFSET($H$3,0,0,'Données projet'!$E$11+1,1))</f>
        <v>215.37314197175104</v>
      </c>
      <c r="BJ68" s="59">
        <f t="shared" si="38"/>
        <v>361.17630426655978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18.353067393654285</v>
      </c>
      <c r="BQ68" s="21">
        <f>EXP(-LN(2)/25)*BQ67+(1-EXP(-LN(2)/25))/(LN(2)/25)*Calculateur!BL68*Calculateur!BN68*VLOOKUP('Données projet'!$B$11,Paramètres!$A$1:$I$89,3,0)*0.475*44/12</f>
        <v>36.39291192471196</v>
      </c>
      <c r="BR68" s="21">
        <f>EXP(-LN(2)/2)*BR67+(1-EXP(-LN(2)/2))/(LN(2)/2)*BL68*BO68*VLOOKUP('Données projet'!$B$11,Paramètres!$A$1:$I$89,3,0)*0.475*44/12</f>
        <v>1.3678944628204926E-7</v>
      </c>
      <c r="BS68" s="22">
        <f t="shared" ref="BS68:BS131" si="63">SUM(BP68:BR68)</f>
        <v>54.745979455155691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0.8600000000003547</v>
      </c>
      <c r="BZ68" s="13">
        <f>BY68*VLOOKUP('Données projet'!$B$12,Paramètres!$A$1:$I$89,3,0)*VLOOKUP('Données projet'!$B$12,Paramètres!$A$1:$I$89,5,0)</f>
        <v>0.48074000000019829</v>
      </c>
      <c r="CA68" s="13">
        <f t="shared" si="39"/>
        <v>0.24126147010950588</v>
      </c>
      <c r="CB68" s="20">
        <f t="shared" ref="CB68:CB131" si="64">(BZ68+CA68)*0.475*44/12</f>
        <v>1.2574858937744013</v>
      </c>
      <c r="CC68" s="59">
        <f t="shared" ref="CC68:CC131" si="65">CB68+(BT68+BU68)*44/12</f>
        <v>265.2006920102296</v>
      </c>
      <c r="CD68" s="59">
        <f ca="1">AVERAGE(OFFSET($CC$3,0,0,'Données projet'!$E$12+1,1))-AVERAGE(OFFSET($H$3,0,0,'Données projet'!$E$12+1,1))</f>
        <v>420.4890915162182</v>
      </c>
      <c r="CE68" s="59">
        <f t="shared" si="40"/>
        <v>553.48432338023565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304.99234641638833</v>
      </c>
      <c r="CL68" s="21">
        <f>EXP(-LN(2)/25)*CL67+(1-EXP(-LN(2)/25))/(LN(2)/25)*Calculateur!CG68*Calculateur!CI68*VLOOKUP('Données projet'!$B$12,Paramètres!$A$1:$I$89,3,0)*0.475*44/12</f>
        <v>19.162928515726083</v>
      </c>
      <c r="CM68" s="21">
        <f>EXP(-LN(2)/2)*CM67+(1-EXP(-LN(2)/2))/(LN(2)/2)*CG68*CJ68*VLOOKUP('Données projet'!$B$12,Paramètres!$A$1:$I$89,3,0)*0.475*44/12</f>
        <v>3.9917207614093961E-6</v>
      </c>
      <c r="CN68" s="22">
        <f t="shared" ref="CN68:CN131" si="66">SUM(CK68:CM68)</f>
        <v>324.15527892383517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356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355.99999999999972</v>
      </c>
      <c r="CU68" s="17">
        <f>CT68*VLOOKUP('Données projet'!$B$13,Paramètres!$A$1:$I$89,3,0)*VLOOKUP('Données projet'!$B$13,Paramètres!$A$1:$I$89,5,0)</f>
        <v>261.01919999999978</v>
      </c>
      <c r="CV68" s="13">
        <f t="shared" si="41"/>
        <v>62.939580716713571</v>
      </c>
      <c r="CW68" s="20">
        <f t="shared" ref="CW68:CW131" si="67">(CU68+CV68)*0.475*44/12</f>
        <v>564.22820974827573</v>
      </c>
      <c r="CX68" s="59">
        <f t="shared" ref="CX68:CX131" si="68">CW68+(CO68+CP68)*44/12</f>
        <v>828.17141586473099</v>
      </c>
      <c r="CY68" s="59">
        <f ca="1">AVERAGE(OFFSET($CX$3,0,0,'Données projet'!$E$13+1,1))-AVERAGE(OFFSET($H$3,0,0,'Données projet'!$E$13+1,1))</f>
        <v>400.48995908576177</v>
      </c>
      <c r="CZ68" s="59">
        <f t="shared" si="42"/>
        <v>384.86917865380076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16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44.203539887017754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44.203539887017754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356</v>
      </c>
      <c r="DM68" s="12">
        <f>VLOOKUP(A68,'Données projet'!$A$165:$I$185,9,0)</f>
        <v>6</v>
      </c>
      <c r="DN68" s="12">
        <f t="array" ref="DN68">INDEX(DM:DM,MIN(IF(ISNUMBER(DM68:DM264),ROW(DM68:DM264),"")))</f>
        <v>6</v>
      </c>
      <c r="DO68" s="12">
        <f>IF('Données projet'!$A$166&gt;35,DO67+DN68-DW67,IF(A68&lt;'Données projet'!$A$166,$DL$205^A68,IF(A68='Données projet'!$A$166,'Données projet'!$B$166,DO67+DN68-DW67)))</f>
        <v>355.99999999999972</v>
      </c>
      <c r="DP68" s="17">
        <f>DO68*VLOOKUP('Données projet'!$B$14,Paramètres!$A$1:$I$89,3,0)*VLOOKUP('Données projet'!$B$14,Paramètres!$A$1:$I$89,5,0)</f>
        <v>283.2335999999998</v>
      </c>
      <c r="DQ68" s="13">
        <f t="shared" si="43"/>
        <v>67.649904178362377</v>
      </c>
      <c r="DR68" s="20">
        <f t="shared" ref="DR68:DR131" si="70">(DP68+DQ68)*0.475*44/12</f>
        <v>611.12210311064734</v>
      </c>
      <c r="DS68" s="59">
        <f t="shared" ref="DS68:DS131" si="71">DR68+(DJ68+DK68)*44/12</f>
        <v>875.06530922710249</v>
      </c>
      <c r="DT68" s="59">
        <f ca="1">AVERAGE(OFFSET($DS$3,0,0,'Données projet'!$E$14+1,1))-AVERAGE(OFFSET($H$3,0,0,'Données projet'!$E$14+1,1))</f>
        <v>429.30603040255431</v>
      </c>
      <c r="DU68" s="59">
        <f t="shared" si="44"/>
        <v>412.18613903804726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16</v>
      </c>
      <c r="DX68" s="16">
        <f>IF(ISNA(VLOOKUP(A68,'Données projet'!$A$165:$I$185,5,0)),0%,VLOOKUP(A68,'Données projet'!$A$165:$I$185,5,0)*VLOOKUP('Données projet'!$B$14,Paramètres!$A$1:$I$89,7,0))</f>
        <v>0.53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59.120320789019786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59.120320789019786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5.5555555555555554</v>
      </c>
      <c r="EJ68" s="12">
        <f>IF('Données projet'!$A$192&gt;35,EJ67+EI68-ER67,IF(A68&lt;'Données projet'!$A$192,$EG$205^A68,IF(A68='Données projet'!$A$192,'Données projet'!$B$192,EJ67+EI68-ER67)))</f>
        <v>188.03418803418796</v>
      </c>
      <c r="EK68" s="17">
        <f>EJ68*VLOOKUP('Données projet'!$B$15,Paramètres!$A$1:$I$89,3,0)*VLOOKUP('Données projet'!$B$15,Paramètres!$A$1:$I$89,5,0)</f>
        <v>146.66666666666663</v>
      </c>
      <c r="EL68" s="13">
        <f t="shared" si="45"/>
        <v>37.82008574568669</v>
      </c>
      <c r="EM68" s="20">
        <f t="shared" ref="EM68:EM131" si="73">(EK68+EL68)*0.475*44/12</f>
        <v>321.31442711818204</v>
      </c>
      <c r="EN68" s="59">
        <f t="shared" ref="EN68:EN131" si="74">EM68+(EE68+EF68)*44/12</f>
        <v>585.2576332346373</v>
      </c>
      <c r="EO68" s="59">
        <f ca="1">AVERAGE(OFFSET($EN$3,0,0,'Données projet'!$E$15+1,1))-AVERAGE(OFFSET($H$3,0,0,'Données projet'!$E$15+1,1))</f>
        <v>217.53602321474159</v>
      </c>
      <c r="EP68" s="59">
        <f t="shared" si="46"/>
        <v>215.75909414893025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34.957365448073418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34.957365448073418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11.28875</v>
      </c>
      <c r="FE68" s="12">
        <f>IF('Données projet'!$A$218&gt;35,FE67+FD68-FM67,IF(A68&lt;'Données projet'!$A$218,$FB$205^A68,IF(A68='Données projet'!$A$218,'Données projet'!$B$218,FE67+FD68-FM67)))</f>
        <v>280.95749999999998</v>
      </c>
      <c r="FF68" s="17">
        <f>FE68*VLOOKUP('Données projet'!$B$16,Paramètres!$A$1:$I$89,3,0)*VLOOKUP('Données projet'!$B$16,Paramètres!$A$1:$I$89,5,0)</f>
        <v>188.46629100000001</v>
      </c>
      <c r="FG68" s="13">
        <f t="shared" si="47"/>
        <v>47.200711786533915</v>
      </c>
      <c r="FH68" s="20">
        <f t="shared" ref="FH68:FH131" si="76">(FF68+FG68)*0.475*44/12</f>
        <v>410.4533631865466</v>
      </c>
      <c r="FI68" s="59">
        <f t="shared" ref="FI68:FI131" si="77">FH68+(EZ68+FA68)*44/12</f>
        <v>674.3965693030018</v>
      </c>
      <c r="FJ68" s="59">
        <f ca="1">AVERAGE(OFFSET($FI$3,0,0,'Données projet'!$E$16+1,1))-AVERAGE(OFFSET($H$3,0,0,'Données projet'!$E$16+1,1))</f>
        <v>441.20130048888439</v>
      </c>
      <c r="FK68" s="59">
        <f t="shared" si="48"/>
        <v>237.47732532183946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83.090802045791008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83.090802045791008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201</v>
      </c>
      <c r="FX68" s="12">
        <f>VLOOKUP(A68,'Données projet'!$A$243:$I$263,9,0)</f>
        <v>4.8</v>
      </c>
      <c r="FY68" s="12">
        <f t="array" ref="FY68">INDEX(FX:FX,MIN(IF(ISNUMBER(FX68:FX264),ROW(FX68:FX264),"")))</f>
        <v>4.8</v>
      </c>
      <c r="FZ68" s="12">
        <f>IF('Données projet'!$A$244&gt;35,FZ67+FY68-GH67,IF(A68&lt;'Données projet'!$A$244,$FW$205^A68,IF(A68='Données projet'!$A$244,'Données projet'!$B$244,FZ67+FY68-GH67)))</f>
        <v>201.00000000000009</v>
      </c>
      <c r="GA68" s="17">
        <f>FZ68*VLOOKUP('Données projet'!$B$17,Paramètres!$A$1:$I$89,3,0)*VLOOKUP('Données projet'!$B$17,Paramètres!$A$1:$I$89,5,0)</f>
        <v>131.69520000000006</v>
      </c>
      <c r="GB68" s="13">
        <f t="shared" si="49"/>
        <v>34.387774432362271</v>
      </c>
      <c r="GC68" s="20">
        <f t="shared" ref="GC68:GC131" si="79">(GA68+GB68)*0.475*44/12</f>
        <v>289.26118046969771</v>
      </c>
      <c r="GD68" s="59">
        <f t="shared" ref="GD68:GD131" si="80">GC68+(FU68+FV68)*44/12</f>
        <v>553.20438658615285</v>
      </c>
      <c r="GE68" s="59">
        <f ca="1">AVERAGE(OFFSET($GD$3,0,0,'Données projet'!$E$17+1,1))-AVERAGE(OFFSET($H$3,0,0,'Données projet'!$E$17+1,1))</f>
        <v>257.66104339896992</v>
      </c>
      <c r="GF68" s="59">
        <f t="shared" si="50"/>
        <v>254.79488636184996</v>
      </c>
      <c r="GG68" s="15">
        <f>IF(ISNA(VLOOKUP(A68,'Données projet'!$A$243:$I$263,3,0)),0,VLOOKUP(A68,'Données projet'!$A$243:$I$263,3,0))</f>
        <v>12</v>
      </c>
      <c r="GH68" s="15">
        <f>IF(ISNA(VLOOKUP(A68,'Données projet'!$A$243:$I$263,4,0)),0,VLOOKUP(A68,'Données projet'!$A$243:$I$263,4,0))</f>
        <v>18</v>
      </c>
      <c r="GI68" s="16">
        <f>IF(ISNA(VLOOKUP(A68,'Données projet'!$A$243:$I$263,5,0)),0%,VLOOKUP(A68,'Données projet'!$A$243:$I$263,5,0)*VLOOKUP('Données projet'!$B$17,Paramètres!$A$1:$I$89,7,0))</f>
        <v>0.43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33.333143324783592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33.333143324783592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208</v>
      </c>
      <c r="GS68" s="12">
        <f>VLOOKUP(A68,'Données projet'!$A$269:$I$289,9,0)</f>
        <v>5</v>
      </c>
      <c r="GT68" s="12">
        <f t="array" ref="GT68">INDEX(GS:GS,MIN(IF(ISNUMBER(GS68:GS264),ROW(GS68:GS264),"")))</f>
        <v>5</v>
      </c>
      <c r="GU68" s="12">
        <f>IF('Données projet'!$A$270&gt;35,GU67+GT68-HC67,IF(A68&lt;'Données projet'!$A$270,$GR$205^A68,IF(A68='Données projet'!$A$270,'Données projet'!$B$270,GU67+GT68-HC67)))</f>
        <v>208.00000000000009</v>
      </c>
      <c r="GV68" s="17">
        <f>GU68*VLOOKUP('Données projet'!$B$18,Paramètres!$A$1:$I$89,3,0)*VLOOKUP('Données projet'!$B$18,Paramètres!$A$1:$I$89,5,0)</f>
        <v>168.72960000000009</v>
      </c>
      <c r="GW68" s="13">
        <f t="shared" si="51"/>
        <v>42.805372152385111</v>
      </c>
      <c r="GX68" s="20">
        <f t="shared" ref="GX68:GX131" si="82">(GV68+GW68)*0.475*44/12</f>
        <v>368.42340983207083</v>
      </c>
      <c r="GY68" s="59">
        <f t="shared" ref="GY68:GY131" si="83">GX68+(GP68+GQ68)*44/12</f>
        <v>632.36661594852603</v>
      </c>
      <c r="GZ68" s="59">
        <f ca="1">AVERAGE(OFFSET($GY$3,0,0,'Données projet'!$E$18+1,1))-AVERAGE(OFFSET($H$3,0,0,'Données projet'!$E$18+1,1))</f>
        <v>299.98377156721153</v>
      </c>
      <c r="HA68" s="59">
        <f t="shared" si="52"/>
        <v>241.36164657721102</v>
      </c>
      <c r="HB68" s="15">
        <f>IF(ISNA(VLOOKUP(A68,'Données projet'!$A$269:$I$289,3,0)),0,VLOOKUP(A68,'Données projet'!$A$269:$I$289,3,0))</f>
        <v>10</v>
      </c>
      <c r="HC68" s="15">
        <f>IF(ISNA(VLOOKUP(A68,'Données projet'!$A$269:$I$289,4,0)),0,VLOOKUP(A68,'Données projet'!$A$269:$I$289,4,0))</f>
        <v>14</v>
      </c>
      <c r="HD68" s="16">
        <f>IF(ISNA(VLOOKUP(A68,'Données projet'!$A$269:$I$289,5,0)),0%,VLOOKUP(A68,'Données projet'!$A$269:$I$289,5,0)*VLOOKUP('Données projet'!$B$18,Paramètres!$A$1:$I$89,7,0))</f>
        <v>0.43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27.970381433670429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27.970381433670429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11.28875</v>
      </c>
      <c r="N69" s="13">
        <f>IF('Données projet'!$A$36&gt;35,N68+M69-V68,IF(A69&lt;'Données projet'!$A$36,$K$205^A69,IF(A69='Données projet'!$A$36,'Données projet'!$B$36,N68+M69-V68)))</f>
        <v>292.24624999999997</v>
      </c>
      <c r="O69" s="13">
        <f>N69*VLOOKUP('Données projet'!$B$9,Paramètres!$A$1:$I$89,3,0)*VLOOKUP('Données projet'!$B$9,Paramètres!$A$1:$I$89,5,0)</f>
        <v>264.42440699999997</v>
      </c>
      <c r="P69" s="13">
        <f t="shared" ref="P69:P132" si="87">EXP(-1.0587+0.8836*LN(O69)+0.284)</f>
        <v>63.664554558165378</v>
      </c>
      <c r="Q69" s="20">
        <f t="shared" si="54"/>
        <v>571.42160804713797</v>
      </c>
      <c r="R69" s="59">
        <f t="shared" si="55"/>
        <v>835.87466716432505</v>
      </c>
      <c r="S69" s="59">
        <f ca="1">AVERAGE(OFFSET($R$3,0,0,'Données projet'!$E$9+1,1))-AVERAGE(OFFSET($H$3,0,0,'Données projet'!$E$9+1,1))</f>
        <v>567.42635821507474</v>
      </c>
      <c r="T69" s="59">
        <f t="shared" ref="T69:T132" si="88">$T$3</f>
        <v>299.04735309930152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89.146483805421994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89.146483805421994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</v>
      </c>
      <c r="AI69" s="13">
        <f>IF('Données projet'!$A$62&gt;35,AI68+AH69-AQ68,IF(A69&lt;'Données projet'!$A$62,$AF$205^A69,IF(A69='Données projet'!$A$62,'Données projet'!$B$62,AI68+AH69-AQ68)))</f>
        <v>339.79999999999995</v>
      </c>
      <c r="AJ69" s="13">
        <f>AI69*VLOOKUP('Données projet'!$B$10,Paramètres!$A$1:$I$89,3,0)*VLOOKUP('Données projet'!$B$10,Paramètres!$A$1:$I$89,5,0)</f>
        <v>291.54840000000002</v>
      </c>
      <c r="AK69" s="13">
        <f t="shared" ref="AK69:AK132" si="89">EXP(-1.0587+0.8836*LN(AJ69)+0.284)</f>
        <v>69.40174753959208</v>
      </c>
      <c r="AL69" s="20">
        <f t="shared" si="58"/>
        <v>628.65484029812285</v>
      </c>
      <c r="AM69" s="59">
        <f t="shared" si="59"/>
        <v>893.10789941530993</v>
      </c>
      <c r="AN69" s="59">
        <f ca="1">AVERAGE(OFFSET($AM$3,0,0,'Données projet'!$E$10+1,1))-AVERAGE(OFFSET($H$3,0,0,'Données projet'!$E$10+1,1))</f>
        <v>569.97793593332699</v>
      </c>
      <c r="AO69" s="59">
        <f t="shared" ref="AO69:AO132" si="90">$AO$3</f>
        <v>331.25104323342907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91.483919941943626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91.483919941943626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277.99999999999994</v>
      </c>
      <c r="BE69" s="13">
        <f>BD69*VLOOKUP('Données projet'!$B$11,Paramètres!$A$1:$I$89,3,0)*VLOOKUP('Données projet'!$B$11,Paramètres!$A$1:$I$89,5,0)</f>
        <v>151.78799999999998</v>
      </c>
      <c r="BF69" s="13">
        <f t="shared" ref="BF69:BF132" si="91">EXP(-1.0587+0.8836*LN(BE69)+0.284)</f>
        <v>38.984634390835623</v>
      </c>
      <c r="BG69" s="20">
        <f t="shared" si="61"/>
        <v>332.26233823070532</v>
      </c>
      <c r="BH69" s="59">
        <f t="shared" si="62"/>
        <v>596.71539734789235</v>
      </c>
      <c r="BI69" s="59">
        <f ca="1">AVERAGE(OFFSET($BH$3,0,0,'Données projet'!$E$11+1,1))-AVERAGE(OFFSET($H$3,0,0,'Données projet'!$E$11+1,1))</f>
        <v>215.37314197175104</v>
      </c>
      <c r="BJ69" s="59">
        <f t="shared" ref="BJ69:BJ132" si="92">$BJ$3</f>
        <v>361.17630426655978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17.993174936330494</v>
      </c>
      <c r="BQ69" s="21">
        <f>EXP(-LN(2)/25)*BQ68+(1-EXP(-LN(2)/25))/(LN(2)/25)*Calculateur!BL69*Calculateur!BN69*VLOOKUP('Données projet'!$B$11,Paramètres!$A$1:$I$89,3,0)*0.475*44/12</f>
        <v>35.397745834310648</v>
      </c>
      <c r="BR69" s="21">
        <f>EXP(-LN(2)/2)*BR68+(1-EXP(-LN(2)/2))/(LN(2)/2)*BL69*BO69*VLOOKUP('Données projet'!$B$11,Paramètres!$A$1:$I$89,3,0)*0.475*44/12</f>
        <v>9.6724745060790008E-8</v>
      </c>
      <c r="BS69" s="22">
        <f t="shared" si="63"/>
        <v>53.390920867365892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0.8600000000003547</v>
      </c>
      <c r="BZ69" s="13">
        <f>BY69*VLOOKUP('Données projet'!$B$12,Paramètres!$A$1:$I$89,3,0)*VLOOKUP('Données projet'!$B$12,Paramètres!$A$1:$I$89,5,0)</f>
        <v>0.48074000000019829</v>
      </c>
      <c r="CA69" s="13">
        <f t="shared" ref="CA69:CA132" si="93">EXP(-1.0587+0.8836*LN(BZ69)+0.284)</f>
        <v>0.24126147010950588</v>
      </c>
      <c r="CB69" s="20">
        <f t="shared" si="64"/>
        <v>1.2574858937744013</v>
      </c>
      <c r="CC69" s="59">
        <f t="shared" si="65"/>
        <v>265.71054501096148</v>
      </c>
      <c r="CD69" s="59">
        <f ca="1">AVERAGE(OFFSET($CC$3,0,0,'Données projet'!$E$12+1,1))-AVERAGE(OFFSET($H$3,0,0,'Données projet'!$E$12+1,1))</f>
        <v>420.4890915162182</v>
      </c>
      <c r="CE69" s="59">
        <f t="shared" ref="CE69:CE132" si="94">$CE$3</f>
        <v>553.48432338023565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299.01163253012561</v>
      </c>
      <c r="CL69" s="21">
        <f>EXP(-LN(2)/25)*CL68+(1-EXP(-LN(2)/25))/(LN(2)/25)*Calculateur!CG69*Calculateur!CI69*VLOOKUP('Données projet'!$B$12,Paramètres!$A$1:$I$89,3,0)*0.475*44/12</f>
        <v>18.638917227728939</v>
      </c>
      <c r="CM69" s="21">
        <f>EXP(-LN(2)/2)*CM68+(1-EXP(-LN(2)/2))/(LN(2)/2)*CG69*CJ69*VLOOKUP('Données projet'!$B$12,Paramètres!$A$1:$I$89,3,0)*0.475*44/12</f>
        <v>2.8225728189957128E-6</v>
      </c>
      <c r="CN69" s="22">
        <f t="shared" si="66"/>
        <v>317.65055258042736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345.1999999999997</v>
      </c>
      <c r="CU69" s="17">
        <f>CT69*VLOOKUP('Données projet'!$B$13,Paramètres!$A$1:$I$89,3,0)*VLOOKUP('Données projet'!$B$13,Paramètres!$A$1:$I$89,5,0)</f>
        <v>253.1006399999998</v>
      </c>
      <c r="CV69" s="13">
        <f t="shared" ref="CV69:CV132" si="95">EXP(-1.0587+0.8836*LN(CU69)+0.284)</f>
        <v>61.249419177028884</v>
      </c>
      <c r="CW69" s="20">
        <f t="shared" si="67"/>
        <v>547.4930197333249</v>
      </c>
      <c r="CX69" s="59">
        <f t="shared" si="68"/>
        <v>811.94607885051198</v>
      </c>
      <c r="CY69" s="59">
        <f ca="1">AVERAGE(OFFSET($CX$3,0,0,'Données projet'!$E$13+1,1))-AVERAGE(OFFSET($H$3,0,0,'Données projet'!$E$13+1,1))</f>
        <v>400.48995908576177</v>
      </c>
      <c r="CZ69" s="59">
        <f t="shared" ref="CZ69:CZ132" si="96">$CZ$3</f>
        <v>384.86917865380076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43.336735431330439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43.336735431330439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5.2</v>
      </c>
      <c r="DO69" s="12">
        <f>IF('Données projet'!$A$166&gt;35,DO68+DN69-DW68,IF(A69&lt;'Données projet'!$A$166,$DL$205^A69,IF(A69='Données projet'!$A$166,'Données projet'!$B$166,DO68+DN69-DW68)))</f>
        <v>345.1999999999997</v>
      </c>
      <c r="DP69" s="17">
        <f>DO69*VLOOKUP('Données projet'!$B$14,Paramètres!$A$1:$I$89,3,0)*VLOOKUP('Données projet'!$B$14,Paramètres!$A$1:$I$89,5,0)</f>
        <v>274.64111999999977</v>
      </c>
      <c r="DQ69" s="13">
        <f t="shared" ref="DQ69:DQ132" si="97">EXP(-1.0587+0.8836*LN(DP69)+0.284)</f>
        <v>65.833252956609641</v>
      </c>
      <c r="DR69" s="20">
        <f t="shared" si="70"/>
        <v>592.99286623276123</v>
      </c>
      <c r="DS69" s="59">
        <f t="shared" si="71"/>
        <v>857.44592534994831</v>
      </c>
      <c r="DT69" s="59">
        <f ca="1">AVERAGE(OFFSET($DS$3,0,0,'Données projet'!$E$14+1,1))-AVERAGE(OFFSET($H$3,0,0,'Données projet'!$E$14+1,1))</f>
        <v>429.30603040255431</v>
      </c>
      <c r="DU69" s="59">
        <f t="shared" ref="DU69:DU132" si="98">$DU$3</f>
        <v>412.18613903804726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57.961007358182179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57.961007358182179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5.5555555555555554</v>
      </c>
      <c r="EJ69" s="12">
        <f>IF('Données projet'!$A$192&gt;35,EJ68+EI69-ER68,IF(A69&lt;'Données projet'!$A$192,$EG$205^A69,IF(A69='Données projet'!$A$192,'Données projet'!$B$192,EJ68+EI69-ER68)))</f>
        <v>193.58974358974351</v>
      </c>
      <c r="EK69" s="17">
        <f>EJ69*VLOOKUP('Données projet'!$B$15,Paramètres!$A$1:$I$89,3,0)*VLOOKUP('Données projet'!$B$15,Paramètres!$A$1:$I$89,5,0)</f>
        <v>150.99999999999994</v>
      </c>
      <c r="EL69" s="13">
        <f t="shared" ref="EL69:EL132" si="99">EXP(-1.0587+0.8836*LN(EK69)+0.284)</f>
        <v>38.805751252807752</v>
      </c>
      <c r="EM69" s="20">
        <f t="shared" si="73"/>
        <v>330.57835009864004</v>
      </c>
      <c r="EN69" s="59">
        <f t="shared" si="74"/>
        <v>595.03140921582713</v>
      </c>
      <c r="EO69" s="59">
        <f ca="1">AVERAGE(OFFSET($EN$3,0,0,'Données projet'!$E$15+1,1))-AVERAGE(OFFSET($H$3,0,0,'Données projet'!$E$15+1,1))</f>
        <v>217.53602321474159</v>
      </c>
      <c r="EP69" s="59">
        <f t="shared" ref="EP69:EP132" si="100">$EP$3</f>
        <v>215.75909414893025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34.271872833524263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34.271872833524263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11.28875</v>
      </c>
      <c r="FE69" s="12">
        <f>IF('Données projet'!$A$218&gt;35,FE68+FD69-FM68,IF(A69&lt;'Données projet'!$A$218,$FB$205^A69,IF(A69='Données projet'!$A$218,'Données projet'!$B$218,FE68+FD69-FM68)))</f>
        <v>292.24624999999997</v>
      </c>
      <c r="FF69" s="17">
        <f>FE69*VLOOKUP('Données projet'!$B$16,Paramètres!$A$1:$I$89,3,0)*VLOOKUP('Données projet'!$B$16,Paramètres!$A$1:$I$89,5,0)</f>
        <v>196.03878449999999</v>
      </c>
      <c r="FG69" s="13">
        <f t="shared" ref="FG69:FG132" si="101">EXP(-1.0587+0.8836*LN(FF69)+0.284)</f>
        <v>48.872601476766818</v>
      </c>
      <c r="FH69" s="20">
        <f t="shared" si="76"/>
        <v>426.55399724286889</v>
      </c>
      <c r="FI69" s="59">
        <f t="shared" si="77"/>
        <v>691.00705636005591</v>
      </c>
      <c r="FJ69" s="59">
        <f ca="1">AVERAGE(OFFSET($FI$3,0,0,'Données projet'!$E$16+1,1))-AVERAGE(OFFSET($H$3,0,0,'Données projet'!$E$16+1,1))</f>
        <v>441.20130048888439</v>
      </c>
      <c r="FK69" s="59">
        <f t="shared" ref="FK69:FK132" si="102">$FK$3</f>
        <v>237.47732532183946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81.461442098058029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81.461442098058029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4.4000000000000004</v>
      </c>
      <c r="FZ69" s="12">
        <f>IF('Données projet'!$A$244&gt;35,FZ68+FY69-GH68,IF(A69&lt;'Données projet'!$A$244,$FW$205^A69,IF(A69='Données projet'!$A$244,'Données projet'!$B$244,FZ68+FY69-GH68)))</f>
        <v>187.40000000000009</v>
      </c>
      <c r="GA69" s="17">
        <f>FZ69*VLOOKUP('Données projet'!$B$17,Paramètres!$A$1:$I$89,3,0)*VLOOKUP('Données projet'!$B$17,Paramètres!$A$1:$I$89,5,0)</f>
        <v>122.78448000000007</v>
      </c>
      <c r="GB69" s="13">
        <f t="shared" ref="GB69:GB132" si="103">EXP(-1.0587+0.8836*LN(GA69)+0.284)</f>
        <v>32.323563966100259</v>
      </c>
      <c r="GC69" s="20">
        <f t="shared" si="79"/>
        <v>270.1465099076247</v>
      </c>
      <c r="GD69" s="59">
        <f t="shared" si="80"/>
        <v>534.59956902481179</v>
      </c>
      <c r="GE69" s="59">
        <f ca="1">AVERAGE(OFFSET($GD$3,0,0,'Données projet'!$E$17+1,1))-AVERAGE(OFFSET($H$3,0,0,'Données projet'!$E$17+1,1))</f>
        <v>257.66104339896992</v>
      </c>
      <c r="GF69" s="59">
        <f t="shared" ref="GF69:GF132" si="104">$GF$3</f>
        <v>254.79488636184996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32.679500715394475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32.679500715394475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4.8</v>
      </c>
      <c r="GU69" s="12">
        <f>IF('Données projet'!$A$270&gt;35,GU68+GT69-HC68,IF(A69&lt;'Données projet'!$A$270,$GR$205^A69,IF(A69='Données projet'!$A$270,'Données projet'!$B$270,GU68+GT69-HC68)))</f>
        <v>198.8000000000001</v>
      </c>
      <c r="GV69" s="17">
        <f>GU69*VLOOKUP('Données projet'!$B$18,Paramètres!$A$1:$I$89,3,0)*VLOOKUP('Données projet'!$B$18,Paramètres!$A$1:$I$89,5,0)</f>
        <v>161.26656000000008</v>
      </c>
      <c r="GW69" s="13">
        <f t="shared" ref="GW69:GW132" si="105">EXP(-1.0587+0.8836*LN(GV69)+0.284)</f>
        <v>41.128060321982552</v>
      </c>
      <c r="GX69" s="20">
        <f t="shared" si="82"/>
        <v>352.50396372745308</v>
      </c>
      <c r="GY69" s="59">
        <f t="shared" si="83"/>
        <v>616.95702284464016</v>
      </c>
      <c r="GZ69" s="59">
        <f ca="1">AVERAGE(OFFSET($GY$3,0,0,'Données projet'!$E$18+1,1))-AVERAGE(OFFSET($H$3,0,0,'Données projet'!$E$18+1,1))</f>
        <v>299.98377156721153</v>
      </c>
      <c r="HA69" s="59">
        <f t="shared" ref="HA69:HA132" si="106">$HA$3</f>
        <v>241.36164657721102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27.421899314004268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27.421899314004268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11.28875</v>
      </c>
      <c r="N70" s="13">
        <f>IF('Données projet'!$A$36&gt;35,N69+M70-V69,IF(A70&lt;'Données projet'!$A$36,$K$205^A70,IF(A70='Données projet'!$A$36,'Données projet'!$B$36,N69+M70-V69)))</f>
        <v>303.53499999999997</v>
      </c>
      <c r="O70" s="13">
        <f>N70*VLOOKUP('Données projet'!$B$9,Paramètres!$A$1:$I$89,3,0)*VLOOKUP('Données projet'!$B$9,Paramètres!$A$1:$I$89,5,0)</f>
        <v>274.63846799999993</v>
      </c>
      <c r="P70" s="13">
        <f t="shared" si="87"/>
        <v>65.832691250400728</v>
      </c>
      <c r="Q70" s="20">
        <f t="shared" si="54"/>
        <v>592.98726902778117</v>
      </c>
      <c r="R70" s="59">
        <f t="shared" si="55"/>
        <v>857.94133633599813</v>
      </c>
      <c r="S70" s="59">
        <f ca="1">AVERAGE(OFFSET($R$3,0,0,'Données projet'!$E$9+1,1))-AVERAGE(OFFSET($H$3,0,0,'Données projet'!$E$9+1,1))</f>
        <v>567.42635821507474</v>
      </c>
      <c r="T70" s="59">
        <f t="shared" si="88"/>
        <v>299.04735309930152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87.398375631983811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87.398375631983811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</v>
      </c>
      <c r="AI70" s="13">
        <f>IF('Données projet'!$A$62&gt;35,AI69+AH70-AQ69,IF(A70&lt;'Données projet'!$A$62,$AF$205^A70,IF(A70='Données projet'!$A$62,'Données projet'!$B$62,AI69+AH70-AQ69)))</f>
        <v>351.59999999999997</v>
      </c>
      <c r="AJ70" s="13">
        <f>AI70*VLOOKUP('Données projet'!$B$10,Paramètres!$A$1:$I$89,3,0)*VLOOKUP('Données projet'!$B$10,Paramètres!$A$1:$I$89,5,0)</f>
        <v>301.6728</v>
      </c>
      <c r="AK70" s="13">
        <f t="shared" si="89"/>
        <v>71.527033039285058</v>
      </c>
      <c r="AL70" s="20">
        <f t="shared" si="58"/>
        <v>649.98970921008811</v>
      </c>
      <c r="AM70" s="59">
        <f t="shared" si="59"/>
        <v>914.94377651830496</v>
      </c>
      <c r="AN70" s="59">
        <f ca="1">AVERAGE(OFFSET($AM$3,0,0,'Données projet'!$E$10+1,1))-AVERAGE(OFFSET($H$3,0,0,'Données projet'!$E$10+1,1))</f>
        <v>569.97793593332699</v>
      </c>
      <c r="AO70" s="59">
        <f t="shared" si="90"/>
        <v>331.25104323342907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89.689976071563521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89.689976071563521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277.99999999999994</v>
      </c>
      <c r="BE70" s="13">
        <f>BD70*VLOOKUP('Données projet'!$B$11,Paramètres!$A$1:$I$89,3,0)*VLOOKUP('Données projet'!$B$11,Paramètres!$A$1:$I$89,5,0)</f>
        <v>151.78799999999998</v>
      </c>
      <c r="BF70" s="13">
        <f t="shared" si="91"/>
        <v>38.984634390835623</v>
      </c>
      <c r="BG70" s="20">
        <f t="shared" si="61"/>
        <v>332.26233823070532</v>
      </c>
      <c r="BH70" s="59">
        <f t="shared" si="62"/>
        <v>597.21640553892223</v>
      </c>
      <c r="BI70" s="59">
        <f ca="1">AVERAGE(OFFSET($BH$3,0,0,'Données projet'!$E$11+1,1))-AVERAGE(OFFSET($H$3,0,0,'Données projet'!$E$11+1,1))</f>
        <v>215.37314197175104</v>
      </c>
      <c r="BJ70" s="59">
        <f t="shared" si="92"/>
        <v>361.17630426655978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17.640339750582097</v>
      </c>
      <c r="BQ70" s="21">
        <f>EXP(-LN(2)/25)*BQ69+(1-EXP(-LN(2)/25))/(LN(2)/25)*Calculateur!BL70*Calculateur!BN70*VLOOKUP('Données projet'!$B$11,Paramètres!$A$1:$I$89,3,0)*0.475*44/12</f>
        <v>34.429792612984869</v>
      </c>
      <c r="BR70" s="21">
        <f>EXP(-LN(2)/2)*BR69+(1-EXP(-LN(2)/2))/(LN(2)/2)*BL70*BO70*VLOOKUP('Données projet'!$B$11,Paramètres!$A$1:$I$89,3,0)*0.475*44/12</f>
        <v>6.8394723141024632E-8</v>
      </c>
      <c r="BS70" s="22">
        <f t="shared" si="63"/>
        <v>52.070132431961696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0.8600000000003547</v>
      </c>
      <c r="BZ70" s="13">
        <f>BY70*VLOOKUP('Données projet'!$B$12,Paramètres!$A$1:$I$89,3,0)*VLOOKUP('Données projet'!$B$12,Paramètres!$A$1:$I$89,5,0)</f>
        <v>0.48074000000019829</v>
      </c>
      <c r="CA70" s="13">
        <f t="shared" si="93"/>
        <v>0.24126147010950588</v>
      </c>
      <c r="CB70" s="20">
        <f t="shared" si="64"/>
        <v>1.2574858937744013</v>
      </c>
      <c r="CC70" s="59">
        <f t="shared" si="65"/>
        <v>266.21155320199131</v>
      </c>
      <c r="CD70" s="59">
        <f ca="1">AVERAGE(OFFSET($CC$3,0,0,'Données projet'!$E$12+1,1))-AVERAGE(OFFSET($H$3,0,0,'Données projet'!$E$12+1,1))</f>
        <v>420.4890915162182</v>
      </c>
      <c r="CE70" s="59">
        <f t="shared" si="94"/>
        <v>553.48432338023565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293.14819679529722</v>
      </c>
      <c r="CL70" s="21">
        <f>EXP(-LN(2)/25)*CL69+(1-EXP(-LN(2)/25))/(LN(2)/25)*Calculateur!CG70*Calculateur!CI70*VLOOKUP('Données projet'!$B$12,Paramètres!$A$1:$I$89,3,0)*0.475*44/12</f>
        <v>18.129235055958635</v>
      </c>
      <c r="CM70" s="21">
        <f>EXP(-LN(2)/2)*CM69+(1-EXP(-LN(2)/2))/(LN(2)/2)*CG70*CJ70*VLOOKUP('Données projet'!$B$12,Paramètres!$A$1:$I$89,3,0)*0.475*44/12</f>
        <v>1.995860380704698E-6</v>
      </c>
      <c r="CN70" s="22">
        <f t="shared" si="66"/>
        <v>311.27743384711624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350.39999999999969</v>
      </c>
      <c r="CU70" s="17">
        <f>CT70*VLOOKUP('Données projet'!$B$13,Paramètres!$A$1:$I$89,3,0)*VLOOKUP('Données projet'!$B$13,Paramètres!$A$1:$I$89,5,0)</f>
        <v>256.91327999999976</v>
      </c>
      <c r="CV70" s="13">
        <f t="shared" si="95"/>
        <v>62.063957347667916</v>
      </c>
      <c r="CW70" s="20">
        <f t="shared" si="67"/>
        <v>555.55202171385451</v>
      </c>
      <c r="CX70" s="59">
        <f t="shared" si="68"/>
        <v>820.50608902207136</v>
      </c>
      <c r="CY70" s="59">
        <f ca="1">AVERAGE(OFFSET($CX$3,0,0,'Données projet'!$E$13+1,1))-AVERAGE(OFFSET($H$3,0,0,'Données projet'!$E$13+1,1))</f>
        <v>400.48995908576177</v>
      </c>
      <c r="CZ70" s="59">
        <f t="shared" si="96"/>
        <v>384.86917865380076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42.486928482320643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42.486928482320643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5.2</v>
      </c>
      <c r="DO70" s="12">
        <f>IF('Données projet'!$A$166&gt;35,DO69+DN70-DW69,IF(A70&lt;'Données projet'!$A$166,$DL$205^A70,IF(A70='Données projet'!$A$166,'Données projet'!$B$166,DO69+DN70-DW69)))</f>
        <v>350.39999999999969</v>
      </c>
      <c r="DP70" s="17">
        <f>DO70*VLOOKUP('Données projet'!$B$14,Paramètres!$A$1:$I$89,3,0)*VLOOKUP('Données projet'!$B$14,Paramètres!$A$1:$I$89,5,0)</f>
        <v>278.77823999999976</v>
      </c>
      <c r="DQ70" s="13">
        <f t="shared" si="97"/>
        <v>66.70875019643654</v>
      </c>
      <c r="DR70" s="20">
        <f t="shared" si="70"/>
        <v>601.7231745921265</v>
      </c>
      <c r="DS70" s="59">
        <f t="shared" si="71"/>
        <v>866.67724190034346</v>
      </c>
      <c r="DT70" s="59">
        <f ca="1">AVERAGE(OFFSET($DS$3,0,0,'Données projet'!$E$14+1,1))-AVERAGE(OFFSET($H$3,0,0,'Données projet'!$E$14+1,1))</f>
        <v>429.30603040255431</v>
      </c>
      <c r="DU70" s="59">
        <f t="shared" si="98"/>
        <v>412.18613903804726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56.82442735661192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56.82442735661192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5.5555555555555554</v>
      </c>
      <c r="EJ70" s="12">
        <f>IF('Données projet'!$A$192&gt;35,EJ69+EI70-ER69,IF(A70&lt;'Données projet'!$A$192,$EG$205^A70,IF(A70='Données projet'!$A$192,'Données projet'!$B$192,EJ69+EI70-ER69)))</f>
        <v>199.14529914529905</v>
      </c>
      <c r="EK70" s="17">
        <f>EJ70*VLOOKUP('Données projet'!$B$15,Paramètres!$A$1:$I$89,3,0)*VLOOKUP('Données projet'!$B$15,Paramètres!$A$1:$I$89,5,0)</f>
        <v>155.33333333333326</v>
      </c>
      <c r="EL70" s="13">
        <f t="shared" si="99"/>
        <v>39.788129261718112</v>
      </c>
      <c r="EM70" s="20">
        <f t="shared" si="73"/>
        <v>339.83654735304776</v>
      </c>
      <c r="EN70" s="59">
        <f t="shared" si="74"/>
        <v>604.79061466126473</v>
      </c>
      <c r="EO70" s="59">
        <f ca="1">AVERAGE(OFFSET($EN$3,0,0,'Données projet'!$E$15+1,1))-AVERAGE(OFFSET($H$3,0,0,'Données projet'!$E$15+1,1))</f>
        <v>217.53602321474159</v>
      </c>
      <c r="EP70" s="59">
        <f t="shared" si="100"/>
        <v>215.75909414893025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33.599822311037201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33.599822311037201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11.28875</v>
      </c>
      <c r="FE70" s="12">
        <f>IF('Données projet'!$A$218&gt;35,FE69+FD70-FM69,IF(A70&lt;'Données projet'!$A$218,$FB$205^A70,IF(A70='Données projet'!$A$218,'Données projet'!$B$218,FE69+FD70-FM69)))</f>
        <v>303.53499999999997</v>
      </c>
      <c r="FF70" s="17">
        <f>FE70*VLOOKUP('Données projet'!$B$16,Paramètres!$A$1:$I$89,3,0)*VLOOKUP('Données projet'!$B$16,Paramètres!$A$1:$I$89,5,0)</f>
        <v>203.611278</v>
      </c>
      <c r="FG70" s="13">
        <f t="shared" si="101"/>
        <v>50.536988846507398</v>
      </c>
      <c r="FH70" s="20">
        <f t="shared" si="76"/>
        <v>442.64156475766708</v>
      </c>
      <c r="FI70" s="59">
        <f t="shared" si="77"/>
        <v>707.59563206588405</v>
      </c>
      <c r="FJ70" s="59">
        <f ca="1">AVERAGE(OFFSET($FI$3,0,0,'Données projet'!$E$16+1,1))-AVERAGE(OFFSET($H$3,0,0,'Données projet'!$E$16+1,1))</f>
        <v>441.20130048888439</v>
      </c>
      <c r="FK70" s="59">
        <f t="shared" si="102"/>
        <v>237.47732532183946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79.864032905088649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79.864032905088649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4.4000000000000004</v>
      </c>
      <c r="FZ70" s="12">
        <f>IF('Données projet'!$A$244&gt;35,FZ69+FY70-GH69,IF(A70&lt;'Données projet'!$A$244,$FW$205^A70,IF(A70='Données projet'!$A$244,'Données projet'!$B$244,FZ69+FY70-GH69)))</f>
        <v>191.8000000000001</v>
      </c>
      <c r="GA70" s="17">
        <f>FZ70*VLOOKUP('Données projet'!$B$17,Paramètres!$A$1:$I$89,3,0)*VLOOKUP('Données projet'!$B$17,Paramètres!$A$1:$I$89,5,0)</f>
        <v>125.66736000000007</v>
      </c>
      <c r="GB70" s="13">
        <f t="shared" si="103"/>
        <v>32.993247007291167</v>
      </c>
      <c r="GC70" s="20">
        <f t="shared" si="79"/>
        <v>276.33389053769889</v>
      </c>
      <c r="GD70" s="59">
        <f t="shared" si="80"/>
        <v>541.2879578459158</v>
      </c>
      <c r="GE70" s="59">
        <f ca="1">AVERAGE(OFFSET($GD$3,0,0,'Données projet'!$E$17+1,1))-AVERAGE(OFFSET($H$3,0,0,'Données projet'!$E$17+1,1))</f>
        <v>257.66104339896992</v>
      </c>
      <c r="GF70" s="59">
        <f t="shared" si="104"/>
        <v>254.79488636184996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32.038675638892855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32.038675638892855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4.8</v>
      </c>
      <c r="GU70" s="12">
        <f>IF('Données projet'!$A$270&gt;35,GU69+GT70-HC69,IF(A70&lt;'Données projet'!$A$270,$GR$205^A70,IF(A70='Données projet'!$A$270,'Données projet'!$B$270,GU69+GT70-HC69)))</f>
        <v>203.60000000000011</v>
      </c>
      <c r="GV70" s="17">
        <f>GU70*VLOOKUP('Données projet'!$B$18,Paramètres!$A$1:$I$89,3,0)*VLOOKUP('Données projet'!$B$18,Paramètres!$A$1:$I$89,5,0)</f>
        <v>165.1603200000001</v>
      </c>
      <c r="GW70" s="13">
        <f t="shared" si="105"/>
        <v>42.004281006119641</v>
      </c>
      <c r="GX70" s="20">
        <f t="shared" si="82"/>
        <v>360.81168008565851</v>
      </c>
      <c r="GY70" s="59">
        <f t="shared" si="83"/>
        <v>625.76574739387547</v>
      </c>
      <c r="GZ70" s="59">
        <f ca="1">AVERAGE(OFFSET($GY$3,0,0,'Données projet'!$E$18+1,1))-AVERAGE(OFFSET($H$3,0,0,'Données projet'!$E$18+1,1))</f>
        <v>299.98377156721153</v>
      </c>
      <c r="HA70" s="59">
        <f t="shared" si="106"/>
        <v>241.36164657721102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26.884172594163701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26.884172594163701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11.28875</v>
      </c>
      <c r="N71" s="13">
        <f>IF('Données projet'!$A$36&gt;35,N70+M71-V70,IF(A71&lt;'Données projet'!$A$36,$K$205^A71,IF(A71='Données projet'!$A$36,'Données projet'!$B$36,N70+M71-V70)))</f>
        <v>314.82374999999996</v>
      </c>
      <c r="O71" s="13">
        <f>N71*VLOOKUP('Données projet'!$B$9,Paramètres!$A$1:$I$89,3,0)*VLOOKUP('Données projet'!$B$9,Paramètres!$A$1:$I$89,5,0)</f>
        <v>284.85252899999995</v>
      </c>
      <c r="P71" s="13">
        <f t="shared" si="87"/>
        <v>67.991460031008771</v>
      </c>
      <c r="Q71" s="20">
        <f t="shared" si="54"/>
        <v>614.53661422900689</v>
      </c>
      <c r="R71" s="59">
        <f t="shared" si="55"/>
        <v>879.98299835622572</v>
      </c>
      <c r="S71" s="59">
        <f ca="1">AVERAGE(OFFSET($R$3,0,0,'Données projet'!$E$9+1,1))-AVERAGE(OFFSET($H$3,0,0,'Données projet'!$E$9+1,1))</f>
        <v>567.42635821507474</v>
      </c>
      <c r="T71" s="59">
        <f t="shared" si="88"/>
        <v>299.04735309930152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85.684546793586037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85.684546793586037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</v>
      </c>
      <c r="AI71" s="13">
        <f>IF('Données projet'!$A$62&gt;35,AI70+AH71-AQ70,IF(A71&lt;'Données projet'!$A$62,$AF$205^A71,IF(A71='Données projet'!$A$62,'Données projet'!$B$62,AI70+AH71-AQ70)))</f>
        <v>363.4</v>
      </c>
      <c r="AJ71" s="13">
        <f>AI71*VLOOKUP('Données projet'!$B$10,Paramètres!$A$1:$I$89,3,0)*VLOOKUP('Données projet'!$B$10,Paramètres!$A$1:$I$89,5,0)</f>
        <v>311.79720000000003</v>
      </c>
      <c r="AK71" s="13">
        <f t="shared" si="89"/>
        <v>73.644030695714719</v>
      </c>
      <c r="AL71" s="20">
        <f t="shared" si="58"/>
        <v>671.31014346170321</v>
      </c>
      <c r="AM71" s="59">
        <f t="shared" si="59"/>
        <v>936.75652758892204</v>
      </c>
      <c r="AN71" s="59">
        <f ca="1">AVERAGE(OFFSET($AM$3,0,0,'Données projet'!$E$10+1,1))-AVERAGE(OFFSET($H$3,0,0,'Données projet'!$E$10+1,1))</f>
        <v>569.97793593332699</v>
      </c>
      <c r="AO71" s="59">
        <f t="shared" si="90"/>
        <v>331.25104323342907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87.931210346283848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87.931210346283848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277.99999999999994</v>
      </c>
      <c r="BE71" s="13">
        <f>BD71*VLOOKUP('Données projet'!$B$11,Paramètres!$A$1:$I$89,3,0)*VLOOKUP('Données projet'!$B$11,Paramètres!$A$1:$I$89,5,0)</f>
        <v>151.78799999999998</v>
      </c>
      <c r="BF71" s="13">
        <f t="shared" si="91"/>
        <v>38.984634390835623</v>
      </c>
      <c r="BG71" s="20">
        <f t="shared" si="61"/>
        <v>332.26233823070532</v>
      </c>
      <c r="BH71" s="59">
        <f t="shared" si="62"/>
        <v>597.70872235792422</v>
      </c>
      <c r="BI71" s="59">
        <f ca="1">AVERAGE(OFFSET($BH$3,0,0,'Données projet'!$E$11+1,1))-AVERAGE(OFFSET($H$3,0,0,'Données projet'!$E$11+1,1))</f>
        <v>215.37314197175104</v>
      </c>
      <c r="BJ71" s="59">
        <f t="shared" si="92"/>
        <v>361.17630426655978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17.294423447618012</v>
      </c>
      <c r="BQ71" s="21">
        <f>EXP(-LN(2)/25)*BQ70+(1-EXP(-LN(2)/25))/(LN(2)/25)*Calculateur!BL71*Calculateur!BN71*VLOOKUP('Données projet'!$B$11,Paramètres!$A$1:$I$89,3,0)*0.475*44/12</f>
        <v>33.488308123398696</v>
      </c>
      <c r="BR71" s="21">
        <f>EXP(-LN(2)/2)*BR70+(1-EXP(-LN(2)/2))/(LN(2)/2)*BL71*BO71*VLOOKUP('Données projet'!$B$11,Paramètres!$A$1:$I$89,3,0)*0.475*44/12</f>
        <v>4.8362372530395004E-8</v>
      </c>
      <c r="BS71" s="22">
        <f t="shared" si="63"/>
        <v>50.782731619379085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0.8600000000003547</v>
      </c>
      <c r="BZ71" s="13">
        <f>BY71*VLOOKUP('Données projet'!$B$12,Paramètres!$A$1:$I$89,3,0)*VLOOKUP('Données projet'!$B$12,Paramètres!$A$1:$I$89,5,0)</f>
        <v>0.48074000000019829</v>
      </c>
      <c r="CA71" s="13">
        <f t="shared" si="93"/>
        <v>0.24126147010950588</v>
      </c>
      <c r="CB71" s="20">
        <f t="shared" si="64"/>
        <v>1.2574858937744013</v>
      </c>
      <c r="CC71" s="59">
        <f t="shared" si="65"/>
        <v>266.70387002099324</v>
      </c>
      <c r="CD71" s="59">
        <f ca="1">AVERAGE(OFFSET($CC$3,0,0,'Données projet'!$E$12+1,1))-AVERAGE(OFFSET($H$3,0,0,'Données projet'!$E$12+1,1))</f>
        <v>420.4890915162182</v>
      </c>
      <c r="CE71" s="59">
        <f t="shared" si="94"/>
        <v>553.48432338023565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287.39973945888619</v>
      </c>
      <c r="CL71" s="21">
        <f>EXP(-LN(2)/25)*CL70+(1-EXP(-LN(2)/25))/(LN(2)/25)*Calculateur!CG71*Calculateur!CI71*VLOOKUP('Données projet'!$B$12,Paramètres!$A$1:$I$89,3,0)*0.475*44/12</f>
        <v>17.633490169978408</v>
      </c>
      <c r="CM71" s="21">
        <f>EXP(-LN(2)/2)*CM70+(1-EXP(-LN(2)/2))/(LN(2)/2)*CG71*CJ71*VLOOKUP('Données projet'!$B$12,Paramètres!$A$1:$I$89,3,0)*0.475*44/12</f>
        <v>1.4112864094978564E-6</v>
      </c>
      <c r="CN71" s="22">
        <f t="shared" si="66"/>
        <v>305.03323104015101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355.59999999999968</v>
      </c>
      <c r="CU71" s="17">
        <f>CT71*VLOOKUP('Données projet'!$B$13,Paramètres!$A$1:$I$89,3,0)*VLOOKUP('Données projet'!$B$13,Paramètres!$A$1:$I$89,5,0)</f>
        <v>260.72591999999975</v>
      </c>
      <c r="CV71" s="13">
        <f t="shared" si="95"/>
        <v>62.877089647292053</v>
      </c>
      <c r="CW71" s="20">
        <f t="shared" si="67"/>
        <v>563.60857513569988</v>
      </c>
      <c r="CX71" s="59">
        <f t="shared" si="68"/>
        <v>829.05495926291871</v>
      </c>
      <c r="CY71" s="59">
        <f ca="1">AVERAGE(OFFSET($CX$3,0,0,'Données projet'!$E$13+1,1))-AVERAGE(OFFSET($H$3,0,0,'Données projet'!$E$13+1,1))</f>
        <v>400.48995908576177</v>
      </c>
      <c r="CZ71" s="59">
        <f t="shared" si="96"/>
        <v>384.86917865380076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41.653785729249869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41.653785729249869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5.2</v>
      </c>
      <c r="DO71" s="12">
        <f>IF('Données projet'!$A$166&gt;35,DO70+DN71-DW70,IF(A71&lt;'Données projet'!$A$166,$DL$205^A71,IF(A71='Données projet'!$A$166,'Données projet'!$B$166,DO70+DN71-DW70)))</f>
        <v>355.59999999999968</v>
      </c>
      <c r="DP71" s="17">
        <f>DO71*VLOOKUP('Données projet'!$B$14,Paramètres!$A$1:$I$89,3,0)*VLOOKUP('Données projet'!$B$14,Paramètres!$A$1:$I$89,5,0)</f>
        <v>282.91535999999979</v>
      </c>
      <c r="DQ71" s="13">
        <f t="shared" si="97"/>
        <v>67.582736351531807</v>
      </c>
      <c r="DR71" s="20">
        <f t="shared" si="70"/>
        <v>610.45085114558412</v>
      </c>
      <c r="DS71" s="59">
        <f t="shared" si="71"/>
        <v>875.89723527280296</v>
      </c>
      <c r="DT71" s="59">
        <f ca="1">AVERAGE(OFFSET($DS$3,0,0,'Données projet'!$E$14+1,1))-AVERAGE(OFFSET($H$3,0,0,'Données projet'!$E$14+1,1))</f>
        <v>429.30603040255431</v>
      </c>
      <c r="DU71" s="59">
        <f t="shared" si="98"/>
        <v>412.18613903804726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55.710134995627108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55.710134995627108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5.5555555555555554</v>
      </c>
      <c r="EJ71" s="12">
        <f>IF('Données projet'!$A$192&gt;35,EJ70+EI71-ER70,IF(A71&lt;'Données projet'!$A$192,$EG$205^A71,IF(A71='Données projet'!$A$192,'Données projet'!$B$192,EJ70+EI71-ER70)))</f>
        <v>204.70085470085459</v>
      </c>
      <c r="EK71" s="17">
        <f>EJ71*VLOOKUP('Données projet'!$B$15,Paramètres!$A$1:$I$89,3,0)*VLOOKUP('Données projet'!$B$15,Paramètres!$A$1:$I$89,5,0)</f>
        <v>159.6666666666666</v>
      </c>
      <c r="EL71" s="13">
        <f t="shared" si="99"/>
        <v>40.767322019750679</v>
      </c>
      <c r="EM71" s="20">
        <f t="shared" si="73"/>
        <v>349.08919696217669</v>
      </c>
      <c r="EN71" s="59">
        <f t="shared" si="74"/>
        <v>614.53558108939546</v>
      </c>
      <c r="EO71" s="59">
        <f ca="1">AVERAGE(OFFSET($EN$3,0,0,'Données projet'!$E$15+1,1))-AVERAGE(OFFSET($H$3,0,0,'Données projet'!$E$15+1,1))</f>
        <v>217.53602321474159</v>
      </c>
      <c r="EP71" s="59">
        <f t="shared" si="100"/>
        <v>215.75909414893025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32.940950289385768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32.940950289385768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11.28875</v>
      </c>
      <c r="FE71" s="12">
        <f>IF('Données projet'!$A$218&gt;35,FE70+FD71-FM70,IF(A71&lt;'Données projet'!$A$218,$FB$205^A71,IF(A71='Données projet'!$A$218,'Données projet'!$B$218,FE70+FD71-FM70)))</f>
        <v>314.82374999999996</v>
      </c>
      <c r="FF71" s="17">
        <f>FE71*VLOOKUP('Données projet'!$B$16,Paramètres!$A$1:$I$89,3,0)*VLOOKUP('Données projet'!$B$16,Paramètres!$A$1:$I$89,5,0)</f>
        <v>211.18377149999995</v>
      </c>
      <c r="FG71" s="13">
        <f t="shared" si="101"/>
        <v>52.194184864407035</v>
      </c>
      <c r="FH71" s="20">
        <f t="shared" si="76"/>
        <v>458.71660733467547</v>
      </c>
      <c r="FI71" s="59">
        <f t="shared" si="77"/>
        <v>724.16299146189431</v>
      </c>
      <c r="FJ71" s="59">
        <f ca="1">AVERAGE(OFFSET($FI$3,0,0,'Données projet'!$E$16+1,1))-AVERAGE(OFFSET($H$3,0,0,'Données projet'!$E$16+1,1))</f>
        <v>441.20130048888439</v>
      </c>
      <c r="FK71" s="59">
        <f t="shared" si="102"/>
        <v>237.47732532183946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78.297947932070002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78.297947932070002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4.4000000000000004</v>
      </c>
      <c r="FZ71" s="12">
        <f>IF('Données projet'!$A$244&gt;35,FZ70+FY71-GH70,IF(A71&lt;'Données projet'!$A$244,$FW$205^A71,IF(A71='Données projet'!$A$244,'Données projet'!$B$244,FZ70+FY71-GH70)))</f>
        <v>196.2000000000001</v>
      </c>
      <c r="GA71" s="17">
        <f>FZ71*VLOOKUP('Données projet'!$B$17,Paramètres!$A$1:$I$89,3,0)*VLOOKUP('Données projet'!$B$17,Paramètres!$A$1:$I$89,5,0)</f>
        <v>128.55024000000006</v>
      </c>
      <c r="GB71" s="13">
        <f t="shared" si="103"/>
        <v>33.661144026076698</v>
      </c>
      <c r="GC71" s="20">
        <f t="shared" si="79"/>
        <v>282.51816051208368</v>
      </c>
      <c r="GD71" s="59">
        <f t="shared" si="80"/>
        <v>547.96454463930252</v>
      </c>
      <c r="GE71" s="59">
        <f ca="1">AVERAGE(OFFSET($GD$3,0,0,'Données projet'!$E$17+1,1))-AVERAGE(OFFSET($H$3,0,0,'Données projet'!$E$17+1,1))</f>
        <v>257.66104339896992</v>
      </c>
      <c r="GF71" s="59">
        <f t="shared" si="104"/>
        <v>254.79488636184996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31.410416751276728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31.410416751276728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4.8</v>
      </c>
      <c r="GU71" s="12">
        <f>IF('Données projet'!$A$270&gt;35,GU70+GT71-HC70,IF(A71&lt;'Données projet'!$A$270,$GR$205^A71,IF(A71='Données projet'!$A$270,'Données projet'!$B$270,GU70+GT71-HC70)))</f>
        <v>208.40000000000012</v>
      </c>
      <c r="GV71" s="17">
        <f>GU71*VLOOKUP('Données projet'!$B$18,Paramètres!$A$1:$I$89,3,0)*VLOOKUP('Données projet'!$B$18,Paramètres!$A$1:$I$89,5,0)</f>
        <v>169.05408000000011</v>
      </c>
      <c r="GW71" s="13">
        <f t="shared" si="105"/>
        <v>42.878100222794899</v>
      </c>
      <c r="GX71" s="20">
        <f t="shared" si="82"/>
        <v>369.1152138880347</v>
      </c>
      <c r="GY71" s="59">
        <f t="shared" si="83"/>
        <v>634.56159801525359</v>
      </c>
      <c r="GZ71" s="59">
        <f ca="1">AVERAGE(OFFSET($GY$3,0,0,'Données projet'!$E$18+1,1))-AVERAGE(OFFSET($H$3,0,0,'Données projet'!$E$18+1,1))</f>
        <v>299.98377156721153</v>
      </c>
      <c r="HA71" s="59">
        <f t="shared" si="106"/>
        <v>241.36164657721102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26.356990367318293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26.356990367318293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11.28875</v>
      </c>
      <c r="N72" s="13">
        <f>IF('Données projet'!$A$36&gt;35,N71+M72-V71,IF(A72&lt;'Données projet'!$A$36,$K$205^A72,IF(A72='Données projet'!$A$36,'Données projet'!$B$36,N71+M72-V71)))</f>
        <v>326.11249999999995</v>
      </c>
      <c r="O72" s="13">
        <f>N72*VLOOKUP('Données projet'!$B$9,Paramètres!$A$1:$I$89,3,0)*VLOOKUP('Données projet'!$B$9,Paramètres!$A$1:$I$89,5,0)</f>
        <v>295.06658999999991</v>
      </c>
      <c r="P72" s="13">
        <f t="shared" si="87"/>
        <v>70.141235290018514</v>
      </c>
      <c r="Q72" s="20">
        <f t="shared" si="54"/>
        <v>636.07029571344879</v>
      </c>
      <c r="R72" s="59">
        <f t="shared" si="55"/>
        <v>902.00045606351534</v>
      </c>
      <c r="S72" s="59">
        <f ca="1">AVERAGE(OFFSET($R$3,0,0,'Données projet'!$E$9+1,1))-AVERAGE(OFFSET($H$3,0,0,'Données projet'!$E$9+1,1))</f>
        <v>567.42635821507474</v>
      </c>
      <c r="T72" s="59">
        <f t="shared" si="88"/>
        <v>299.04735309930152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84.004325093376877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84.004325093376877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</v>
      </c>
      <c r="AI72" s="13">
        <f>IF('Données projet'!$A$62&gt;35,AI71+AH72-AQ71,IF(A72&lt;'Données projet'!$A$62,$AF$205^A72,IF(A72='Données projet'!$A$62,'Données projet'!$B$62,AI71+AH72-AQ71)))</f>
        <v>375.2</v>
      </c>
      <c r="AJ72" s="13">
        <f>AI72*VLOOKUP('Données projet'!$B$10,Paramètres!$A$1:$I$89,3,0)*VLOOKUP('Données projet'!$B$10,Paramètres!$A$1:$I$89,5,0)</f>
        <v>321.92160000000001</v>
      </c>
      <c r="AK72" s="13">
        <f t="shared" si="89"/>
        <v>75.753040489321577</v>
      </c>
      <c r="AL72" s="20">
        <f t="shared" si="58"/>
        <v>692.61666551890175</v>
      </c>
      <c r="AM72" s="59">
        <f t="shared" si="59"/>
        <v>958.54682586896831</v>
      </c>
      <c r="AN72" s="59">
        <f ca="1">AVERAGE(OFFSET($AM$3,0,0,'Données projet'!$E$10+1,1))-AVERAGE(OFFSET($H$3,0,0,'Données projet'!$E$10+1,1))</f>
        <v>569.97793593332699</v>
      </c>
      <c r="AO72" s="59">
        <f t="shared" si="90"/>
        <v>331.25104323342907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86.206932944135744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86.206932944135744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277.99999999999994</v>
      </c>
      <c r="BE72" s="13">
        <f>BD72*VLOOKUP('Données projet'!$B$11,Paramètres!$A$1:$I$89,3,0)*VLOOKUP('Données projet'!$B$11,Paramètres!$A$1:$I$89,5,0)</f>
        <v>151.78799999999998</v>
      </c>
      <c r="BF72" s="13">
        <f t="shared" si="91"/>
        <v>38.984634390835623</v>
      </c>
      <c r="BG72" s="20">
        <f t="shared" si="61"/>
        <v>332.26233823070532</v>
      </c>
      <c r="BH72" s="59">
        <f t="shared" si="62"/>
        <v>598.19249858077183</v>
      </c>
      <c r="BI72" s="59">
        <f ca="1">AVERAGE(OFFSET($BH$3,0,0,'Données projet'!$E$11+1,1))-AVERAGE(OFFSET($H$3,0,0,'Données projet'!$E$11+1,1))</f>
        <v>215.37314197175104</v>
      </c>
      <c r="BJ72" s="59">
        <f t="shared" si="92"/>
        <v>361.17630426655978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16.955290352366941</v>
      </c>
      <c r="BQ72" s="21">
        <f>EXP(-LN(2)/25)*BQ71+(1-EXP(-LN(2)/25))/(LN(2)/25)*Calculateur!BL72*Calculateur!BN72*VLOOKUP('Données projet'!$B$11,Paramètres!$A$1:$I$89,3,0)*0.475*44/12</f>
        <v>32.57256857669077</v>
      </c>
      <c r="BR72" s="21">
        <f>EXP(-LN(2)/2)*BR71+(1-EXP(-LN(2)/2))/(LN(2)/2)*BL72*BO72*VLOOKUP('Données projet'!$B$11,Paramètres!$A$1:$I$89,3,0)*0.475*44/12</f>
        <v>3.4197361570512316E-8</v>
      </c>
      <c r="BS72" s="22">
        <f t="shared" si="63"/>
        <v>49.527858963255078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0.8600000000003547</v>
      </c>
      <c r="BZ72" s="13">
        <f>BY72*VLOOKUP('Données projet'!$B$12,Paramètres!$A$1:$I$89,3,0)*VLOOKUP('Données projet'!$B$12,Paramètres!$A$1:$I$89,5,0)</f>
        <v>0.48074000000019829</v>
      </c>
      <c r="CA72" s="13">
        <f t="shared" si="93"/>
        <v>0.24126147010950588</v>
      </c>
      <c r="CB72" s="20">
        <f t="shared" si="64"/>
        <v>1.2574858937744013</v>
      </c>
      <c r="CC72" s="59">
        <f t="shared" si="65"/>
        <v>267.18764624384096</v>
      </c>
      <c r="CD72" s="59">
        <f ca="1">AVERAGE(OFFSET($CC$3,0,0,'Données projet'!$E$12+1,1))-AVERAGE(OFFSET($H$3,0,0,'Données projet'!$E$12+1,1))</f>
        <v>420.4890915162182</v>
      </c>
      <c r="CE72" s="59">
        <f t="shared" si="94"/>
        <v>553.48432338023565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281.76400586462938</v>
      </c>
      <c r="CL72" s="21">
        <f>EXP(-LN(2)/25)*CL71+(1-EXP(-LN(2)/25))/(LN(2)/25)*Calculateur!CG72*Calculateur!CI72*VLOOKUP('Données projet'!$B$12,Paramètres!$A$1:$I$89,3,0)*0.475*44/12</f>
        <v>17.151301453975403</v>
      </c>
      <c r="CM72" s="21">
        <f>EXP(-LN(2)/2)*CM71+(1-EXP(-LN(2)/2))/(LN(2)/2)*CG72*CJ72*VLOOKUP('Données projet'!$B$12,Paramètres!$A$1:$I$89,3,0)*0.475*44/12</f>
        <v>9.9793019035234902E-7</v>
      </c>
      <c r="CN72" s="22">
        <f t="shared" si="66"/>
        <v>298.915308316535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360.79999999999967</v>
      </c>
      <c r="CU72" s="17">
        <f>CT72*VLOOKUP('Données projet'!$B$13,Paramètres!$A$1:$I$89,3,0)*VLOOKUP('Données projet'!$B$13,Paramètres!$A$1:$I$89,5,0)</f>
        <v>264.53855999999973</v>
      </c>
      <c r="CV72" s="13">
        <f t="shared" si="95"/>
        <v>63.688839009304033</v>
      </c>
      <c r="CW72" s="20">
        <f t="shared" si="67"/>
        <v>571.66271994120405</v>
      </c>
      <c r="CX72" s="59">
        <f t="shared" si="68"/>
        <v>837.5928802912706</v>
      </c>
      <c r="CY72" s="59">
        <f ca="1">AVERAGE(OFFSET($CX$3,0,0,'Données projet'!$E$13+1,1))-AVERAGE(OFFSET($H$3,0,0,'Données projet'!$E$13+1,1))</f>
        <v>400.48995908576177</v>
      </c>
      <c r="CZ72" s="59">
        <f t="shared" si="96"/>
        <v>384.86917865380076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40.836980397399913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40.836980397399913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5.2</v>
      </c>
      <c r="DO72" s="12">
        <f>IF('Données projet'!$A$166&gt;35,DO71+DN72-DW71,IF(A72&lt;'Données projet'!$A$166,$DL$205^A72,IF(A72='Données projet'!$A$166,'Données projet'!$B$166,DO71+DN72-DW71)))</f>
        <v>360.79999999999967</v>
      </c>
      <c r="DP72" s="17">
        <f>DO72*VLOOKUP('Données projet'!$B$14,Paramètres!$A$1:$I$89,3,0)*VLOOKUP('Données projet'!$B$14,Paramètres!$A$1:$I$89,5,0)</f>
        <v>287.05247999999978</v>
      </c>
      <c r="DQ72" s="13">
        <f t="shared" si="97"/>
        <v>68.455236071606535</v>
      </c>
      <c r="DR72" s="20">
        <f t="shared" si="70"/>
        <v>619.17593882471431</v>
      </c>
      <c r="DS72" s="59">
        <f t="shared" si="71"/>
        <v>885.10609917478087</v>
      </c>
      <c r="DT72" s="59">
        <f ca="1">AVERAGE(OFFSET($DS$3,0,0,'Données projet'!$E$14+1,1))-AVERAGE(OFFSET($H$3,0,0,'Données projet'!$E$14+1,1))</f>
        <v>429.30603040255431</v>
      </c>
      <c r="DU72" s="59">
        <f t="shared" si="98"/>
        <v>412.18613903804726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54.617693228189978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54.617693228189978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210.25641025641025</v>
      </c>
      <c r="EH72" s="12">
        <f>VLOOKUP(A72,'Données projet'!$A$191:$I$211,9,0)</f>
        <v>5.5555555555555554</v>
      </c>
      <c r="EI72" s="12">
        <f t="array" ref="EI72">INDEX(EH:EH,MIN(IF(ISNUMBER(EH72:EH268),ROW(EH72:EH268),"")))</f>
        <v>5.5555555555555554</v>
      </c>
      <c r="EJ72" s="12">
        <f>IF('Données projet'!$A$192&gt;35,EJ71+EI72-ER71,IF(A72&lt;'Données projet'!$A$192,$EG$205^A72,IF(A72='Données projet'!$A$192,'Données projet'!$B$192,EJ71+EI72-ER71)))</f>
        <v>210.25641025641013</v>
      </c>
      <c r="EK72" s="17">
        <f>EJ72*VLOOKUP('Données projet'!$B$15,Paramètres!$A$1:$I$89,3,0)*VLOOKUP('Données projet'!$B$15,Paramètres!$A$1:$I$89,5,0)</f>
        <v>163.99999999999991</v>
      </c>
      <c r="EL72" s="13">
        <f t="shared" si="99"/>
        <v>41.743425908362248</v>
      </c>
      <c r="EM72" s="20">
        <f t="shared" si="73"/>
        <v>358.33646679039742</v>
      </c>
      <c r="EN72" s="59">
        <f t="shared" si="74"/>
        <v>624.26662714046392</v>
      </c>
      <c r="EO72" s="59">
        <f ca="1">AVERAGE(OFFSET($EN$3,0,0,'Données projet'!$E$15+1,1))-AVERAGE(OFFSET($H$3,0,0,'Données projet'!$E$15+1,1))</f>
        <v>217.53602321474159</v>
      </c>
      <c r="EP72" s="59">
        <f t="shared" si="100"/>
        <v>215.75909414893025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32.294998346206668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32.294998346206668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11.28875</v>
      </c>
      <c r="FE72" s="12">
        <f>IF('Données projet'!$A$218&gt;35,FE71+FD72-FM71,IF(A72&lt;'Données projet'!$A$218,$FB$205^A72,IF(A72='Données projet'!$A$218,'Données projet'!$B$218,FE71+FD72-FM71)))</f>
        <v>326.11249999999995</v>
      </c>
      <c r="FF72" s="17">
        <f>FE72*VLOOKUP('Données projet'!$B$16,Paramètres!$A$1:$I$89,3,0)*VLOOKUP('Données projet'!$B$16,Paramètres!$A$1:$I$89,5,0)</f>
        <v>218.75626499999996</v>
      </c>
      <c r="FG72" s="13">
        <f t="shared" si="101"/>
        <v>53.844476933947966</v>
      </c>
      <c r="FH72" s="20">
        <f t="shared" si="76"/>
        <v>474.77962553495922</v>
      </c>
      <c r="FI72" s="59">
        <f t="shared" si="77"/>
        <v>740.70978588502578</v>
      </c>
      <c r="FJ72" s="59">
        <f ca="1">AVERAGE(OFFSET($FI$3,0,0,'Données projet'!$E$16+1,1))-AVERAGE(OFFSET($H$3,0,0,'Données projet'!$E$16+1,1))</f>
        <v>441.20130048888439</v>
      </c>
      <c r="FK72" s="59">
        <f t="shared" si="102"/>
        <v>237.47732532183946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76.762572930154732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76.762572930154732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4.4000000000000004</v>
      </c>
      <c r="FZ72" s="12">
        <f>IF('Données projet'!$A$244&gt;35,FZ71+FY72-GH71,IF(A72&lt;'Données projet'!$A$244,$FW$205^A72,IF(A72='Données projet'!$A$244,'Données projet'!$B$244,FZ71+FY72-GH71)))</f>
        <v>200.60000000000011</v>
      </c>
      <c r="GA72" s="17">
        <f>FZ72*VLOOKUP('Données projet'!$B$17,Paramètres!$A$1:$I$89,3,0)*VLOOKUP('Données projet'!$B$17,Paramètres!$A$1:$I$89,5,0)</f>
        <v>131.43312000000006</v>
      </c>
      <c r="GB72" s="13">
        <f t="shared" si="103"/>
        <v>34.327299687447557</v>
      </c>
      <c r="GC72" s="20">
        <f t="shared" si="79"/>
        <v>288.69939762230456</v>
      </c>
      <c r="GD72" s="59">
        <f t="shared" si="80"/>
        <v>554.62955797237112</v>
      </c>
      <c r="GE72" s="59">
        <f ca="1">AVERAGE(OFFSET($GD$3,0,0,'Données projet'!$E$17+1,1))-AVERAGE(OFFSET($H$3,0,0,'Données projet'!$E$17+1,1))</f>
        <v>257.66104339896992</v>
      </c>
      <c r="GF72" s="59">
        <f t="shared" si="104"/>
        <v>254.79488636184996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30.794477637246668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30.794477637246668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4.8</v>
      </c>
      <c r="GU72" s="12">
        <f>IF('Données projet'!$A$270&gt;35,GU71+GT72-HC71,IF(A72&lt;'Données projet'!$A$270,$GR$205^A72,IF(A72='Données projet'!$A$270,'Données projet'!$B$270,GU71+GT72-HC71)))</f>
        <v>213.20000000000013</v>
      </c>
      <c r="GV72" s="17">
        <f>GU72*VLOOKUP('Données projet'!$B$18,Paramètres!$A$1:$I$89,3,0)*VLOOKUP('Données projet'!$B$18,Paramètres!$A$1:$I$89,5,0)</f>
        <v>172.94784000000013</v>
      </c>
      <c r="GW72" s="13">
        <f t="shared" si="105"/>
        <v>43.749579650768077</v>
      </c>
      <c r="GX72" s="20">
        <f t="shared" si="82"/>
        <v>377.41467255842127</v>
      </c>
      <c r="GY72" s="59">
        <f t="shared" si="83"/>
        <v>643.34483290848789</v>
      </c>
      <c r="GZ72" s="59">
        <f ca="1">AVERAGE(OFFSET($GY$3,0,0,'Données projet'!$E$18+1,1))-AVERAGE(OFFSET($H$3,0,0,'Données projet'!$E$18+1,1))</f>
        <v>299.98377156721153</v>
      </c>
      <c r="HA72" s="59">
        <f t="shared" si="106"/>
        <v>241.36164657721102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25.840145862391914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25.840145862391914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11.28875</v>
      </c>
      <c r="N73" s="13">
        <f>IF('Données projet'!$A$36&gt;35,N72+M73-V72,IF(A73&lt;'Données projet'!$A$36,$K$205^A73,IF(A73='Données projet'!$A$36,'Données projet'!$B$36,N72+M73-V72)))</f>
        <v>337.40124999999995</v>
      </c>
      <c r="O73" s="13">
        <f>N73*VLOOKUP('Données projet'!$B$9,Paramètres!$A$1:$I$89,3,0)*VLOOKUP('Données projet'!$B$9,Paramètres!$A$1:$I$89,5,0)</f>
        <v>305.28065099999998</v>
      </c>
      <c r="P73" s="13">
        <f t="shared" si="87"/>
        <v>72.282364027590162</v>
      </c>
      <c r="Q73" s="20">
        <f t="shared" si="54"/>
        <v>657.58891783971956</v>
      </c>
      <c r="R73" s="59">
        <f t="shared" si="55"/>
        <v>923.9944619767291</v>
      </c>
      <c r="S73" s="59">
        <f ca="1">AVERAGE(OFFSET($R$3,0,0,'Données projet'!$E$9+1,1))-AVERAGE(OFFSET($H$3,0,0,'Données projet'!$E$9+1,1))</f>
        <v>567.42635821507474</v>
      </c>
      <c r="T73" s="59">
        <f t="shared" si="88"/>
        <v>299.04735309930152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82.357051515874772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82.357051515874772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387</v>
      </c>
      <c r="AG73" s="12">
        <f>VLOOKUP(A73,'Données projet'!$A$61:$I$81,9,0)</f>
        <v>11.8</v>
      </c>
      <c r="AH73" s="12">
        <f t="array" ref="AH73">INDEX(AG:AG,MIN(IF(ISNUMBER(AG73:AG269),ROW(AG73:AG269),"")))</f>
        <v>11.8</v>
      </c>
      <c r="AI73" s="13">
        <f>IF('Données projet'!$A$62&gt;35,AI72+AH73-AQ72,IF(A73&lt;'Données projet'!$A$62,$AF$205^A73,IF(A73='Données projet'!$A$62,'Données projet'!$B$62,AI72+AH73-AQ72)))</f>
        <v>387</v>
      </c>
      <c r="AJ73" s="13">
        <f>AI73*VLOOKUP('Données projet'!$B$10,Paramètres!$A$1:$I$89,3,0)*VLOOKUP('Données projet'!$B$10,Paramètres!$A$1:$I$89,5,0)</f>
        <v>332.04600000000005</v>
      </c>
      <c r="AK73" s="13">
        <f t="shared" si="89"/>
        <v>77.854342460208699</v>
      </c>
      <c r="AL73" s="20">
        <f t="shared" si="58"/>
        <v>713.90976311819679</v>
      </c>
      <c r="AM73" s="59">
        <f t="shared" si="59"/>
        <v>980.31530725520633</v>
      </c>
      <c r="AN73" s="59">
        <f ca="1">AVERAGE(OFFSET($AM$3,0,0,'Données projet'!$E$10+1,1))-AVERAGE(OFFSET($H$3,0,0,'Données projet'!$E$10+1,1))</f>
        <v>569.97793593332699</v>
      </c>
      <c r="AO73" s="59">
        <f t="shared" si="90"/>
        <v>331.25104323342907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35</v>
      </c>
      <c r="AR73" s="16">
        <f>IF(ISNA(VLOOKUP(A73,'Données projet'!$A$61:$I$81,5,0)),0%,VLOOKUP(A73,'Données projet'!$A$61:$I$81,5,0)*VLOOKUP('Données projet'!$B$10,Paramètres!$A$1:$I$89,7,0))</f>
        <v>0.53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102.11102358374687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102.11102358374687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277.99999999999994</v>
      </c>
      <c r="BE73" s="13">
        <f>BD73*VLOOKUP('Données projet'!$B$11,Paramètres!$A$1:$I$89,3,0)*VLOOKUP('Données projet'!$B$11,Paramètres!$A$1:$I$89,5,0)</f>
        <v>151.78799999999998</v>
      </c>
      <c r="BF73" s="13">
        <f t="shared" si="91"/>
        <v>38.984634390835623</v>
      </c>
      <c r="BG73" s="20">
        <f t="shared" si="61"/>
        <v>332.26233823070532</v>
      </c>
      <c r="BH73" s="59">
        <f t="shared" si="62"/>
        <v>598.66788236771481</v>
      </c>
      <c r="BI73" s="59">
        <f ca="1">AVERAGE(OFFSET($BH$3,0,0,'Données projet'!$E$11+1,1))-AVERAGE(OFFSET($H$3,0,0,'Données projet'!$E$11+1,1))</f>
        <v>215.37314197175104</v>
      </c>
      <c r="BJ73" s="59">
        <f t="shared" si="92"/>
        <v>361.17630426655978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16.622807450262982</v>
      </c>
      <c r="BQ73" s="21">
        <f>EXP(-LN(2)/25)*BQ72+(1-EXP(-LN(2)/25))/(LN(2)/25)*Calculateur!BL73*Calculateur!BN73*VLOOKUP('Données projet'!$B$11,Paramètres!$A$1:$I$89,3,0)*0.475*44/12</f>
        <v>31.681869976044226</v>
      </c>
      <c r="BR73" s="21">
        <f>EXP(-LN(2)/2)*BR72+(1-EXP(-LN(2)/2))/(LN(2)/2)*BL73*BO73*VLOOKUP('Données projet'!$B$11,Paramètres!$A$1:$I$89,3,0)*0.475*44/12</f>
        <v>2.4181186265197502E-8</v>
      </c>
      <c r="BS73" s="22">
        <f t="shared" si="63"/>
        <v>48.304677450488391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0.8600000000003547</v>
      </c>
      <c r="BZ73" s="13">
        <f>BY73*VLOOKUP('Données projet'!$B$12,Paramètres!$A$1:$I$89,3,0)*VLOOKUP('Données projet'!$B$12,Paramètres!$A$1:$I$89,5,0)</f>
        <v>0.48074000000019829</v>
      </c>
      <c r="CA73" s="13">
        <f t="shared" si="93"/>
        <v>0.24126147010950588</v>
      </c>
      <c r="CB73" s="20">
        <f t="shared" si="64"/>
        <v>1.2574858937744013</v>
      </c>
      <c r="CC73" s="59">
        <f t="shared" si="65"/>
        <v>267.66303003078389</v>
      </c>
      <c r="CD73" s="59">
        <f ca="1">AVERAGE(OFFSET($CC$3,0,0,'Données projet'!$E$12+1,1))-AVERAGE(OFFSET($H$3,0,0,'Données projet'!$E$12+1,1))</f>
        <v>420.4890915162182</v>
      </c>
      <c r="CE73" s="59">
        <f t="shared" si="94"/>
        <v>553.48432338023565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276.23878556869789</v>
      </c>
      <c r="CL73" s="21">
        <f>EXP(-LN(2)/25)*CL72+(1-EXP(-LN(2)/25))/(LN(2)/25)*Calculateur!CG73*Calculateur!CI73*VLOOKUP('Données projet'!$B$12,Paramètres!$A$1:$I$89,3,0)*0.475*44/12</f>
        <v>16.682298213768703</v>
      </c>
      <c r="CM73" s="21">
        <f>EXP(-LN(2)/2)*CM72+(1-EXP(-LN(2)/2))/(LN(2)/2)*CG73*CJ73*VLOOKUP('Données projet'!$B$12,Paramètres!$A$1:$I$89,3,0)*0.475*44/12</f>
        <v>7.056432047489282E-7</v>
      </c>
      <c r="CN73" s="22">
        <f t="shared" si="66"/>
        <v>292.92108448810984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366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365.99999999999966</v>
      </c>
      <c r="CU73" s="17">
        <f>CT73*VLOOKUP('Données projet'!$B$13,Paramètres!$A$1:$I$89,3,0)*VLOOKUP('Données projet'!$B$13,Paramètres!$A$1:$I$89,5,0)</f>
        <v>268.35119999999978</v>
      </c>
      <c r="CV73" s="13">
        <f t="shared" si="95"/>
        <v>64.499227668096069</v>
      </c>
      <c r="CW73" s="20">
        <f t="shared" si="67"/>
        <v>579.71449485526693</v>
      </c>
      <c r="CX73" s="59">
        <f t="shared" si="68"/>
        <v>846.12003899227648</v>
      </c>
      <c r="CY73" s="59">
        <f ca="1">AVERAGE(OFFSET($CX$3,0,0,'Données projet'!$E$13+1,1))-AVERAGE(OFFSET($H$3,0,0,'Données projet'!$E$13+1,1))</f>
        <v>400.48995908576177</v>
      </c>
      <c r="CZ73" s="59">
        <f t="shared" si="96"/>
        <v>384.86917865380076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15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45.264116310569925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45.264116310569925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366</v>
      </c>
      <c r="DM73" s="12">
        <f>VLOOKUP(A73,'Données projet'!$A$165:$I$185,9,0)</f>
        <v>5.2</v>
      </c>
      <c r="DN73" s="12">
        <f t="array" ref="DN73">INDEX(DM:DM,MIN(IF(ISNUMBER(DM73:DM269),ROW(DM73:DM269),"")))</f>
        <v>5.2</v>
      </c>
      <c r="DO73" s="12">
        <f>IF('Données projet'!$A$166&gt;35,DO72+DN73-DW72,IF(A73&lt;'Données projet'!$A$166,$DL$205^A73,IF(A73='Données projet'!$A$166,'Données projet'!$B$166,DO72+DN73-DW72)))</f>
        <v>365.99999999999966</v>
      </c>
      <c r="DP73" s="17">
        <f>DO73*VLOOKUP('Données projet'!$B$14,Paramètres!$A$1:$I$89,3,0)*VLOOKUP('Données projet'!$B$14,Paramètres!$A$1:$I$89,5,0)</f>
        <v>291.18959999999976</v>
      </c>
      <c r="DQ73" s="13">
        <f t="shared" si="97"/>
        <v>69.326273255048633</v>
      </c>
      <c r="DR73" s="20">
        <f t="shared" si="70"/>
        <v>627.89847925254264</v>
      </c>
      <c r="DS73" s="59">
        <f t="shared" si="71"/>
        <v>894.30402338955219</v>
      </c>
      <c r="DT73" s="59">
        <f ca="1">AVERAGE(OFFSET($DS$3,0,0,'Données projet'!$E$14+1,1))-AVERAGE(OFFSET($H$3,0,0,'Données projet'!$E$14+1,1))</f>
        <v>429.30603040255431</v>
      </c>
      <c r="DU73" s="59">
        <f t="shared" si="98"/>
        <v>412.18613903804726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15</v>
      </c>
      <c r="DX73" s="16">
        <f>IF(ISNA(VLOOKUP(A73,'Données projet'!$A$165:$I$185,5,0)),0%,VLOOKUP(A73,'Données projet'!$A$165:$I$185,5,0)*VLOOKUP('Données projet'!$B$14,Paramètres!$A$1:$I$89,7,0))</f>
        <v>0.53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60.538795837442109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60.538795837442109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210.25641025641013</v>
      </c>
      <c r="EK73" s="17">
        <f>EJ73*VLOOKUP('Données projet'!$B$15,Paramètres!$A$1:$I$89,3,0)*VLOOKUP('Données projet'!$B$15,Paramètres!$A$1:$I$89,5,0)</f>
        <v>163.99999999999991</v>
      </c>
      <c r="EL73" s="13">
        <f t="shared" si="99"/>
        <v>41.743425908362248</v>
      </c>
      <c r="EM73" s="20">
        <f t="shared" si="73"/>
        <v>358.33646679039742</v>
      </c>
      <c r="EN73" s="59">
        <f t="shared" si="74"/>
        <v>624.74201092740691</v>
      </c>
      <c r="EO73" s="59">
        <f ca="1">AVERAGE(OFFSET($EN$3,0,0,'Données projet'!$E$15+1,1))-AVERAGE(OFFSET($H$3,0,0,'Données projet'!$E$15+1,1))</f>
        <v>217.53602321474159</v>
      </c>
      <c r="EP73" s="59">
        <f t="shared" si="100"/>
        <v>215.75909414893025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31.66171312664153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31.66171312664153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11.28875</v>
      </c>
      <c r="FE73" s="12">
        <f>IF('Données projet'!$A$218&gt;35,FE72+FD73-FM72,IF(A73&lt;'Données projet'!$A$218,$FB$205^A73,IF(A73='Données projet'!$A$218,'Données projet'!$B$218,FE72+FD73-FM72)))</f>
        <v>337.40124999999995</v>
      </c>
      <c r="FF73" s="17">
        <f>FE73*VLOOKUP('Données projet'!$B$16,Paramètres!$A$1:$I$89,3,0)*VLOOKUP('Données projet'!$B$16,Paramètres!$A$1:$I$89,5,0)</f>
        <v>226.32875849999996</v>
      </c>
      <c r="FG73" s="13">
        <f t="shared" si="101"/>
        <v>55.488131432562078</v>
      </c>
      <c r="FH73" s="20">
        <f t="shared" si="76"/>
        <v>490.8310832992122</v>
      </c>
      <c r="FI73" s="59">
        <f t="shared" si="77"/>
        <v>757.23662743622162</v>
      </c>
      <c r="FJ73" s="59">
        <f ca="1">AVERAGE(OFFSET($FI$3,0,0,'Données projet'!$E$16+1,1))-AVERAGE(OFFSET($H$3,0,0,'Données projet'!$E$16+1,1))</f>
        <v>441.20130048888439</v>
      </c>
      <c r="FK73" s="59">
        <f t="shared" si="102"/>
        <v>237.47732532183946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75.257305695540737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75.257305695540737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205</v>
      </c>
      <c r="FX73" s="12">
        <f>VLOOKUP(A73,'Données projet'!$A$243:$I$263,9,0)</f>
        <v>4.4000000000000004</v>
      </c>
      <c r="FY73" s="12">
        <f t="array" ref="FY73">INDEX(FX:FX,MIN(IF(ISNUMBER(FX73:FX269),ROW(FX73:FX269),"")))</f>
        <v>4.4000000000000004</v>
      </c>
      <c r="FZ73" s="12">
        <f>IF('Données projet'!$A$244&gt;35,FZ72+FY73-GH72,IF(A73&lt;'Données projet'!$A$244,$FW$205^A73,IF(A73='Données projet'!$A$244,'Données projet'!$B$244,FZ72+FY73-GH72)))</f>
        <v>205.00000000000011</v>
      </c>
      <c r="GA73" s="17">
        <f>FZ73*VLOOKUP('Données projet'!$B$17,Paramètres!$A$1:$I$89,3,0)*VLOOKUP('Données projet'!$B$17,Paramètres!$A$1:$I$89,5,0)</f>
        <v>134.31600000000009</v>
      </c>
      <c r="GB73" s="13">
        <f t="shared" si="103"/>
        <v>34.991756585122474</v>
      </c>
      <c r="GC73" s="20">
        <f t="shared" si="79"/>
        <v>294.87767605242175</v>
      </c>
      <c r="GD73" s="59">
        <f t="shared" si="80"/>
        <v>561.28322018943118</v>
      </c>
      <c r="GE73" s="59">
        <f ca="1">AVERAGE(OFFSET($GD$3,0,0,'Données projet'!$E$17+1,1))-AVERAGE(OFFSET($H$3,0,0,'Données projet'!$E$17+1,1))</f>
        <v>257.66104339896992</v>
      </c>
      <c r="GF73" s="59">
        <f t="shared" si="104"/>
        <v>254.79488636184996</v>
      </c>
      <c r="GG73" s="15">
        <f>IF(ISNA(VLOOKUP(A73,'Données projet'!$A$243:$I$263,3,0)),0,VLOOKUP(A73,'Données projet'!$A$243:$I$263,3,0))</f>
        <v>13</v>
      </c>
      <c r="GH73" s="15">
        <f>IF(ISNA(VLOOKUP(A73,'Données projet'!$A$243:$I$263,4,0)),0,VLOOKUP(A73,'Données projet'!$A$243:$I$263,4,0))</f>
        <v>17</v>
      </c>
      <c r="GI73" s="16">
        <f>IF(ISNA(VLOOKUP(A73,'Données projet'!$A$243:$I$263,5,0)),0%,VLOOKUP(A73,'Données projet'!$A$243:$I$263,5,0)*VLOOKUP('Données projet'!$B$17,Paramètres!$A$1:$I$89,7,0))</f>
        <v>0.43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35.485280361974588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35.485280361974588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218</v>
      </c>
      <c r="GS73" s="12">
        <f>VLOOKUP(A73,'Données projet'!$A$269:$I$289,9,0)</f>
        <v>4.8</v>
      </c>
      <c r="GT73" s="12">
        <f t="array" ref="GT73">INDEX(GS:GS,MIN(IF(ISNUMBER(GS73:GS269),ROW(GS73:GS269),"")))</f>
        <v>4.8</v>
      </c>
      <c r="GU73" s="12">
        <f>IF('Données projet'!$A$270&gt;35,GU72+GT73-HC72,IF(A73&lt;'Données projet'!$A$270,$GR$205^A73,IF(A73='Données projet'!$A$270,'Données projet'!$B$270,GU72+GT73-HC72)))</f>
        <v>218.00000000000014</v>
      </c>
      <c r="GV73" s="17">
        <f>GU73*VLOOKUP('Données projet'!$B$18,Paramètres!$A$1:$I$89,3,0)*VLOOKUP('Données projet'!$B$18,Paramètres!$A$1:$I$89,5,0)</f>
        <v>176.84160000000014</v>
      </c>
      <c r="GW73" s="13">
        <f t="shared" si="105"/>
        <v>44.618778032982952</v>
      </c>
      <c r="GX73" s="20">
        <f t="shared" si="82"/>
        <v>385.71015840744553</v>
      </c>
      <c r="GY73" s="59">
        <f t="shared" si="83"/>
        <v>652.11570254445496</v>
      </c>
      <c r="GZ73" s="59">
        <f ca="1">AVERAGE(OFFSET($GY$3,0,0,'Données projet'!$E$18+1,1))-AVERAGE(OFFSET($H$3,0,0,'Données projet'!$E$18+1,1))</f>
        <v>299.98377156721153</v>
      </c>
      <c r="HA73" s="59">
        <f t="shared" si="106"/>
        <v>241.36164657721102</v>
      </c>
      <c r="HB73" s="15">
        <f>IF(ISNA(VLOOKUP(A73,'Données projet'!$A$269:$I$289,3,0)),0,VLOOKUP(A73,'Données projet'!$A$269:$I$289,3,0))</f>
        <v>11</v>
      </c>
      <c r="HC73" s="15">
        <f>IF(ISNA(VLOOKUP(A73,'Données projet'!$A$269:$I$289,4,0)),0,VLOOKUP(A73,'Données projet'!$A$269:$I$289,4,0))</f>
        <v>14</v>
      </c>
      <c r="HD73" s="16">
        <f>IF(ISNA(VLOOKUP(A73,'Données projet'!$A$269:$I$289,5,0)),0%,VLOOKUP(A73,'Données projet'!$A$269:$I$289,5,0)*VLOOKUP('Données projet'!$B$18,Paramètres!$A$1:$I$89,7,0))</f>
        <v>0.43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30.731916945663443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30.731916945663443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348.69</v>
      </c>
      <c r="L74" s="12">
        <f>VLOOKUP(A74,'Données projet'!$A$35:$I$55,9,0)</f>
        <v>11.28875</v>
      </c>
      <c r="M74" s="12">
        <f t="array" ref="M74">INDEX(L:L,MIN(IF(ISNUMBER(L74:L270),ROW(L74:L270),"")))</f>
        <v>11.28875</v>
      </c>
      <c r="N74" s="13">
        <f>IF('Données projet'!$A$36&gt;35,N73+M74-V73,IF(A74&lt;'Données projet'!$A$36,$K$205^A74,IF(A74='Données projet'!$A$36,'Données projet'!$B$36,N73+M74-V73)))</f>
        <v>348.68999999999994</v>
      </c>
      <c r="O74" s="13">
        <f>N74*VLOOKUP('Données projet'!$B$9,Paramètres!$A$1:$I$89,3,0)*VLOOKUP('Données projet'!$B$9,Paramètres!$A$1:$I$89,5,0)</f>
        <v>315.49471199999994</v>
      </c>
      <c r="P74" s="13">
        <f t="shared" si="87"/>
        <v>74.415168706532612</v>
      </c>
      <c r="Q74" s="20">
        <f t="shared" si="54"/>
        <v>679.09304223054414</v>
      </c>
      <c r="R74" s="59">
        <f t="shared" si="55"/>
        <v>945.96572330859203</v>
      </c>
      <c r="S74" s="59">
        <f ca="1">AVERAGE(OFFSET($R$3,0,0,'Données projet'!$E$9+1,1))-AVERAGE(OFFSET($H$3,0,0,'Données projet'!$E$9+1,1))</f>
        <v>567.42635821507474</v>
      </c>
      <c r="T74" s="59">
        <f t="shared" si="88"/>
        <v>299.04735309930152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52.07</v>
      </c>
      <c r="W74" s="16">
        <f>IF(ISNA(VLOOKUP(A74,'Données projet'!$A$35:$I$55,5,0)),0%,VLOOKUP(A74,'Données projet'!$A$35:$I$55,5,0)*VLOOKUP('Données projet'!$B$9,Paramètres!$A$1:$I$89,7,0))</f>
        <v>0.43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103.13732072204741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103.13732072204741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</v>
      </c>
      <c r="AI74" s="13">
        <f>IF('Données projet'!$A$62&gt;35,AI73+AH74-AQ73,IF(A74&lt;'Données projet'!$A$62,$AF$205^A74,IF(A74='Données projet'!$A$62,'Données projet'!$B$62,AI73+AH74-AQ73)))</f>
        <v>363</v>
      </c>
      <c r="AJ74" s="13">
        <f>AI74*VLOOKUP('Données projet'!$B$10,Paramètres!$A$1:$I$89,3,0)*VLOOKUP('Données projet'!$B$10,Paramètres!$A$1:$I$89,5,0)</f>
        <v>311.45400000000001</v>
      </c>
      <c r="AK74" s="13">
        <f t="shared" si="89"/>
        <v>73.572400496659426</v>
      </c>
      <c r="AL74" s="20">
        <f t="shared" si="58"/>
        <v>670.58764753168191</v>
      </c>
      <c r="AM74" s="59">
        <f t="shared" si="59"/>
        <v>937.46032860972991</v>
      </c>
      <c r="AN74" s="59">
        <f ca="1">AVERAGE(OFFSET($AM$3,0,0,'Données projet'!$E$10+1,1))-AVERAGE(OFFSET($H$3,0,0,'Données projet'!$E$10+1,1))</f>
        <v>569.97793593332699</v>
      </c>
      <c r="AO74" s="59">
        <f t="shared" si="90"/>
        <v>331.25104323342907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100.10868869284418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100.10868869284418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277.99999999999994</v>
      </c>
      <c r="BE74" s="13">
        <f>BD74*VLOOKUP('Données projet'!$B$11,Paramètres!$A$1:$I$89,3,0)*VLOOKUP('Données projet'!$B$11,Paramètres!$A$1:$I$89,5,0)</f>
        <v>151.78799999999998</v>
      </c>
      <c r="BF74" s="13">
        <f t="shared" si="91"/>
        <v>38.984634390835623</v>
      </c>
      <c r="BG74" s="20">
        <f t="shared" si="61"/>
        <v>332.26233823070532</v>
      </c>
      <c r="BH74" s="59">
        <f t="shared" si="62"/>
        <v>599.13501930875327</v>
      </c>
      <c r="BI74" s="59">
        <f ca="1">AVERAGE(OFFSET($BH$3,0,0,'Données projet'!$E$11+1,1))-AVERAGE(OFFSET($H$3,0,0,'Données projet'!$E$11+1,1))</f>
        <v>215.37314197175104</v>
      </c>
      <c r="BJ74" s="59">
        <f t="shared" si="92"/>
        <v>361.17630426655978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16.296844335074734</v>
      </c>
      <c r="BQ74" s="21">
        <f>EXP(-LN(2)/25)*BQ73+(1-EXP(-LN(2)/25))/(LN(2)/25)*Calculateur!BL74*Calculateur!BN74*VLOOKUP('Données projet'!$B$11,Paramètres!$A$1:$I$89,3,0)*0.475*44/12</f>
        <v>30.815527575472164</v>
      </c>
      <c r="BR74" s="21">
        <f>EXP(-LN(2)/2)*BR73+(1-EXP(-LN(2)/2))/(LN(2)/2)*BL74*BO74*VLOOKUP('Données projet'!$B$11,Paramètres!$A$1:$I$89,3,0)*0.475*44/12</f>
        <v>1.7098680785256158E-8</v>
      </c>
      <c r="BS74" s="22">
        <f t="shared" si="63"/>
        <v>47.112371927645576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0.8600000000003547</v>
      </c>
      <c r="BZ74" s="13">
        <f>BY74*VLOOKUP('Données projet'!$B$12,Paramètres!$A$1:$I$89,3,0)*VLOOKUP('Données projet'!$B$12,Paramètres!$A$1:$I$89,5,0)</f>
        <v>0.48074000000019829</v>
      </c>
      <c r="CA74" s="13">
        <f t="shared" si="93"/>
        <v>0.24126147010950588</v>
      </c>
      <c r="CB74" s="20">
        <f t="shared" si="64"/>
        <v>1.2574858937744013</v>
      </c>
      <c r="CC74" s="59">
        <f t="shared" si="65"/>
        <v>268.13016697182235</v>
      </c>
      <c r="CD74" s="59">
        <f ca="1">AVERAGE(OFFSET($CC$3,0,0,'Données projet'!$E$12+1,1))-AVERAGE(OFFSET($H$3,0,0,'Données projet'!$E$12+1,1))</f>
        <v>420.4890915162182</v>
      </c>
      <c r="CE74" s="59">
        <f t="shared" si="94"/>
        <v>553.48432338023565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270.821911472718</v>
      </c>
      <c r="CL74" s="21">
        <f>EXP(-LN(2)/25)*CL73+(1-EXP(-LN(2)/25))/(LN(2)/25)*Calculateur!CG74*Calculateur!CI74*VLOOKUP('Données projet'!$B$12,Paramètres!$A$1:$I$89,3,0)*0.475*44/12</f>
        <v>16.226119891829264</v>
      </c>
      <c r="CM74" s="21">
        <f>EXP(-LN(2)/2)*CM73+(1-EXP(-LN(2)/2))/(LN(2)/2)*CG74*CJ74*VLOOKUP('Données projet'!$B$12,Paramètres!$A$1:$I$89,3,0)*0.475*44/12</f>
        <v>4.9896509517617451E-7</v>
      </c>
      <c r="CN74" s="22">
        <f t="shared" si="66"/>
        <v>287.04803186351239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355.79999999999967</v>
      </c>
      <c r="CU74" s="17">
        <f>CT74*VLOOKUP('Données projet'!$B$13,Paramètres!$A$1:$I$89,3,0)*VLOOKUP('Données projet'!$B$13,Paramètres!$A$1:$I$89,5,0)</f>
        <v>260.87255999999974</v>
      </c>
      <c r="CV74" s="13">
        <f t="shared" si="95"/>
        <v>62.908336204200786</v>
      </c>
      <c r="CW74" s="20">
        <f t="shared" si="67"/>
        <v>563.9183942223159</v>
      </c>
      <c r="CX74" s="59">
        <f t="shared" si="68"/>
        <v>830.7910753003639</v>
      </c>
      <c r="CY74" s="59">
        <f ca="1">AVERAGE(OFFSET($CX$3,0,0,'Données projet'!$E$13+1,1))-AVERAGE(OFFSET($H$3,0,0,'Données projet'!$E$13+1,1))</f>
        <v>400.48995908576177</v>
      </c>
      <c r="CZ74" s="59">
        <f t="shared" si="96"/>
        <v>384.86917865380076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44.376514598104499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44.376514598104499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4.8</v>
      </c>
      <c r="DO74" s="12">
        <f>IF('Données projet'!$A$166&gt;35,DO73+DN74-DW73,IF(A74&lt;'Données projet'!$A$166,$DL$205^A74,IF(A74='Données projet'!$A$166,'Données projet'!$B$166,DO73+DN74-DW73)))</f>
        <v>355.79999999999967</v>
      </c>
      <c r="DP74" s="17">
        <f>DO74*VLOOKUP('Données projet'!$B$14,Paramètres!$A$1:$I$89,3,0)*VLOOKUP('Données projet'!$B$14,Paramètres!$A$1:$I$89,5,0)</f>
        <v>283.07447999999977</v>
      </c>
      <c r="DQ74" s="13">
        <f t="shared" si="97"/>
        <v>67.616321363645156</v>
      </c>
      <c r="DR74" s="20">
        <f t="shared" si="70"/>
        <v>610.78647904168156</v>
      </c>
      <c r="DS74" s="59">
        <f t="shared" si="71"/>
        <v>877.65916011972945</v>
      </c>
      <c r="DT74" s="59">
        <f ca="1">AVERAGE(OFFSET($DS$3,0,0,'Données projet'!$E$14+1,1))-AVERAGE(OFFSET($H$3,0,0,'Données projet'!$E$14+1,1))</f>
        <v>429.30603040255431</v>
      </c>
      <c r="DU74" s="59">
        <f t="shared" si="98"/>
        <v>412.18613903804726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59.351666976089284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59.351666976089284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210.25641025641013</v>
      </c>
      <c r="EK74" s="17">
        <f>EJ74*VLOOKUP('Données projet'!$B$15,Paramètres!$A$1:$I$89,3,0)*VLOOKUP('Données projet'!$B$15,Paramètres!$A$1:$I$89,5,0)</f>
        <v>163.99999999999991</v>
      </c>
      <c r="EL74" s="13">
        <f t="shared" si="99"/>
        <v>41.743425908362248</v>
      </c>
      <c r="EM74" s="20">
        <f t="shared" si="73"/>
        <v>358.33646679039742</v>
      </c>
      <c r="EN74" s="59">
        <f t="shared" si="74"/>
        <v>625.20914786844537</v>
      </c>
      <c r="EO74" s="59">
        <f ca="1">AVERAGE(OFFSET($EN$3,0,0,'Données projet'!$E$15+1,1))-AVERAGE(OFFSET($H$3,0,0,'Données projet'!$E$15+1,1))</f>
        <v>217.53602321474159</v>
      </c>
      <c r="EP74" s="59">
        <f t="shared" si="100"/>
        <v>215.75909414893025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31.040846243966222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31.040846243966222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>
        <f>VLOOKUP(A74,'Données projet'!$A$217:$I$237,2,0)</f>
        <v>348.69</v>
      </c>
      <c r="FC74" s="12">
        <f>VLOOKUP(A74,'Données projet'!$A$217:$I$237,9,0)</f>
        <v>11.28875</v>
      </c>
      <c r="FD74" s="12">
        <f t="array" ref="FD74">INDEX(FC:FC,MIN(IF(ISNUMBER(FC74:FC270),ROW(FC74:FC270),"")))</f>
        <v>11.28875</v>
      </c>
      <c r="FE74" s="12">
        <f>IF('Données projet'!$A$218&gt;35,FE73+FD74-FM73,IF(A74&lt;'Données projet'!$A$218,$FB$205^A74,IF(A74='Données projet'!$A$218,'Données projet'!$B$218,FE73+FD74-FM73)))</f>
        <v>348.68999999999994</v>
      </c>
      <c r="FF74" s="17">
        <f>FE74*VLOOKUP('Données projet'!$B$16,Paramètres!$A$1:$I$89,3,0)*VLOOKUP('Données projet'!$B$16,Paramètres!$A$1:$I$89,5,0)</f>
        <v>233.90125199999997</v>
      </c>
      <c r="FG74" s="13">
        <f t="shared" si="101"/>
        <v>57.12539590138833</v>
      </c>
      <c r="FH74" s="20">
        <f t="shared" si="76"/>
        <v>506.87141176158457</v>
      </c>
      <c r="FI74" s="59">
        <f t="shared" si="77"/>
        <v>773.74409283963246</v>
      </c>
      <c r="FJ74" s="59">
        <f ca="1">AVERAGE(OFFSET($FI$3,0,0,'Données projet'!$E$16+1,1))-AVERAGE(OFFSET($H$3,0,0,'Données projet'!$E$16+1,1))</f>
        <v>441.20130048888439</v>
      </c>
      <c r="FK74" s="59">
        <f t="shared" si="102"/>
        <v>237.47732532183946</v>
      </c>
      <c r="FL74" s="15">
        <f>IF(ISNA(VLOOKUP(A74,'Données projet'!$A$217:$I$237,3,0)),0,VLOOKUP(A74,'Données projet'!$A$217:$I$237,3,0))</f>
        <v>6</v>
      </c>
      <c r="FM74" s="15">
        <f>IF(ISNA(VLOOKUP(A74,'Données projet'!$A$217:$I$237,4,0)),0,VLOOKUP(A74,'Données projet'!$A$217:$I$237,4,0))</f>
        <v>52.07</v>
      </c>
      <c r="FN74" s="16">
        <f>IF(ISNA(VLOOKUP(A74,'Données projet'!$A$217:$I$237,5,0)),0%,VLOOKUP(A74,'Données projet'!$A$217:$I$237,5,0)*VLOOKUP('Données projet'!$B$16,Paramètres!$A$1:$I$89,7,0))</f>
        <v>0.53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94.246172383939864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94.246172383939864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4</v>
      </c>
      <c r="FZ74" s="12">
        <f>IF('Données projet'!$A$244&gt;35,FZ73+FY74-GH73,IF(A74&lt;'Données projet'!$A$244,$FW$205^A74,IF(A74='Données projet'!$A$244,'Données projet'!$B$244,FZ73+FY74-GH73)))</f>
        <v>192.00000000000011</v>
      </c>
      <c r="GA74" s="17">
        <f>FZ74*VLOOKUP('Données projet'!$B$17,Paramètres!$A$1:$I$89,3,0)*VLOOKUP('Données projet'!$B$17,Paramètres!$A$1:$I$89,5,0)</f>
        <v>125.79840000000007</v>
      </c>
      <c r="GB74" s="13">
        <f t="shared" si="103"/>
        <v>33.023644363399953</v>
      </c>
      <c r="GC74" s="20">
        <f t="shared" si="79"/>
        <v>276.61506059958839</v>
      </c>
      <c r="GD74" s="59">
        <f t="shared" si="80"/>
        <v>543.48774167763634</v>
      </c>
      <c r="GE74" s="59">
        <f ca="1">AVERAGE(OFFSET($GD$3,0,0,'Données projet'!$E$17+1,1))-AVERAGE(OFFSET($H$3,0,0,'Données projet'!$E$17+1,1))</f>
        <v>257.66104339896992</v>
      </c>
      <c r="GF74" s="59">
        <f t="shared" si="104"/>
        <v>254.79488636184996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34.789435657960134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34.789435657960134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4.5999999999999996</v>
      </c>
      <c r="GU74" s="12">
        <f>IF('Données projet'!$A$270&gt;35,GU73+GT74-HC73,IF(A74&lt;'Données projet'!$A$270,$GR$205^A74,IF(A74='Données projet'!$A$270,'Données projet'!$B$270,GU73+GT74-HC73)))</f>
        <v>208.60000000000014</v>
      </c>
      <c r="GV74" s="17">
        <f>GU74*VLOOKUP('Données projet'!$B$18,Paramètres!$A$1:$I$89,3,0)*VLOOKUP('Données projet'!$B$18,Paramètres!$A$1:$I$89,5,0)</f>
        <v>169.21632000000014</v>
      </c>
      <c r="GW74" s="13">
        <f t="shared" si="105"/>
        <v>42.91445816325745</v>
      </c>
      <c r="GX74" s="20">
        <f t="shared" si="82"/>
        <v>369.46110530100697</v>
      </c>
      <c r="GY74" s="59">
        <f t="shared" si="83"/>
        <v>636.33378637905491</v>
      </c>
      <c r="GZ74" s="59">
        <f ca="1">AVERAGE(OFFSET($GY$3,0,0,'Données projet'!$E$18+1,1))-AVERAGE(OFFSET($H$3,0,0,'Données projet'!$E$18+1,1))</f>
        <v>299.98377156721153</v>
      </c>
      <c r="HA74" s="59">
        <f t="shared" si="106"/>
        <v>241.36164657721102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30.129282798977442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30.129282798977442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11.009999999999998</v>
      </c>
      <c r="N75" s="13">
        <f>IF('Données projet'!$A$36&gt;35,N74+M75-V74,IF(A75&lt;'Données projet'!$A$36,$K$205^A75,IF(A75='Données projet'!$A$36,'Données projet'!$B$36,N74+M75-V74)))</f>
        <v>307.62999999999994</v>
      </c>
      <c r="O75" s="13">
        <f>N75*VLOOKUP('Données projet'!$B$9,Paramètres!$A$1:$I$89,3,0)*VLOOKUP('Données projet'!$B$9,Paramètres!$A$1:$I$89,5,0)</f>
        <v>278.34362399999992</v>
      </c>
      <c r="P75" s="13">
        <f t="shared" si="87"/>
        <v>66.616848235919079</v>
      </c>
      <c r="Q75" s="20">
        <f t="shared" si="54"/>
        <v>600.80615581089216</v>
      </c>
      <c r="R75" s="59">
        <f t="shared" si="55"/>
        <v>868.13787004841333</v>
      </c>
      <c r="S75" s="59">
        <f ca="1">AVERAGE(OFFSET($R$3,0,0,'Données projet'!$E$9+1,1))-AVERAGE(OFFSET($H$3,0,0,'Données projet'!$E$9+1,1))</f>
        <v>567.42635821507474</v>
      </c>
      <c r="T75" s="59">
        <f t="shared" si="88"/>
        <v>299.04735309930152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101.11486077024209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101.11486077024209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</v>
      </c>
      <c r="AI75" s="13">
        <f>IF('Données projet'!$A$62&gt;35,AI74+AH75-AQ74,IF(A75&lt;'Données projet'!$A$62,$AF$205^A75,IF(A75='Données projet'!$A$62,'Données projet'!$B$62,AI74+AH75-AQ74)))</f>
        <v>374</v>
      </c>
      <c r="AJ75" s="13">
        <f>AI75*VLOOKUP('Données projet'!$B$10,Paramètres!$A$1:$I$89,3,0)*VLOOKUP('Données projet'!$B$10,Paramètres!$A$1:$I$89,5,0)</f>
        <v>320.89200000000005</v>
      </c>
      <c r="AK75" s="13">
        <f t="shared" si="89"/>
        <v>75.538921531436799</v>
      </c>
      <c r="AL75" s="20">
        <f t="shared" si="58"/>
        <v>690.45052166725247</v>
      </c>
      <c r="AM75" s="59">
        <f t="shared" si="59"/>
        <v>957.78223590477364</v>
      </c>
      <c r="AN75" s="59">
        <f ca="1">AVERAGE(OFFSET($AM$3,0,0,'Données projet'!$E$10+1,1))-AVERAGE(OFFSET($H$3,0,0,'Données projet'!$E$10+1,1))</f>
        <v>569.97793593332699</v>
      </c>
      <c r="AO75" s="59">
        <f t="shared" si="90"/>
        <v>331.25104323342907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98.145618367848414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98.145618367848414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277.99999999999994</v>
      </c>
      <c r="BE75" s="13">
        <f>BD75*VLOOKUP('Données projet'!$B$11,Paramètres!$A$1:$I$89,3,0)*VLOOKUP('Données projet'!$B$11,Paramètres!$A$1:$I$89,5,0)</f>
        <v>151.78799999999998</v>
      </c>
      <c r="BF75" s="13">
        <f t="shared" si="91"/>
        <v>38.984634390835623</v>
      </c>
      <c r="BG75" s="20">
        <f t="shared" si="61"/>
        <v>332.26233823070532</v>
      </c>
      <c r="BH75" s="59">
        <f t="shared" si="62"/>
        <v>599.59405246822644</v>
      </c>
      <c r="BI75" s="59">
        <f ca="1">AVERAGE(OFFSET($BH$3,0,0,'Données projet'!$E$11+1,1))-AVERAGE(OFFSET($H$3,0,0,'Données projet'!$E$11+1,1))</f>
        <v>215.37314197175104</v>
      </c>
      <c r="BJ75" s="59">
        <f t="shared" si="92"/>
        <v>361.17630426655978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15.977273157757461</v>
      </c>
      <c r="BQ75" s="21">
        <f>EXP(-LN(2)/25)*BQ74+(1-EXP(-LN(2)/25))/(LN(2)/25)*Calculateur!BL75*Calculateur!BN75*VLOOKUP('Données projet'!$B$11,Paramètres!$A$1:$I$89,3,0)*0.475*44/12</f>
        <v>29.972875353402713</v>
      </c>
      <c r="BR75" s="21">
        <f>EXP(-LN(2)/2)*BR74+(1-EXP(-LN(2)/2))/(LN(2)/2)*BL75*BO75*VLOOKUP('Données projet'!$B$11,Paramètres!$A$1:$I$89,3,0)*0.475*44/12</f>
        <v>1.2090593132598751E-8</v>
      </c>
      <c r="BS75" s="22">
        <f t="shared" si="63"/>
        <v>45.950148523250768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0.8600000000003547</v>
      </c>
      <c r="BZ75" s="13">
        <f>BY75*VLOOKUP('Données projet'!$B$12,Paramètres!$A$1:$I$89,3,0)*VLOOKUP('Données projet'!$B$12,Paramètres!$A$1:$I$89,5,0)</f>
        <v>0.48074000000019829</v>
      </c>
      <c r="CA75" s="13">
        <f t="shared" si="93"/>
        <v>0.24126147010950588</v>
      </c>
      <c r="CB75" s="20">
        <f t="shared" si="64"/>
        <v>1.2574858937744013</v>
      </c>
      <c r="CC75" s="59">
        <f t="shared" si="65"/>
        <v>268.58920013129551</v>
      </c>
      <c r="CD75" s="59">
        <f ca="1">AVERAGE(OFFSET($CC$3,0,0,'Données projet'!$E$12+1,1))-AVERAGE(OFFSET($H$3,0,0,'Données projet'!$E$12+1,1))</f>
        <v>420.4890915162182</v>
      </c>
      <c r="CE75" s="59">
        <f t="shared" si="94"/>
        <v>553.48432338023565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265.5112589737933</v>
      </c>
      <c r="CL75" s="21">
        <f>EXP(-LN(2)/25)*CL74+(1-EXP(-LN(2)/25))/(LN(2)/25)*Calculateur!CG75*Calculateur!CI75*VLOOKUP('Données projet'!$B$12,Paramètres!$A$1:$I$89,3,0)*0.475*44/12</f>
        <v>15.782415790092632</v>
      </c>
      <c r="CM75" s="21">
        <f>EXP(-LN(2)/2)*CM74+(1-EXP(-LN(2)/2))/(LN(2)/2)*CG75*CJ75*VLOOKUP('Données projet'!$B$12,Paramètres!$A$1:$I$89,3,0)*0.475*44/12</f>
        <v>3.528216023744641E-7</v>
      </c>
      <c r="CN75" s="22">
        <f t="shared" si="66"/>
        <v>281.2936751167075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360.59999999999968</v>
      </c>
      <c r="CU75" s="17">
        <f>CT75*VLOOKUP('Données projet'!$B$13,Paramètres!$A$1:$I$89,3,0)*VLOOKUP('Données projet'!$B$13,Paramètres!$A$1:$I$89,5,0)</f>
        <v>264.39191999999974</v>
      </c>
      <c r="CV75" s="13">
        <f t="shared" si="95"/>
        <v>63.657643181110089</v>
      </c>
      <c r="CW75" s="20">
        <f t="shared" si="67"/>
        <v>571.35298920709954</v>
      </c>
      <c r="CX75" s="59">
        <f t="shared" si="68"/>
        <v>838.68470344462071</v>
      </c>
      <c r="CY75" s="59">
        <f ca="1">AVERAGE(OFFSET($CX$3,0,0,'Données projet'!$E$13+1,1))-AVERAGE(OFFSET($H$3,0,0,'Données projet'!$E$13+1,1))</f>
        <v>400.48995908576177</v>
      </c>
      <c r="CZ75" s="59">
        <f t="shared" si="96"/>
        <v>384.86917865380076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43.506318213836934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43.506318213836934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4.8</v>
      </c>
      <c r="DO75" s="12">
        <f>IF('Données projet'!$A$166&gt;35,DO74+DN75-DW74,IF(A75&lt;'Données projet'!$A$166,$DL$205^A75,IF(A75='Données projet'!$A$166,'Données projet'!$B$166,DO74+DN75-DW74)))</f>
        <v>360.59999999999968</v>
      </c>
      <c r="DP75" s="17">
        <f>DO75*VLOOKUP('Données projet'!$B$14,Paramètres!$A$1:$I$89,3,0)*VLOOKUP('Données projet'!$B$14,Paramètres!$A$1:$I$89,5,0)</f>
        <v>286.89335999999975</v>
      </c>
      <c r="DQ75" s="13">
        <f t="shared" si="97"/>
        <v>68.421705584684744</v>
      </c>
      <c r="DR75" s="20">
        <f t="shared" si="70"/>
        <v>618.84040589332551</v>
      </c>
      <c r="DS75" s="59">
        <f t="shared" si="71"/>
        <v>886.17212013084668</v>
      </c>
      <c r="DT75" s="59">
        <f ca="1">AVERAGE(OFFSET($DS$3,0,0,'Données projet'!$E$14+1,1))-AVERAGE(OFFSET($H$3,0,0,'Données projet'!$E$14+1,1))</f>
        <v>429.30603040255431</v>
      </c>
      <c r="DU75" s="59">
        <f t="shared" si="98"/>
        <v>412.18613903804726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58.187816987630484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58.187816987630484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210.25641025641013</v>
      </c>
      <c r="EK75" s="17">
        <f>EJ75*VLOOKUP('Données projet'!$B$15,Paramètres!$A$1:$I$89,3,0)*VLOOKUP('Données projet'!$B$15,Paramètres!$A$1:$I$89,5,0)</f>
        <v>163.99999999999991</v>
      </c>
      <c r="EL75" s="13">
        <f t="shared" si="99"/>
        <v>41.743425908362248</v>
      </c>
      <c r="EM75" s="20">
        <f t="shared" si="73"/>
        <v>358.33646679039742</v>
      </c>
      <c r="EN75" s="59">
        <f t="shared" si="74"/>
        <v>625.66818102791854</v>
      </c>
      <c r="EO75" s="59">
        <f ca="1">AVERAGE(OFFSET($EN$3,0,0,'Données projet'!$E$15+1,1))-AVERAGE(OFFSET($H$3,0,0,'Données projet'!$E$15+1,1))</f>
        <v>217.53602321474159</v>
      </c>
      <c r="EP75" s="59">
        <f t="shared" si="100"/>
        <v>215.75909414893025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30.43215418216877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30.43215418216877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11.009999999999998</v>
      </c>
      <c r="FE75" s="12">
        <f>IF('Données projet'!$A$218&gt;35,FE74+FD75-FM74,IF(A75&lt;'Données projet'!$A$218,$FB$205^A75,IF(A75='Données projet'!$A$218,'Données projet'!$B$218,FE74+FD75-FM74)))</f>
        <v>307.62999999999994</v>
      </c>
      <c r="FF75" s="17">
        <f>FE75*VLOOKUP('Données projet'!$B$16,Paramètres!$A$1:$I$89,3,0)*VLOOKUP('Données projet'!$B$16,Paramètres!$A$1:$I$89,5,0)</f>
        <v>206.35820399999997</v>
      </c>
      <c r="FG75" s="13">
        <f t="shared" si="101"/>
        <v>51.138953190944207</v>
      </c>
      <c r="FH75" s="20">
        <f t="shared" si="76"/>
        <v>448.47421544089434</v>
      </c>
      <c r="FI75" s="59">
        <f t="shared" si="77"/>
        <v>715.8059296784154</v>
      </c>
      <c r="FJ75" s="59">
        <f ca="1">AVERAGE(OFFSET($FI$3,0,0,'Données projet'!$E$16+1,1))-AVERAGE(OFFSET($H$3,0,0,'Données projet'!$E$16+1,1))</f>
        <v>441.20130048888439</v>
      </c>
      <c r="FK75" s="59">
        <f t="shared" si="102"/>
        <v>237.47732532183946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92.398062427979838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92.398062427979838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4</v>
      </c>
      <c r="FZ75" s="12">
        <f>IF('Données projet'!$A$244&gt;35,FZ74+FY75-GH74,IF(A75&lt;'Données projet'!$A$244,$FW$205^A75,IF(A75='Données projet'!$A$244,'Données projet'!$B$244,FZ74+FY75-GH74)))</f>
        <v>196.00000000000011</v>
      </c>
      <c r="GA75" s="17">
        <f>FZ75*VLOOKUP('Données projet'!$B$17,Paramètres!$A$1:$I$89,3,0)*VLOOKUP('Données projet'!$B$17,Paramètres!$A$1:$I$89,5,0)</f>
        <v>128.41920000000007</v>
      </c>
      <c r="GB75" s="13">
        <f t="shared" si="103"/>
        <v>33.630823177860762</v>
      </c>
      <c r="GC75" s="20">
        <f t="shared" si="79"/>
        <v>282.23712370144091</v>
      </c>
      <c r="GD75" s="59">
        <f t="shared" si="80"/>
        <v>549.56883793896202</v>
      </c>
      <c r="GE75" s="59">
        <f ca="1">AVERAGE(OFFSET($GD$3,0,0,'Données projet'!$E$17+1,1))-AVERAGE(OFFSET($H$3,0,0,'Données projet'!$E$17+1,1))</f>
        <v>257.66104339896992</v>
      </c>
      <c r="GF75" s="59">
        <f t="shared" si="104"/>
        <v>254.79488636184996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34.10723604416804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34.10723604416804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4.5999999999999996</v>
      </c>
      <c r="GU75" s="12">
        <f>IF('Données projet'!$A$270&gt;35,GU74+GT75-HC74,IF(A75&lt;'Données projet'!$A$270,$GR$205^A75,IF(A75='Données projet'!$A$270,'Données projet'!$B$270,GU74+GT75-HC74)))</f>
        <v>213.20000000000013</v>
      </c>
      <c r="GV75" s="17">
        <f>GU75*VLOOKUP('Données projet'!$B$18,Paramètres!$A$1:$I$89,3,0)*VLOOKUP('Données projet'!$B$18,Paramètres!$A$1:$I$89,5,0)</f>
        <v>172.94784000000013</v>
      </c>
      <c r="GW75" s="13">
        <f t="shared" si="105"/>
        <v>43.749579650768077</v>
      </c>
      <c r="GX75" s="20">
        <f t="shared" si="82"/>
        <v>377.41467255842127</v>
      </c>
      <c r="GY75" s="59">
        <f t="shared" si="83"/>
        <v>644.74638679594239</v>
      </c>
      <c r="GZ75" s="59">
        <f ca="1">AVERAGE(OFFSET($GY$3,0,0,'Données projet'!$E$18+1,1))-AVERAGE(OFFSET($H$3,0,0,'Données projet'!$E$18+1,1))</f>
        <v>299.98377156721153</v>
      </c>
      <c r="HA75" s="59">
        <f t="shared" si="106"/>
        <v>241.36164657721102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29.538465940337421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29.538465940337421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11.009999999999998</v>
      </c>
      <c r="N76" s="13">
        <f>IF('Données projet'!$A$36&gt;35,N75+M76-V75,IF(A76&lt;'Données projet'!$A$36,$K$205^A76,IF(A76='Données projet'!$A$36,'Données projet'!$B$36,N75+M76-V75)))</f>
        <v>318.63999999999993</v>
      </c>
      <c r="O76" s="13">
        <f>N76*VLOOKUP('Données projet'!$B$9,Paramètres!$A$1:$I$89,3,0)*VLOOKUP('Données projet'!$B$9,Paramètres!$A$1:$I$89,5,0)</f>
        <v>288.30547199999995</v>
      </c>
      <c r="P76" s="13">
        <f t="shared" si="87"/>
        <v>68.719196733788849</v>
      </c>
      <c r="Q76" s="20">
        <f t="shared" si="54"/>
        <v>621.81796471134874</v>
      </c>
      <c r="R76" s="59">
        <f t="shared" si="55"/>
        <v>889.60074890927058</v>
      </c>
      <c r="S76" s="59">
        <f ca="1">AVERAGE(OFFSET($R$3,0,0,'Données projet'!$E$9+1,1))-AVERAGE(OFFSET($H$3,0,0,'Données projet'!$E$9+1,1))</f>
        <v>567.42635821507474</v>
      </c>
      <c r="T76" s="59">
        <f t="shared" si="88"/>
        <v>299.04735309930152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99.13206002451291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99.13206002451291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</v>
      </c>
      <c r="AI76" s="13">
        <f>IF('Données projet'!$A$62&gt;35,AI75+AH76-AQ75,IF(A76&lt;'Données projet'!$A$62,$AF$205^A76,IF(A76='Données projet'!$A$62,'Données projet'!$B$62,AI75+AH76-AQ75)))</f>
        <v>385</v>
      </c>
      <c r="AJ76" s="13">
        <f>AI76*VLOOKUP('Données projet'!$B$10,Paramètres!$A$1:$I$89,3,0)*VLOOKUP('Données projet'!$B$10,Paramètres!$A$1:$I$89,5,0)</f>
        <v>330.33000000000004</v>
      </c>
      <c r="AK76" s="13">
        <f t="shared" si="89"/>
        <v>77.498720610826084</v>
      </c>
      <c r="AL76" s="20">
        <f t="shared" si="58"/>
        <v>710.30168839718874</v>
      </c>
      <c r="AM76" s="59">
        <f t="shared" si="59"/>
        <v>978.08447259511058</v>
      </c>
      <c r="AN76" s="59">
        <f ca="1">AVERAGE(OFFSET($AM$3,0,0,'Données projet'!$E$10+1,1))-AVERAGE(OFFSET($H$3,0,0,'Données projet'!$E$10+1,1))</f>
        <v>569.97793593332699</v>
      </c>
      <c r="AO76" s="59">
        <f t="shared" si="90"/>
        <v>331.25104323342907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96.221042654571136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96.221042654571136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277.99999999999994</v>
      </c>
      <c r="BE76" s="13">
        <f>BD76*VLOOKUP('Données projet'!$B$11,Paramètres!$A$1:$I$89,3,0)*VLOOKUP('Données projet'!$B$11,Paramètres!$A$1:$I$89,5,0)</f>
        <v>151.78799999999998</v>
      </c>
      <c r="BF76" s="13">
        <f t="shared" si="91"/>
        <v>38.984634390835623</v>
      </c>
      <c r="BG76" s="20">
        <f t="shared" si="61"/>
        <v>332.26233823070532</v>
      </c>
      <c r="BH76" s="59">
        <f t="shared" si="62"/>
        <v>600.04512242862711</v>
      </c>
      <c r="BI76" s="59">
        <f ca="1">AVERAGE(OFFSET($BH$3,0,0,'Données projet'!$E$11+1,1))-AVERAGE(OFFSET($H$3,0,0,'Données projet'!$E$11+1,1))</f>
        <v>215.37314197175104</v>
      </c>
      <c r="BJ76" s="59">
        <f t="shared" si="92"/>
        <v>361.17630426655978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15.663968576308207</v>
      </c>
      <c r="BQ76" s="21">
        <f>EXP(-LN(2)/25)*BQ75+(1-EXP(-LN(2)/25))/(LN(2)/25)*Calculateur!BL76*Calculateur!BN76*VLOOKUP('Données projet'!$B$11,Paramètres!$A$1:$I$89,3,0)*0.475*44/12</f>
        <v>29.153265500658904</v>
      </c>
      <c r="BR76" s="21">
        <f>EXP(-LN(2)/2)*BR75+(1-EXP(-LN(2)/2))/(LN(2)/2)*BL76*BO76*VLOOKUP('Données projet'!$B$11,Paramètres!$A$1:$I$89,3,0)*0.475*44/12</f>
        <v>8.549340392628079E-9</v>
      </c>
      <c r="BS76" s="22">
        <f t="shared" si="63"/>
        <v>44.817234085516453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0.8600000000003547</v>
      </c>
      <c r="BZ76" s="13">
        <f>BY76*VLOOKUP('Données projet'!$B$12,Paramètres!$A$1:$I$89,3,0)*VLOOKUP('Données projet'!$B$12,Paramètres!$A$1:$I$89,5,0)</f>
        <v>0.48074000000019829</v>
      </c>
      <c r="CA76" s="13">
        <f t="shared" si="93"/>
        <v>0.24126147010950588</v>
      </c>
      <c r="CB76" s="20">
        <f t="shared" si="64"/>
        <v>1.2574858937744013</v>
      </c>
      <c r="CC76" s="59">
        <f t="shared" si="65"/>
        <v>269.04027009169619</v>
      </c>
      <c r="CD76" s="59">
        <f ca="1">AVERAGE(OFFSET($CC$3,0,0,'Données projet'!$E$12+1,1))-AVERAGE(OFFSET($H$3,0,0,'Données projet'!$E$12+1,1))</f>
        <v>420.4890915162182</v>
      </c>
      <c r="CE76" s="59">
        <f t="shared" si="94"/>
        <v>553.48432338023565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260.30474513119435</v>
      </c>
      <c r="CL76" s="21">
        <f>EXP(-LN(2)/25)*CL75+(1-EXP(-LN(2)/25))/(LN(2)/25)*Calculateur!CG76*Calculateur!CI76*VLOOKUP('Données projet'!$B$12,Paramètres!$A$1:$I$89,3,0)*0.475*44/12</f>
        <v>15.350844800351373</v>
      </c>
      <c r="CM76" s="21">
        <f>EXP(-LN(2)/2)*CM75+(1-EXP(-LN(2)/2))/(LN(2)/2)*CG76*CJ76*VLOOKUP('Données projet'!$B$12,Paramètres!$A$1:$I$89,3,0)*0.475*44/12</f>
        <v>2.4948254758808726E-7</v>
      </c>
      <c r="CN76" s="22">
        <f t="shared" si="66"/>
        <v>275.65559018102823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365.39999999999969</v>
      </c>
      <c r="CU76" s="17">
        <f>CT76*VLOOKUP('Données projet'!$B$13,Paramètres!$A$1:$I$89,3,0)*VLOOKUP('Données projet'!$B$13,Paramètres!$A$1:$I$89,5,0)</f>
        <v>267.91127999999981</v>
      </c>
      <c r="CV76" s="13">
        <f t="shared" si="95"/>
        <v>64.405790031310872</v>
      </c>
      <c r="CW76" s="20">
        <f t="shared" si="67"/>
        <v>578.78556363786606</v>
      </c>
      <c r="CX76" s="59">
        <f t="shared" si="68"/>
        <v>846.56834783578779</v>
      </c>
      <c r="CY76" s="59">
        <f ca="1">AVERAGE(OFFSET($CX$3,0,0,'Données projet'!$E$13+1,1))-AVERAGE(OFFSET($H$3,0,0,'Données projet'!$E$13+1,1))</f>
        <v>400.48995908576177</v>
      </c>
      <c r="CZ76" s="59">
        <f t="shared" si="96"/>
        <v>384.86917865380076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42.653185849897469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42.653185849897469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4.8</v>
      </c>
      <c r="DO76" s="12">
        <f>IF('Données projet'!$A$166&gt;35,DO75+DN76-DW75,IF(A76&lt;'Données projet'!$A$166,$DL$205^A76,IF(A76='Données projet'!$A$166,'Données projet'!$B$166,DO75+DN76-DW75)))</f>
        <v>365.39999999999969</v>
      </c>
      <c r="DP76" s="17">
        <f>DO76*VLOOKUP('Données projet'!$B$14,Paramètres!$A$1:$I$89,3,0)*VLOOKUP('Données projet'!$B$14,Paramètres!$A$1:$I$89,5,0)</f>
        <v>290.71223999999978</v>
      </c>
      <c r="DQ76" s="13">
        <f t="shared" si="97"/>
        <v>69.225842856510994</v>
      </c>
      <c r="DR76" s="20">
        <f t="shared" si="70"/>
        <v>626.89216097508961</v>
      </c>
      <c r="DS76" s="59">
        <f t="shared" si="71"/>
        <v>894.67494517301134</v>
      </c>
      <c r="DT76" s="59">
        <f ca="1">AVERAGE(OFFSET($DS$3,0,0,'Données projet'!$E$14+1,1))-AVERAGE(OFFSET($H$3,0,0,'Données projet'!$E$14+1,1))</f>
        <v>429.30603040255431</v>
      </c>
      <c r="DU76" s="59">
        <f t="shared" si="98"/>
        <v>412.18613903804726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57.04678938756696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57.04678938756696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210.25641025641013</v>
      </c>
      <c r="EK76" s="17">
        <f>EJ76*VLOOKUP('Données projet'!$B$15,Paramètres!$A$1:$I$89,3,0)*VLOOKUP('Données projet'!$B$15,Paramètres!$A$1:$I$89,5,0)</f>
        <v>163.99999999999991</v>
      </c>
      <c r="EL76" s="13">
        <f t="shared" si="99"/>
        <v>41.743425908362248</v>
      </c>
      <c r="EM76" s="20">
        <f t="shared" si="73"/>
        <v>358.33646679039742</v>
      </c>
      <c r="EN76" s="59">
        <f t="shared" si="74"/>
        <v>626.11925098831921</v>
      </c>
      <c r="EO76" s="59">
        <f ca="1">AVERAGE(OFFSET($EN$3,0,0,'Données projet'!$E$15+1,1))-AVERAGE(OFFSET($H$3,0,0,'Données projet'!$E$15+1,1))</f>
        <v>217.53602321474159</v>
      </c>
      <c r="EP76" s="59">
        <f t="shared" si="100"/>
        <v>215.75909414893025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29.835398200437666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29.835398200437666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11.009999999999998</v>
      </c>
      <c r="FE76" s="12">
        <f>IF('Données projet'!$A$218&gt;35,FE75+FD76-FM75,IF(A76&lt;'Données projet'!$A$218,$FB$205^A76,IF(A76='Données projet'!$A$218,'Données projet'!$B$218,FE75+FD76-FM75)))</f>
        <v>318.63999999999993</v>
      </c>
      <c r="FF76" s="17">
        <f>FE76*VLOOKUP('Données projet'!$B$16,Paramètres!$A$1:$I$89,3,0)*VLOOKUP('Données projet'!$B$16,Paramètres!$A$1:$I$89,5,0)</f>
        <v>213.74371199999996</v>
      </c>
      <c r="FG76" s="13">
        <f t="shared" si="101"/>
        <v>52.752837730225643</v>
      </c>
      <c r="FH76" s="20">
        <f t="shared" si="76"/>
        <v>464.14815744680953</v>
      </c>
      <c r="FI76" s="59">
        <f t="shared" si="77"/>
        <v>731.93094164473132</v>
      </c>
      <c r="FJ76" s="59">
        <f ca="1">AVERAGE(OFFSET($FI$3,0,0,'Données projet'!$E$16+1,1))-AVERAGE(OFFSET($H$3,0,0,'Données projet'!$E$16+1,1))</f>
        <v>441.20130048888439</v>
      </c>
      <c r="FK76" s="59">
        <f t="shared" si="102"/>
        <v>237.47732532183946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90.586192781020415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90.586192781020415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4</v>
      </c>
      <c r="FZ76" s="12">
        <f>IF('Données projet'!$A$244&gt;35,FZ75+FY76-GH75,IF(A76&lt;'Données projet'!$A$244,$FW$205^A76,IF(A76='Données projet'!$A$244,'Données projet'!$B$244,FZ75+FY76-GH75)))</f>
        <v>200.00000000000011</v>
      </c>
      <c r="GA76" s="17">
        <f>FZ76*VLOOKUP('Données projet'!$B$17,Paramètres!$A$1:$I$89,3,0)*VLOOKUP('Données projet'!$B$17,Paramètres!$A$1:$I$89,5,0)</f>
        <v>131.04000000000008</v>
      </c>
      <c r="GB76" s="13">
        <f t="shared" si="103"/>
        <v>34.236561238949918</v>
      </c>
      <c r="GC76" s="20">
        <f t="shared" si="79"/>
        <v>287.85667749117118</v>
      </c>
      <c r="GD76" s="59">
        <f t="shared" si="80"/>
        <v>555.63946168909297</v>
      </c>
      <c r="GE76" s="59">
        <f ca="1">AVERAGE(OFFSET($GD$3,0,0,'Données projet'!$E$17+1,1))-AVERAGE(OFFSET($H$3,0,0,'Données projet'!$E$17+1,1))</f>
        <v>257.66104339896992</v>
      </c>
      <c r="GF76" s="59">
        <f t="shared" si="104"/>
        <v>254.79488636184996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33.438413948701729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33.438413948701729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4.5999999999999996</v>
      </c>
      <c r="GU76" s="12">
        <f>IF('Données projet'!$A$270&gt;35,GU75+GT76-HC75,IF(A76&lt;'Données projet'!$A$270,$GR$205^A76,IF(A76='Données projet'!$A$270,'Données projet'!$B$270,GU75+GT76-HC75)))</f>
        <v>217.80000000000013</v>
      </c>
      <c r="GV76" s="17">
        <f>GU76*VLOOKUP('Données projet'!$B$18,Paramètres!$A$1:$I$89,3,0)*VLOOKUP('Données projet'!$B$18,Paramètres!$A$1:$I$89,5,0)</f>
        <v>176.67936000000012</v>
      </c>
      <c r="GW76" s="13">
        <f t="shared" si="105"/>
        <v>44.5826062365838</v>
      </c>
      <c r="GX76" s="20">
        <f t="shared" si="82"/>
        <v>385.36459119538364</v>
      </c>
      <c r="GY76" s="59">
        <f t="shared" si="83"/>
        <v>653.14737539330542</v>
      </c>
      <c r="GZ76" s="59">
        <f ca="1">AVERAGE(OFFSET($GY$3,0,0,'Données projet'!$E$18+1,1))-AVERAGE(OFFSET($H$3,0,0,'Données projet'!$E$18+1,1))</f>
        <v>299.98377156721153</v>
      </c>
      <c r="HA76" s="59">
        <f t="shared" si="106"/>
        <v>241.36164657721102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28.959234639932628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28.959234639932628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11.009999999999998</v>
      </c>
      <c r="N77" s="13">
        <f>IF('Données projet'!$A$36&gt;35,N76+M77-V76,IF(A77&lt;'Données projet'!$A$36,$K$205^A77,IF(A77='Données projet'!$A$36,'Données projet'!$B$36,N76+M77-V76)))</f>
        <v>329.64999999999992</v>
      </c>
      <c r="O77" s="13">
        <f>N77*VLOOKUP('Données projet'!$B$9,Paramètres!$A$1:$I$89,3,0)*VLOOKUP('Données projet'!$B$9,Paramètres!$A$1:$I$89,5,0)</f>
        <v>298.26731999999993</v>
      </c>
      <c r="P77" s="13">
        <f t="shared" si="87"/>
        <v>70.813104833271126</v>
      </c>
      <c r="Q77" s="20">
        <f t="shared" si="54"/>
        <v>642.81507325128052</v>
      </c>
      <c r="R77" s="59">
        <f t="shared" si="55"/>
        <v>911.04110235423138</v>
      </c>
      <c r="S77" s="59">
        <f ca="1">AVERAGE(OFFSET($R$3,0,0,'Données projet'!$E$9+1,1))-AVERAGE(OFFSET($H$3,0,0,'Données projet'!$E$9+1,1))</f>
        <v>567.42635821507474</v>
      </c>
      <c r="T77" s="59">
        <f t="shared" si="88"/>
        <v>299.04735309930152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97.188140792018444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97.188140792018444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</v>
      </c>
      <c r="AI77" s="13">
        <f>IF('Données projet'!$A$62&gt;35,AI76+AH77-AQ76,IF(A77&lt;'Données projet'!$A$62,$AF$205^A77,IF(A77='Données projet'!$A$62,'Données projet'!$B$62,AI76+AH77-AQ76)))</f>
        <v>396</v>
      </c>
      <c r="AJ77" s="13">
        <f>AI77*VLOOKUP('Données projet'!$B$10,Paramètres!$A$1:$I$89,3,0)*VLOOKUP('Données projet'!$B$10,Paramètres!$A$1:$I$89,5,0)</f>
        <v>339.76800000000003</v>
      </c>
      <c r="AK77" s="13">
        <f t="shared" si="89"/>
        <v>79.452011848891914</v>
      </c>
      <c r="AL77" s="20">
        <f t="shared" si="58"/>
        <v>730.14152063682013</v>
      </c>
      <c r="AM77" s="59">
        <f t="shared" si="59"/>
        <v>998.36754973977099</v>
      </c>
      <c r="AN77" s="59">
        <f ca="1">AVERAGE(OFFSET($AM$3,0,0,'Données projet'!$E$10+1,1))-AVERAGE(OFFSET($H$3,0,0,'Données projet'!$E$10+1,1))</f>
        <v>569.97793593332699</v>
      </c>
      <c r="AO77" s="59">
        <f t="shared" si="90"/>
        <v>331.25104323342907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94.334206697155949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94.334206697155949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277.99999999999994</v>
      </c>
      <c r="BE77" s="13">
        <f>BD77*VLOOKUP('Données projet'!$B$11,Paramètres!$A$1:$I$89,3,0)*VLOOKUP('Données projet'!$B$11,Paramètres!$A$1:$I$89,5,0)</f>
        <v>151.78799999999998</v>
      </c>
      <c r="BF77" s="13">
        <f t="shared" si="91"/>
        <v>38.984634390835623</v>
      </c>
      <c r="BG77" s="20">
        <f t="shared" si="61"/>
        <v>332.26233823070532</v>
      </c>
      <c r="BH77" s="59">
        <f t="shared" si="62"/>
        <v>600.48836733365624</v>
      </c>
      <c r="BI77" s="59">
        <f ca="1">AVERAGE(OFFSET($BH$3,0,0,'Données projet'!$E$11+1,1))-AVERAGE(OFFSET($H$3,0,0,'Données projet'!$E$11+1,1))</f>
        <v>215.37314197175104</v>
      </c>
      <c r="BJ77" s="59">
        <f t="shared" si="92"/>
        <v>361.17630426655978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15.356807706604247</v>
      </c>
      <c r="BQ77" s="21">
        <f>EXP(-LN(2)/25)*BQ76+(1-EXP(-LN(2)/25))/(LN(2)/25)*Calculateur!BL77*Calculateur!BN77*VLOOKUP('Données projet'!$B$11,Paramètres!$A$1:$I$89,3,0)*0.475*44/12</f>
        <v>28.356067922439784</v>
      </c>
      <c r="BR77" s="21">
        <f>EXP(-LN(2)/2)*BR76+(1-EXP(-LN(2)/2))/(LN(2)/2)*BL77*BO77*VLOOKUP('Données projet'!$B$11,Paramètres!$A$1:$I$89,3,0)*0.475*44/12</f>
        <v>6.0452965662993755E-9</v>
      </c>
      <c r="BS77" s="22">
        <f t="shared" si="63"/>
        <v>43.712875635089333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0.8600000000003547</v>
      </c>
      <c r="BZ77" s="13">
        <f>BY77*VLOOKUP('Données projet'!$B$12,Paramètres!$A$1:$I$89,3,0)*VLOOKUP('Données projet'!$B$12,Paramètres!$A$1:$I$89,5,0)</f>
        <v>0.48074000000019829</v>
      </c>
      <c r="CA77" s="13">
        <f t="shared" si="93"/>
        <v>0.24126147010950588</v>
      </c>
      <c r="CB77" s="20">
        <f t="shared" si="64"/>
        <v>1.2574858937744013</v>
      </c>
      <c r="CC77" s="59">
        <f t="shared" si="65"/>
        <v>269.48351499672526</v>
      </c>
      <c r="CD77" s="59">
        <f ca="1">AVERAGE(OFFSET($CC$3,0,0,'Données projet'!$E$12+1,1))-AVERAGE(OFFSET($H$3,0,0,'Données projet'!$E$12+1,1))</f>
        <v>420.4890915162182</v>
      </c>
      <c r="CE77" s="59">
        <f t="shared" si="94"/>
        <v>553.48432338023565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255.20032784938891</v>
      </c>
      <c r="CL77" s="21">
        <f>EXP(-LN(2)/25)*CL76+(1-EXP(-LN(2)/25))/(LN(2)/25)*Calculateur!CG77*Calculateur!CI77*VLOOKUP('Données projet'!$B$12,Paramètres!$A$1:$I$89,3,0)*0.475*44/12</f>
        <v>14.931075142019921</v>
      </c>
      <c r="CM77" s="21">
        <f>EXP(-LN(2)/2)*CM76+(1-EXP(-LN(2)/2))/(LN(2)/2)*CG77*CJ77*VLOOKUP('Données projet'!$B$12,Paramètres!$A$1:$I$89,3,0)*0.475*44/12</f>
        <v>1.7641080118723205E-7</v>
      </c>
      <c r="CN77" s="22">
        <f t="shared" si="66"/>
        <v>270.13140316781966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370.1999999999997</v>
      </c>
      <c r="CU77" s="17">
        <f>CT77*VLOOKUP('Données projet'!$B$13,Paramètres!$A$1:$I$89,3,0)*VLOOKUP('Données projet'!$B$13,Paramètres!$A$1:$I$89,5,0)</f>
        <v>271.43063999999981</v>
      </c>
      <c r="CV77" s="13">
        <f t="shared" si="95"/>
        <v>65.152793756453633</v>
      </c>
      <c r="CW77" s="20">
        <f t="shared" si="67"/>
        <v>586.21614712582311</v>
      </c>
      <c r="CX77" s="59">
        <f t="shared" si="68"/>
        <v>854.44217622877397</v>
      </c>
      <c r="CY77" s="59">
        <f ca="1">AVERAGE(OFFSET($CX$3,0,0,'Données projet'!$E$13+1,1))-AVERAGE(OFFSET($H$3,0,0,'Données projet'!$E$13+1,1))</f>
        <v>400.48995908576177</v>
      </c>
      <c r="CZ77" s="59">
        <f t="shared" si="96"/>
        <v>384.86917865380076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41.816782891255492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41.816782891255492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4.8</v>
      </c>
      <c r="DO77" s="12">
        <f>IF('Données projet'!$A$166&gt;35,DO76+DN77-DW76,IF(A77&lt;'Données projet'!$A$166,$DL$205^A77,IF(A77='Données projet'!$A$166,'Données projet'!$B$166,DO76+DN77-DW76)))</f>
        <v>370.1999999999997</v>
      </c>
      <c r="DP77" s="17">
        <f>DO77*VLOOKUP('Données projet'!$B$14,Paramètres!$A$1:$I$89,3,0)*VLOOKUP('Données projet'!$B$14,Paramètres!$A$1:$I$89,5,0)</f>
        <v>294.53111999999976</v>
      </c>
      <c r="DQ77" s="13">
        <f t="shared" si="97"/>
        <v>70.028751453157682</v>
      </c>
      <c r="DR77" s="20">
        <f t="shared" si="70"/>
        <v>634.94177611424914</v>
      </c>
      <c r="DS77" s="59">
        <f t="shared" si="71"/>
        <v>903.1678052172</v>
      </c>
      <c r="DT77" s="59">
        <f ca="1">AVERAGE(OFFSET($DS$3,0,0,'Données projet'!$E$14+1,1))-AVERAGE(OFFSET($H$3,0,0,'Données projet'!$E$14+1,1))</f>
        <v>429.30603040255431</v>
      </c>
      <c r="DU77" s="59">
        <f t="shared" si="98"/>
        <v>412.18613903804726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55.928136642782569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55.928136642782569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210.25641025641013</v>
      </c>
      <c r="EK77" s="17">
        <f>EJ77*VLOOKUP('Données projet'!$B$15,Paramètres!$A$1:$I$89,3,0)*VLOOKUP('Données projet'!$B$15,Paramètres!$A$1:$I$89,5,0)</f>
        <v>163.99999999999991</v>
      </c>
      <c r="EL77" s="13">
        <f t="shared" si="99"/>
        <v>41.743425908362248</v>
      </c>
      <c r="EM77" s="20">
        <f t="shared" si="73"/>
        <v>358.33646679039742</v>
      </c>
      <c r="EN77" s="59">
        <f t="shared" si="74"/>
        <v>626.56249589334834</v>
      </c>
      <c r="EO77" s="59">
        <f ca="1">AVERAGE(OFFSET($EN$3,0,0,'Données projet'!$E$15+1,1))-AVERAGE(OFFSET($H$3,0,0,'Données projet'!$E$15+1,1))</f>
        <v>217.53602321474159</v>
      </c>
      <c r="EP77" s="59">
        <f t="shared" si="100"/>
        <v>215.75909414893025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29.250344239523102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29.250344239523102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11.009999999999998</v>
      </c>
      <c r="FE77" s="12">
        <f>IF('Données projet'!$A$218&gt;35,FE76+FD77-FM76,IF(A77&lt;'Données projet'!$A$218,$FB$205^A77,IF(A77='Données projet'!$A$218,'Données projet'!$B$218,FE76+FD77-FM76)))</f>
        <v>329.64999999999992</v>
      </c>
      <c r="FF77" s="17">
        <f>FE77*VLOOKUP('Données projet'!$B$16,Paramètres!$A$1:$I$89,3,0)*VLOOKUP('Données projet'!$B$16,Paramètres!$A$1:$I$89,5,0)</f>
        <v>221.12921999999995</v>
      </c>
      <c r="FG77" s="13">
        <f t="shared" si="101"/>
        <v>54.360242930579048</v>
      </c>
      <c r="FH77" s="20">
        <f t="shared" si="76"/>
        <v>479.81081460409172</v>
      </c>
      <c r="FI77" s="59">
        <f t="shared" si="77"/>
        <v>748.03684370704264</v>
      </c>
      <c r="FJ77" s="59">
        <f ca="1">AVERAGE(OFFSET($FI$3,0,0,'Données projet'!$E$16+1,1))-AVERAGE(OFFSET($H$3,0,0,'Données projet'!$E$16+1,1))</f>
        <v>441.20130048888439</v>
      </c>
      <c r="FK77" s="59">
        <f t="shared" si="102"/>
        <v>237.47732532183946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88.809852792706508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88.809852792706508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4</v>
      </c>
      <c r="FZ77" s="12">
        <f>IF('Données projet'!$A$244&gt;35,FZ76+FY77-GH76,IF(A77&lt;'Données projet'!$A$244,$FW$205^A77,IF(A77='Données projet'!$A$244,'Données projet'!$B$244,FZ76+FY77-GH76)))</f>
        <v>204.00000000000011</v>
      </c>
      <c r="GA77" s="17">
        <f>FZ77*VLOOKUP('Données projet'!$B$17,Paramètres!$A$1:$I$89,3,0)*VLOOKUP('Données projet'!$B$17,Paramètres!$A$1:$I$89,5,0)</f>
        <v>133.66080000000008</v>
      </c>
      <c r="GB77" s="13">
        <f t="shared" si="103"/>
        <v>34.840890682716747</v>
      </c>
      <c r="GC77" s="20">
        <f t="shared" si="79"/>
        <v>293.47377793906509</v>
      </c>
      <c r="GD77" s="59">
        <f t="shared" si="80"/>
        <v>561.69980704201589</v>
      </c>
      <c r="GE77" s="59">
        <f ca="1">AVERAGE(OFFSET($GD$3,0,0,'Données projet'!$E$17+1,1))-AVERAGE(OFFSET($H$3,0,0,'Données projet'!$E$17+1,1))</f>
        <v>257.66104339896992</v>
      </c>
      <c r="GF77" s="59">
        <f t="shared" si="104"/>
        <v>254.79488636184996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32.782707046586317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32.782707046586317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4.5999999999999996</v>
      </c>
      <c r="GU77" s="12">
        <f>IF('Données projet'!$A$270&gt;35,GU76+GT77-HC76,IF(A77&lt;'Données projet'!$A$270,$GR$205^A77,IF(A77='Données projet'!$A$270,'Données projet'!$B$270,GU76+GT77-HC76)))</f>
        <v>222.40000000000012</v>
      </c>
      <c r="GV77" s="17">
        <f>GU77*VLOOKUP('Données projet'!$B$18,Paramètres!$A$1:$I$89,3,0)*VLOOKUP('Données projet'!$B$18,Paramètres!$A$1:$I$89,5,0)</f>
        <v>180.41088000000011</v>
      </c>
      <c r="GW77" s="13">
        <f t="shared" si="105"/>
        <v>45.413587262495575</v>
      </c>
      <c r="GX77" s="20">
        <f t="shared" si="82"/>
        <v>393.31094714884665</v>
      </c>
      <c r="GY77" s="59">
        <f t="shared" si="83"/>
        <v>661.53697625179757</v>
      </c>
      <c r="GZ77" s="59">
        <f ca="1">AVERAGE(OFFSET($GY$3,0,0,'Données projet'!$E$18+1,1))-AVERAGE(OFFSET($H$3,0,0,'Données projet'!$E$18+1,1))</f>
        <v>299.98377156721153</v>
      </c>
      <c r="HA77" s="59">
        <f t="shared" si="106"/>
        <v>241.36164657721102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28.391361712032566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28.391361712032566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11.009999999999998</v>
      </c>
      <c r="N78" s="13">
        <f>IF('Données projet'!$A$36&gt;35,N77+M78-V77,IF(A78&lt;'Données projet'!$A$36,$K$205^A78,IF(A78='Données projet'!$A$36,'Données projet'!$B$36,N77+M78-V77)))</f>
        <v>340.65999999999991</v>
      </c>
      <c r="O78" s="13">
        <f>N78*VLOOKUP('Données projet'!$B$9,Paramètres!$A$1:$I$89,3,0)*VLOOKUP('Données projet'!$B$9,Paramètres!$A$1:$I$89,5,0)</f>
        <v>308.2291679999999</v>
      </c>
      <c r="P78" s="13">
        <f t="shared" si="87"/>
        <v>72.898886756758046</v>
      </c>
      <c r="Q78" s="20">
        <f t="shared" si="54"/>
        <v>663.79802870135336</v>
      </c>
      <c r="R78" s="59">
        <f t="shared" si="55"/>
        <v>932.4596134011781</v>
      </c>
      <c r="S78" s="59">
        <f ca="1">AVERAGE(OFFSET($R$3,0,0,'Données projet'!$E$9+1,1))-AVERAGE(OFFSET($H$3,0,0,'Données projet'!$E$9+1,1))</f>
        <v>567.42635821507474</v>
      </c>
      <c r="T78" s="59">
        <f t="shared" si="88"/>
        <v>299.04735309930152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95.282340629999538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95.282340629999538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407</v>
      </c>
      <c r="AG78" s="12">
        <f>VLOOKUP(A78,'Données projet'!$A$61:$I$81,9,0)</f>
        <v>11</v>
      </c>
      <c r="AH78" s="12">
        <f t="array" ref="AH78">INDEX(AG:AG,MIN(IF(ISNUMBER(AG78:AG274),ROW(AG78:AG274),"")))</f>
        <v>11</v>
      </c>
      <c r="AI78" s="13">
        <f>IF('Données projet'!$A$62&gt;35,AI77+AH78-AQ77,IF(A78&lt;'Données projet'!$A$62,$AF$205^A78,IF(A78='Données projet'!$A$62,'Données projet'!$B$62,AI77+AH78-AQ77)))</f>
        <v>407</v>
      </c>
      <c r="AJ78" s="13">
        <f>AI78*VLOOKUP('Données projet'!$B$10,Paramètres!$A$1:$I$89,3,0)*VLOOKUP('Données projet'!$B$10,Paramètres!$A$1:$I$89,5,0)</f>
        <v>349.20600000000007</v>
      </c>
      <c r="AK78" s="13">
        <f t="shared" si="89"/>
        <v>81.398996787610969</v>
      </c>
      <c r="AL78" s="20">
        <f t="shared" si="58"/>
        <v>749.97036940508917</v>
      </c>
      <c r="AM78" s="59">
        <f t="shared" si="59"/>
        <v>1018.631954104914</v>
      </c>
      <c r="AN78" s="59">
        <f ca="1">AVERAGE(OFFSET($AM$3,0,0,'Données projet'!$E$10+1,1))-AVERAGE(OFFSET($H$3,0,0,'Données projet'!$E$10+1,1))</f>
        <v>569.97793593332699</v>
      </c>
      <c r="AO78" s="59">
        <f t="shared" si="90"/>
        <v>331.25104323342907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35</v>
      </c>
      <c r="AR78" s="16">
        <f>IF(ISNA(VLOOKUP(A78,'Données projet'!$A$61:$I$81,5,0)),0%,VLOOKUP(A78,'Données projet'!$A$61:$I$81,5,0)*VLOOKUP('Données projet'!$B$10,Paramètres!$A$1:$I$89,7,0))</f>
        <v>0.53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110.07892645561786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110.07892645561786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277.99999999999994</v>
      </c>
      <c r="BE78" s="13">
        <f>BD78*VLOOKUP('Données projet'!$B$11,Paramètres!$A$1:$I$89,3,0)*VLOOKUP('Données projet'!$B$11,Paramètres!$A$1:$I$89,5,0)</f>
        <v>151.78799999999998</v>
      </c>
      <c r="BF78" s="13">
        <f t="shared" si="91"/>
        <v>38.984634390835623</v>
      </c>
      <c r="BG78" s="20">
        <f t="shared" si="61"/>
        <v>332.26233823070532</v>
      </c>
      <c r="BH78" s="59">
        <f t="shared" si="62"/>
        <v>600.92392293053013</v>
      </c>
      <c r="BI78" s="59">
        <f ca="1">AVERAGE(OFFSET($BH$3,0,0,'Données projet'!$E$11+1,1))-AVERAGE(OFFSET($H$3,0,0,'Données projet'!$E$11+1,1))</f>
        <v>215.37314197175104</v>
      </c>
      <c r="BJ78" s="59">
        <f t="shared" si="92"/>
        <v>361.17630426655978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15.055670074205551</v>
      </c>
      <c r="BQ78" s="21">
        <f>EXP(-LN(2)/25)*BQ77+(1-EXP(-LN(2)/25))/(LN(2)/25)*Calculateur!BL78*Calculateur!BN78*VLOOKUP('Données projet'!$B$11,Paramètres!$A$1:$I$89,3,0)*0.475*44/12</f>
        <v>27.580669753919864</v>
      </c>
      <c r="BR78" s="21">
        <f>EXP(-LN(2)/2)*BR77+(1-EXP(-LN(2)/2))/(LN(2)/2)*BL78*BO78*VLOOKUP('Données projet'!$B$11,Paramètres!$A$1:$I$89,3,0)*0.475*44/12</f>
        <v>4.2746701963140395E-9</v>
      </c>
      <c r="BS78" s="22">
        <f t="shared" si="63"/>
        <v>42.636339832400083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0.8600000000003547</v>
      </c>
      <c r="BZ78" s="13">
        <f>BY78*VLOOKUP('Données projet'!$B$12,Paramètres!$A$1:$I$89,3,0)*VLOOKUP('Données projet'!$B$12,Paramètres!$A$1:$I$89,5,0)</f>
        <v>0.48074000000019829</v>
      </c>
      <c r="CA78" s="13">
        <f t="shared" si="93"/>
        <v>0.24126147010950588</v>
      </c>
      <c r="CB78" s="20">
        <f t="shared" si="64"/>
        <v>1.2574858937744013</v>
      </c>
      <c r="CC78" s="59">
        <f t="shared" si="65"/>
        <v>269.9190705935992</v>
      </c>
      <c r="CD78" s="59">
        <f ca="1">AVERAGE(OFFSET($CC$3,0,0,'Données projet'!$E$12+1,1))-AVERAGE(OFFSET($H$3,0,0,'Données projet'!$E$12+1,1))</f>
        <v>420.4890915162182</v>
      </c>
      <c r="CE78" s="59">
        <f t="shared" si="94"/>
        <v>553.48432338023565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250.19600507709254</v>
      </c>
      <c r="CL78" s="21">
        <f>EXP(-LN(2)/25)*CL77+(1-EXP(-LN(2)/25))/(LN(2)/25)*Calculateur!CG78*Calculateur!CI78*VLOOKUP('Données projet'!$B$12,Paramètres!$A$1:$I$89,3,0)*0.475*44/12</f>
        <v>14.522784107070271</v>
      </c>
      <c r="CM78" s="21">
        <f>EXP(-LN(2)/2)*CM77+(1-EXP(-LN(2)/2))/(LN(2)/2)*CG78*CJ78*VLOOKUP('Données projet'!$B$12,Paramètres!$A$1:$I$89,3,0)*0.475*44/12</f>
        <v>1.2474127379404363E-7</v>
      </c>
      <c r="CN78" s="22">
        <f t="shared" si="66"/>
        <v>264.71878930890409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375</v>
      </c>
      <c r="CR78" s="12">
        <f>VLOOKUP(A78,'Données projet'!$A$139:$I$159,9,0)</f>
        <v>4.8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374.99999999999972</v>
      </c>
      <c r="CU78" s="17">
        <f>CT78*VLOOKUP('Données projet'!$B$13,Paramètres!$A$1:$I$89,3,0)*VLOOKUP('Données projet'!$B$13,Paramètres!$A$1:$I$89,5,0)</f>
        <v>274.94999999999976</v>
      </c>
      <c r="CV78" s="13">
        <f t="shared" si="95"/>
        <v>65.898670891956897</v>
      </c>
      <c r="CW78" s="20">
        <f t="shared" si="67"/>
        <v>593.64476847015783</v>
      </c>
      <c r="CX78" s="59">
        <f t="shared" si="68"/>
        <v>862.30635316998269</v>
      </c>
      <c r="CY78" s="59">
        <f ca="1">AVERAGE(OFFSET($CX$3,0,0,'Données projet'!$E$13+1,1))-AVERAGE(OFFSET($H$3,0,0,'Données projet'!$E$13+1,1))</f>
        <v>400.48995908576177</v>
      </c>
      <c r="CZ78" s="59">
        <f t="shared" si="96"/>
        <v>384.86917865380076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45.87617719576388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45.87617719576388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375</v>
      </c>
      <c r="DM78" s="12">
        <f>VLOOKUP(A78,'Données projet'!$A$165:$I$185,9,0)</f>
        <v>4.8</v>
      </c>
      <c r="DN78" s="12">
        <f t="array" ref="DN78">INDEX(DM:DM,MIN(IF(ISNUMBER(DM78:DM274),ROW(DM78:DM274),"")))</f>
        <v>4.8</v>
      </c>
      <c r="DO78" s="12">
        <f>IF('Données projet'!$A$166&gt;35,DO77+DN78-DW77,IF(A78&lt;'Données projet'!$A$166,$DL$205^A78,IF(A78='Données projet'!$A$166,'Données projet'!$B$166,DO77+DN78-DW77)))</f>
        <v>374.99999999999972</v>
      </c>
      <c r="DP78" s="17">
        <f>DO78*VLOOKUP('Données projet'!$B$14,Paramètres!$A$1:$I$89,3,0)*VLOOKUP('Données projet'!$B$14,Paramètres!$A$1:$I$89,5,0)</f>
        <v>298.3499999999998</v>
      </c>
      <c r="DQ78" s="13">
        <f t="shared" si="97"/>
        <v>70.83044914753448</v>
      </c>
      <c r="DR78" s="20">
        <f t="shared" si="70"/>
        <v>642.98928226528881</v>
      </c>
      <c r="DS78" s="59">
        <f t="shared" si="71"/>
        <v>911.65086696511366</v>
      </c>
      <c r="DT78" s="59">
        <f ca="1">AVERAGE(OFFSET($DS$3,0,0,'Données projet'!$E$14+1,1))-AVERAGE(OFFSET($H$3,0,0,'Données projet'!$E$14+1,1))</f>
        <v>429.30603040255431</v>
      </c>
      <c r="DU78" s="59">
        <f t="shared" si="98"/>
        <v>412.18613903804726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14</v>
      </c>
      <c r="DX78" s="16">
        <f>IF(ISNA(VLOOKUP(A78,'Données projet'!$A$165:$I$185,5,0)),0%,VLOOKUP(A78,'Données projet'!$A$165:$I$185,5,0)*VLOOKUP('Données projet'!$B$14,Paramètres!$A$1:$I$89,7,0))</f>
        <v>0.53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61.357400771969196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61.357400771969196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210.25641025641013</v>
      </c>
      <c r="EK78" s="17">
        <f>EJ78*VLOOKUP('Données projet'!$B$15,Paramètres!$A$1:$I$89,3,0)*VLOOKUP('Données projet'!$B$15,Paramètres!$A$1:$I$89,5,0)</f>
        <v>163.99999999999991</v>
      </c>
      <c r="EL78" s="13">
        <f t="shared" si="99"/>
        <v>41.743425908362248</v>
      </c>
      <c r="EM78" s="20">
        <f t="shared" si="73"/>
        <v>358.33646679039742</v>
      </c>
      <c r="EN78" s="59">
        <f t="shared" si="74"/>
        <v>626.99805149022222</v>
      </c>
      <c r="EO78" s="59">
        <f ca="1">AVERAGE(OFFSET($EN$3,0,0,'Données projet'!$E$15+1,1))-AVERAGE(OFFSET($H$3,0,0,'Données projet'!$E$15+1,1))</f>
        <v>217.53602321474159</v>
      </c>
      <c r="EP78" s="59">
        <f t="shared" si="100"/>
        <v>215.75909414893025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28.676762829934393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28.676762829934393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11.009999999999998</v>
      </c>
      <c r="FE78" s="12">
        <f>IF('Données projet'!$A$218&gt;35,FE77+FD78-FM77,IF(A78&lt;'Données projet'!$A$218,$FB$205^A78,IF(A78='Données projet'!$A$218,'Données projet'!$B$218,FE77+FD78-FM77)))</f>
        <v>340.65999999999991</v>
      </c>
      <c r="FF78" s="17">
        <f>FE78*VLOOKUP('Données projet'!$B$16,Paramètres!$A$1:$I$89,3,0)*VLOOKUP('Données projet'!$B$16,Paramètres!$A$1:$I$89,5,0)</f>
        <v>228.51472799999996</v>
      </c>
      <c r="FG78" s="13">
        <f t="shared" si="101"/>
        <v>55.961410007321639</v>
      </c>
      <c r="FH78" s="20">
        <f t="shared" si="76"/>
        <v>495.46260702941845</v>
      </c>
      <c r="FI78" s="59">
        <f t="shared" si="77"/>
        <v>764.12419172924319</v>
      </c>
      <c r="FJ78" s="59">
        <f ca="1">AVERAGE(OFFSET($FI$3,0,0,'Données projet'!$E$16+1,1))-AVERAGE(OFFSET($H$3,0,0,'Données projet'!$E$16+1,1))</f>
        <v>441.20130048888439</v>
      </c>
      <c r="FK78" s="59">
        <f t="shared" si="102"/>
        <v>237.47732532183946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87.068345748103027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87.068345748103027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208</v>
      </c>
      <c r="FX78" s="12">
        <f>VLOOKUP(A78,'Données projet'!$A$243:$I$263,9,0)</f>
        <v>4</v>
      </c>
      <c r="FY78" s="12">
        <f t="array" ref="FY78">INDEX(FX:FX,MIN(IF(ISNUMBER(FX78:FX274),ROW(FX78:FX274),"")))</f>
        <v>4</v>
      </c>
      <c r="FZ78" s="12">
        <f>IF('Données projet'!$A$244&gt;35,FZ77+FY78-GH77,IF(A78&lt;'Données projet'!$A$244,$FW$205^A78,IF(A78='Données projet'!$A$244,'Données projet'!$B$244,FZ77+FY78-GH77)))</f>
        <v>208.00000000000011</v>
      </c>
      <c r="GA78" s="17">
        <f>FZ78*VLOOKUP('Données projet'!$B$17,Paramètres!$A$1:$I$89,3,0)*VLOOKUP('Données projet'!$B$17,Paramètres!$A$1:$I$89,5,0)</f>
        <v>136.28160000000008</v>
      </c>
      <c r="GB78" s="13">
        <f t="shared" si="103"/>
        <v>35.443842312892279</v>
      </c>
      <c r="GC78" s="20">
        <f t="shared" si="79"/>
        <v>299.08847869495418</v>
      </c>
      <c r="GD78" s="59">
        <f t="shared" si="80"/>
        <v>567.75006339477898</v>
      </c>
      <c r="GE78" s="59">
        <f ca="1">AVERAGE(OFFSET($GD$3,0,0,'Données projet'!$E$17+1,1))-AVERAGE(OFFSET($H$3,0,0,'Données projet'!$E$17+1,1))</f>
        <v>257.66104339896992</v>
      </c>
      <c r="GF78" s="59">
        <f t="shared" si="104"/>
        <v>254.79488636184996</v>
      </c>
      <c r="GG78" s="15">
        <f>IF(ISNA(VLOOKUP(A78,'Données projet'!$A$243:$I$263,3,0)),0,VLOOKUP(A78,'Données projet'!$A$243:$I$263,3,0))</f>
        <v>14</v>
      </c>
      <c r="GH78" s="15">
        <f>IF(ISNA(VLOOKUP(A78,'Données projet'!$A$243:$I$263,4,0)),0,VLOOKUP(A78,'Données projet'!$A$243:$I$263,4,0))</f>
        <v>16</v>
      </c>
      <c r="GI78" s="16">
        <f>IF(ISNA(VLOOKUP(A78,'Données projet'!$A$243:$I$263,5,0)),0%,VLOOKUP(A78,'Données projet'!$A$243:$I$263,5,0)*VLOOKUP('Données projet'!$B$17,Paramètres!$A$1:$I$89,7,0))</f>
        <v>0.43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37.123071002449194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37.123071002449194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227</v>
      </c>
      <c r="GS78" s="12">
        <f>VLOOKUP(A78,'Données projet'!$A$269:$I$289,9,0)</f>
        <v>4.5999999999999996</v>
      </c>
      <c r="GT78" s="12">
        <f t="array" ref="GT78">INDEX(GS:GS,MIN(IF(ISNUMBER(GS78:GS274),ROW(GS78:GS274),"")))</f>
        <v>4.5999999999999996</v>
      </c>
      <c r="GU78" s="12">
        <f>IF('Données projet'!$A$270&gt;35,GU77+GT78-HC77,IF(A78&lt;'Données projet'!$A$270,$GR$205^A78,IF(A78='Données projet'!$A$270,'Données projet'!$B$270,GU77+GT78-HC77)))</f>
        <v>227.00000000000011</v>
      </c>
      <c r="GV78" s="17">
        <f>GU78*VLOOKUP('Données projet'!$B$18,Paramètres!$A$1:$I$89,3,0)*VLOOKUP('Données projet'!$B$18,Paramètres!$A$1:$I$89,5,0)</f>
        <v>184.14240000000009</v>
      </c>
      <c r="GW78" s="13">
        <f t="shared" si="105"/>
        <v>46.242569912520345</v>
      </c>
      <c r="GX78" s="20">
        <f t="shared" si="82"/>
        <v>401.25382259763973</v>
      </c>
      <c r="GY78" s="59">
        <f t="shared" si="83"/>
        <v>669.91540729746453</v>
      </c>
      <c r="GZ78" s="59">
        <f ca="1">AVERAGE(OFFSET($GY$3,0,0,'Données projet'!$E$18+1,1))-AVERAGE(OFFSET($H$3,0,0,'Données projet'!$E$18+1,1))</f>
        <v>299.98377156721153</v>
      </c>
      <c r="HA78" s="59">
        <f t="shared" si="106"/>
        <v>241.36164657721102</v>
      </c>
      <c r="HB78" s="15">
        <f>IF(ISNA(VLOOKUP(A78,'Données projet'!$A$269:$I$289,3,0)),0,VLOOKUP(A78,'Données projet'!$A$269:$I$289,3,0))</f>
        <v>12</v>
      </c>
      <c r="HC78" s="15">
        <f>IF(ISNA(VLOOKUP(A78,'Données projet'!$A$269:$I$289,4,0)),0,VLOOKUP(A78,'Données projet'!$A$269:$I$289,4,0))</f>
        <v>14</v>
      </c>
      <c r="HD78" s="16">
        <f>IF(ISNA(VLOOKUP(A78,'Données projet'!$A$269:$I$289,5,0)),0%,VLOOKUP(A78,'Données projet'!$A$269:$I$289,5,0)*VLOOKUP('Données projet'!$B$18,Paramètres!$A$1:$I$89,7,0))</f>
        <v>0.43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33.233105008580658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33.233105008580658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11.009999999999998</v>
      </c>
      <c r="N79" s="13">
        <f>IF('Données projet'!$A$36&gt;35,N78+M79-V78,IF(A79&lt;'Données projet'!$A$36,$K$205^A79,IF(A79='Données projet'!$A$36,'Données projet'!$B$36,N78+M79-V78)))</f>
        <v>351.6699999999999</v>
      </c>
      <c r="O79" s="13">
        <f>N79*VLOOKUP('Données projet'!$B$9,Paramètres!$A$1:$I$89,3,0)*VLOOKUP('Données projet'!$B$9,Paramètres!$A$1:$I$89,5,0)</f>
        <v>318.19101599999988</v>
      </c>
      <c r="P79" s="13">
        <f t="shared" si="87"/>
        <v>74.976835262469876</v>
      </c>
      <c r="Q79" s="20">
        <f t="shared" si="54"/>
        <v>684.76734094880146</v>
      </c>
      <c r="R79" s="59">
        <f t="shared" si="55"/>
        <v>953.85692532965095</v>
      </c>
      <c r="S79" s="59">
        <f ca="1">AVERAGE(OFFSET($R$3,0,0,'Données projet'!$E$9+1,1))-AVERAGE(OFFSET($H$3,0,0,'Données projet'!$E$9+1,1))</f>
        <v>567.42635821507474</v>
      </c>
      <c r="T79" s="59">
        <f t="shared" si="88"/>
        <v>299.04735309930152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93.413912046734509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93.413912046734509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10.4</v>
      </c>
      <c r="AI79" s="13">
        <f>IF('Données projet'!$A$62&gt;35,AI78+AH79-AQ78,IF(A79&lt;'Données projet'!$A$62,$AF$205^A79,IF(A79='Données projet'!$A$62,'Données projet'!$B$62,AI78+AH79-AQ78)))</f>
        <v>382.4</v>
      </c>
      <c r="AJ79" s="13">
        <f>AI79*VLOOKUP('Données projet'!$B$10,Paramètres!$A$1:$I$89,3,0)*VLOOKUP('Données projet'!$B$10,Paramètres!$A$1:$I$89,5,0)</f>
        <v>328.0992</v>
      </c>
      <c r="AK79" s="13">
        <f t="shared" si="89"/>
        <v>77.036090442258086</v>
      </c>
      <c r="AL79" s="20">
        <f t="shared" si="58"/>
        <v>705.61063085359956</v>
      </c>
      <c r="AM79" s="59">
        <f t="shared" si="59"/>
        <v>974.70021523444893</v>
      </c>
      <c r="AN79" s="59">
        <f ca="1">AVERAGE(OFFSET($AM$3,0,0,'Données projet'!$E$10+1,1))-AVERAGE(OFFSET($H$3,0,0,'Données projet'!$E$10+1,1))</f>
        <v>569.97793593332699</v>
      </c>
      <c r="AO79" s="59">
        <f t="shared" si="90"/>
        <v>331.25104323342907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107.92034584933866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107.92034584933866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277.99999999999994</v>
      </c>
      <c r="BE79" s="13">
        <f>BD79*VLOOKUP('Données projet'!$B$11,Paramètres!$A$1:$I$89,3,0)*VLOOKUP('Données projet'!$B$11,Paramètres!$A$1:$I$89,5,0)</f>
        <v>151.78799999999998</v>
      </c>
      <c r="BF79" s="13">
        <f t="shared" si="91"/>
        <v>38.984634390835623</v>
      </c>
      <c r="BG79" s="20">
        <f t="shared" si="61"/>
        <v>332.26233823070532</v>
      </c>
      <c r="BH79" s="59">
        <f t="shared" si="62"/>
        <v>601.35192261155476</v>
      </c>
      <c r="BI79" s="59">
        <f ca="1">AVERAGE(OFFSET($BH$3,0,0,'Données projet'!$E$11+1,1))-AVERAGE(OFFSET($H$3,0,0,'Données projet'!$E$11+1,1))</f>
        <v>215.37314197175104</v>
      </c>
      <c r="BJ79" s="59">
        <f t="shared" si="92"/>
        <v>361.17630426655978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14.760437567102375</v>
      </c>
      <c r="BQ79" s="21">
        <f>EXP(-LN(2)/25)*BQ78+(1-EXP(-LN(2)/25))/(LN(2)/25)*Calculateur!BL79*Calculateur!BN79*VLOOKUP('Données projet'!$B$11,Paramètres!$A$1:$I$89,3,0)*0.475*44/12</f>
        <v>26.826474889094538</v>
      </c>
      <c r="BR79" s="21">
        <f>EXP(-LN(2)/2)*BR78+(1-EXP(-LN(2)/2))/(LN(2)/2)*BL79*BO79*VLOOKUP('Données projet'!$B$11,Paramètres!$A$1:$I$89,3,0)*0.475*44/12</f>
        <v>3.0226482831496878E-9</v>
      </c>
      <c r="BS79" s="22">
        <f t="shared" si="63"/>
        <v>41.586912459219562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0.8600000000003547</v>
      </c>
      <c r="BZ79" s="13">
        <f>BY79*VLOOKUP('Données projet'!$B$12,Paramètres!$A$1:$I$89,3,0)*VLOOKUP('Données projet'!$B$12,Paramètres!$A$1:$I$89,5,0)</f>
        <v>0.48074000000019829</v>
      </c>
      <c r="CA79" s="13">
        <f t="shared" si="93"/>
        <v>0.24126147010950588</v>
      </c>
      <c r="CB79" s="20">
        <f t="shared" si="64"/>
        <v>1.2574858937744013</v>
      </c>
      <c r="CC79" s="59">
        <f t="shared" si="65"/>
        <v>270.34707027462383</v>
      </c>
      <c r="CD79" s="59">
        <f ca="1">AVERAGE(OFFSET($CC$3,0,0,'Données projet'!$E$12+1,1))-AVERAGE(OFFSET($H$3,0,0,'Données projet'!$E$12+1,1))</f>
        <v>420.4890915162182</v>
      </c>
      <c r="CE79" s="59">
        <f t="shared" si="94"/>
        <v>553.48432338023565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245.28981402202541</v>
      </c>
      <c r="CL79" s="21">
        <f>EXP(-LN(2)/25)*CL78+(1-EXP(-LN(2)/25))/(LN(2)/25)*Calculateur!CG79*Calculateur!CI79*VLOOKUP('Données projet'!$B$12,Paramètres!$A$1:$I$89,3,0)*0.475*44/12</f>
        <v>14.125657811942411</v>
      </c>
      <c r="CM79" s="21">
        <f>EXP(-LN(2)/2)*CM78+(1-EXP(-LN(2)/2))/(LN(2)/2)*CG79*CJ79*VLOOKUP('Données projet'!$B$12,Paramètres!$A$1:$I$89,3,0)*0.475*44/12</f>
        <v>8.8205400593616025E-8</v>
      </c>
      <c r="CN79" s="22">
        <f t="shared" si="66"/>
        <v>259.41547192217325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364.99999999999972</v>
      </c>
      <c r="CU79" s="17">
        <f>CT79*VLOOKUP('Données projet'!$B$13,Paramètres!$A$1:$I$89,3,0)*VLOOKUP('Données projet'!$B$13,Paramètres!$A$1:$I$89,5,0)</f>
        <v>267.61799999999982</v>
      </c>
      <c r="CV79" s="13">
        <f t="shared" si="95"/>
        <v>64.343488352847658</v>
      </c>
      <c r="CW79" s="20">
        <f t="shared" si="67"/>
        <v>578.16625888120927</v>
      </c>
      <c r="CX79" s="59">
        <f t="shared" si="68"/>
        <v>847.25584326205876</v>
      </c>
      <c r="CY79" s="59">
        <f ca="1">AVERAGE(OFFSET($CX$3,0,0,'Données projet'!$E$13+1,1))-AVERAGE(OFFSET($H$3,0,0,'Données projet'!$E$13+1,1))</f>
        <v>400.48995908576177</v>
      </c>
      <c r="CZ79" s="59">
        <f t="shared" si="96"/>
        <v>384.86917865380076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44.976573342660075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44.976573342660075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</v>
      </c>
      <c r="DO79" s="12">
        <f>IF('Données projet'!$A$166&gt;35,DO78+DN79-DW78,IF(A79&lt;'Données projet'!$A$166,$DL$205^A79,IF(A79='Données projet'!$A$166,'Données projet'!$B$166,DO78+DN79-DW78)))</f>
        <v>364.99999999999972</v>
      </c>
      <c r="DP79" s="17">
        <f>DO79*VLOOKUP('Données projet'!$B$14,Paramètres!$A$1:$I$89,3,0)*VLOOKUP('Données projet'!$B$14,Paramètres!$A$1:$I$89,5,0)</f>
        <v>290.39399999999978</v>
      </c>
      <c r="DQ79" s="13">
        <f t="shared" si="97"/>
        <v>69.158878594433091</v>
      </c>
      <c r="DR79" s="20">
        <f t="shared" si="70"/>
        <v>626.22126355197054</v>
      </c>
      <c r="DS79" s="59">
        <f t="shared" si="71"/>
        <v>895.31084793282002</v>
      </c>
      <c r="DT79" s="59">
        <f ca="1">AVERAGE(OFFSET($DS$3,0,0,'Données projet'!$E$14+1,1))-AVERAGE(OFFSET($H$3,0,0,'Données projet'!$E$14+1,1))</f>
        <v>429.30603040255431</v>
      </c>
      <c r="DU79" s="59">
        <f t="shared" si="98"/>
        <v>412.18613903804726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60.154219567150008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60.154219567150008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210.25641025641013</v>
      </c>
      <c r="EK79" s="17">
        <f>EJ79*VLOOKUP('Données projet'!$B$15,Paramètres!$A$1:$I$89,3,0)*VLOOKUP('Données projet'!$B$15,Paramètres!$A$1:$I$89,5,0)</f>
        <v>163.99999999999991</v>
      </c>
      <c r="EL79" s="13">
        <f t="shared" si="99"/>
        <v>41.743425908362248</v>
      </c>
      <c r="EM79" s="20">
        <f t="shared" si="73"/>
        <v>358.33646679039742</v>
      </c>
      <c r="EN79" s="59">
        <f t="shared" si="74"/>
        <v>627.42605117124685</v>
      </c>
      <c r="EO79" s="59">
        <f ca="1">AVERAGE(OFFSET($EN$3,0,0,'Données projet'!$E$15+1,1))-AVERAGE(OFFSET($H$3,0,0,'Données projet'!$E$15+1,1))</f>
        <v>217.53602321474159</v>
      </c>
      <c r="EP79" s="59">
        <f t="shared" si="100"/>
        <v>215.75909414893025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28.114429001937605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28.114429001937605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11.009999999999998</v>
      </c>
      <c r="FE79" s="12">
        <f>IF('Données projet'!$A$218&gt;35,FE78+FD79-FM78,IF(A79&lt;'Données projet'!$A$218,$FB$205^A79,IF(A79='Données projet'!$A$218,'Données projet'!$B$218,FE78+FD79-FM78)))</f>
        <v>351.6699999999999</v>
      </c>
      <c r="FF79" s="17">
        <f>FE79*VLOOKUP('Données projet'!$B$16,Paramètres!$A$1:$I$89,3,0)*VLOOKUP('Données projet'!$B$16,Paramètres!$A$1:$I$89,5,0)</f>
        <v>235.90023599999995</v>
      </c>
      <c r="FG79" s="13">
        <f t="shared" si="101"/>
        <v>57.556563698629013</v>
      </c>
      <c r="FH79" s="20">
        <f t="shared" si="76"/>
        <v>511.1039261417788</v>
      </c>
      <c r="FI79" s="59">
        <f t="shared" si="77"/>
        <v>780.19351052262823</v>
      </c>
      <c r="FJ79" s="59">
        <f ca="1">AVERAGE(OFFSET($FI$3,0,0,'Données projet'!$E$16+1,1))-AVERAGE(OFFSET($H$3,0,0,'Données projet'!$E$16+1,1))</f>
        <v>441.20130048888439</v>
      </c>
      <c r="FK79" s="59">
        <f t="shared" si="102"/>
        <v>237.47732532183946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85.360988594429813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85.360988594429813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3.8</v>
      </c>
      <c r="FZ79" s="12">
        <f>IF('Données projet'!$A$244&gt;35,FZ78+FY79-GH78,IF(A79&lt;'Données projet'!$A$244,$FW$205^A79,IF(A79='Données projet'!$A$244,'Données projet'!$B$244,FZ78+FY79-GH78)))</f>
        <v>195.80000000000013</v>
      </c>
      <c r="GA79" s="17">
        <f>FZ79*VLOOKUP('Données projet'!$B$17,Paramètres!$A$1:$I$89,3,0)*VLOOKUP('Données projet'!$B$17,Paramètres!$A$1:$I$89,5,0)</f>
        <v>128.28816000000009</v>
      </c>
      <c r="GB79" s="13">
        <f t="shared" si="103"/>
        <v>33.600498728056088</v>
      </c>
      <c r="GC79" s="20">
        <f t="shared" si="79"/>
        <v>281.95608061803119</v>
      </c>
      <c r="GD79" s="59">
        <f t="shared" si="80"/>
        <v>551.04566499888062</v>
      </c>
      <c r="GE79" s="59">
        <f ca="1">AVERAGE(OFFSET($GD$3,0,0,'Données projet'!$E$17+1,1))-AVERAGE(OFFSET($H$3,0,0,'Données projet'!$E$17+1,1))</f>
        <v>257.66104339896992</v>
      </c>
      <c r="GF79" s="59">
        <f t="shared" si="104"/>
        <v>254.79488636184996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36.395110222928679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36.395110222928679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4.2</v>
      </c>
      <c r="GU79" s="12">
        <f>IF('Données projet'!$A$270&gt;35,GU78+GT79-HC78,IF(A79&lt;'Données projet'!$A$270,$GR$205^A79,IF(A79='Données projet'!$A$270,'Données projet'!$B$270,GU78+GT79-HC78)))</f>
        <v>217.2000000000001</v>
      </c>
      <c r="GV79" s="17">
        <f>GU79*VLOOKUP('Données projet'!$B$18,Paramètres!$A$1:$I$89,3,0)*VLOOKUP('Données projet'!$B$18,Paramètres!$A$1:$I$89,5,0)</f>
        <v>176.1926400000001</v>
      </c>
      <c r="GW79" s="13">
        <f t="shared" si="105"/>
        <v>44.474067632484541</v>
      </c>
      <c r="GX79" s="20">
        <f t="shared" si="82"/>
        <v>384.32784912657735</v>
      </c>
      <c r="GY79" s="59">
        <f t="shared" si="83"/>
        <v>653.41743350742672</v>
      </c>
      <c r="GZ79" s="59">
        <f ca="1">AVERAGE(OFFSET($GY$3,0,0,'Données projet'!$E$18+1,1))-AVERAGE(OFFSET($H$3,0,0,'Données projet'!$E$18+1,1))</f>
        <v>299.98377156721153</v>
      </c>
      <c r="HA79" s="59">
        <f t="shared" si="106"/>
        <v>241.36164657721102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32.581424089554929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32.581424089554929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11.009999999999998</v>
      </c>
      <c r="N80" s="13">
        <f>IF('Données projet'!$A$36&gt;35,N79+M80-V79,IF(A80&lt;'Données projet'!$A$36,$K$205^A80,IF(A80='Données projet'!$A$36,'Données projet'!$B$36,N79+M80-V79)))</f>
        <v>362.67999999999989</v>
      </c>
      <c r="O80" s="13">
        <f>N80*VLOOKUP('Données projet'!$B$9,Paramètres!$A$1:$I$89,3,0)*VLOOKUP('Données projet'!$B$9,Paramètres!$A$1:$I$89,5,0)</f>
        <v>328.15286399999985</v>
      </c>
      <c r="P80" s="13">
        <f t="shared" si="87"/>
        <v>77.047223736242046</v>
      </c>
      <c r="Q80" s="20">
        <f t="shared" si="54"/>
        <v>705.72348614062139</v>
      </c>
      <c r="R80" s="59">
        <f t="shared" si="55"/>
        <v>975.23364536489362</v>
      </c>
      <c r="S80" s="59">
        <f ca="1">AVERAGE(OFFSET($R$3,0,0,'Données projet'!$E$9+1,1))-AVERAGE(OFFSET($H$3,0,0,'Données projet'!$E$9+1,1))</f>
        <v>567.42635821507474</v>
      </c>
      <c r="T80" s="59">
        <f t="shared" si="88"/>
        <v>299.04735309930152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91.582122208358399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91.582122208358399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10.4</v>
      </c>
      <c r="AI80" s="13">
        <f>IF('Données projet'!$A$62&gt;35,AI79+AH80-AQ79,IF(A80&lt;'Données projet'!$A$62,$AF$205^A80,IF(A80='Données projet'!$A$62,'Données projet'!$B$62,AI79+AH80-AQ79)))</f>
        <v>392.79999999999995</v>
      </c>
      <c r="AJ80" s="13">
        <f>AI80*VLOOKUP('Données projet'!$B$10,Paramètres!$A$1:$I$89,3,0)*VLOOKUP('Données projet'!$B$10,Paramètres!$A$1:$I$89,5,0)</f>
        <v>337.0224</v>
      </c>
      <c r="AK80" s="13">
        <f t="shared" si="89"/>
        <v>78.884440823098231</v>
      </c>
      <c r="AL80" s="20">
        <f t="shared" si="58"/>
        <v>724.37108110022939</v>
      </c>
      <c r="AM80" s="59">
        <f t="shared" si="59"/>
        <v>993.88124032450173</v>
      </c>
      <c r="AN80" s="59">
        <f ca="1">AVERAGE(OFFSET($AM$3,0,0,'Données projet'!$E$10+1,1))-AVERAGE(OFFSET($H$3,0,0,'Données projet'!$E$10+1,1))</f>
        <v>569.97793593332699</v>
      </c>
      <c r="AO80" s="59">
        <f t="shared" si="90"/>
        <v>331.25104323342907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105.80409369214442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105.80409369214442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277.99999999999994</v>
      </c>
      <c r="BE80" s="13">
        <f>BD80*VLOOKUP('Données projet'!$B$11,Paramètres!$A$1:$I$89,3,0)*VLOOKUP('Données projet'!$B$11,Paramètres!$A$1:$I$89,5,0)</f>
        <v>151.78799999999998</v>
      </c>
      <c r="BF80" s="13">
        <f t="shared" si="91"/>
        <v>38.984634390835623</v>
      </c>
      <c r="BG80" s="20">
        <f t="shared" si="61"/>
        <v>332.26233823070532</v>
      </c>
      <c r="BH80" s="59">
        <f t="shared" si="62"/>
        <v>601.77249745497761</v>
      </c>
      <c r="BI80" s="59">
        <f ca="1">AVERAGE(OFFSET($BH$3,0,0,'Données projet'!$E$11+1,1))-AVERAGE(OFFSET($H$3,0,0,'Données projet'!$E$11+1,1))</f>
        <v>215.37314197175104</v>
      </c>
      <c r="BJ80" s="59">
        <f t="shared" si="92"/>
        <v>361.17630426655978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14.470994389389443</v>
      </c>
      <c r="BQ80" s="21">
        <f>EXP(-LN(2)/25)*BQ79+(1-EXP(-LN(2)/25))/(LN(2)/25)*Calculateur!BL80*Calculateur!BN80*VLOOKUP('Données projet'!$B$11,Paramètres!$A$1:$I$89,3,0)*0.475*44/12</f>
        <v>26.092903522509246</v>
      </c>
      <c r="BR80" s="21">
        <f>EXP(-LN(2)/2)*BR79+(1-EXP(-LN(2)/2))/(LN(2)/2)*BL80*BO80*VLOOKUP('Données projet'!$B$11,Paramètres!$A$1:$I$89,3,0)*0.475*44/12</f>
        <v>2.1373350981570198E-9</v>
      </c>
      <c r="BS80" s="22">
        <f t="shared" si="63"/>
        <v>40.563897914036026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0.8600000000003547</v>
      </c>
      <c r="BZ80" s="13">
        <f>BY80*VLOOKUP('Données projet'!$B$12,Paramètres!$A$1:$I$89,3,0)*VLOOKUP('Données projet'!$B$12,Paramètres!$A$1:$I$89,5,0)</f>
        <v>0.48074000000019829</v>
      </c>
      <c r="CA80" s="13">
        <f t="shared" si="93"/>
        <v>0.24126147010950588</v>
      </c>
      <c r="CB80" s="20">
        <f t="shared" si="64"/>
        <v>1.2574858937744013</v>
      </c>
      <c r="CC80" s="59">
        <f t="shared" si="65"/>
        <v>270.76764511804669</v>
      </c>
      <c r="CD80" s="59">
        <f ca="1">AVERAGE(OFFSET($CC$3,0,0,'Données projet'!$E$12+1,1))-AVERAGE(OFFSET($H$3,0,0,'Données projet'!$E$12+1,1))</f>
        <v>420.4890915162182</v>
      </c>
      <c r="CE80" s="59">
        <f t="shared" si="94"/>
        <v>553.48432338023565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240.47983038106707</v>
      </c>
      <c r="CL80" s="21">
        <f>EXP(-LN(2)/25)*CL79+(1-EXP(-LN(2)/25))/(LN(2)/25)*Calculateur!CG80*Calculateur!CI80*VLOOKUP('Données projet'!$B$12,Paramètres!$A$1:$I$89,3,0)*0.475*44/12</f>
        <v>13.739390956238786</v>
      </c>
      <c r="CM80" s="21">
        <f>EXP(-LN(2)/2)*CM79+(1-EXP(-LN(2)/2))/(LN(2)/2)*CG80*CJ80*VLOOKUP('Données projet'!$B$12,Paramètres!$A$1:$I$89,3,0)*0.475*44/12</f>
        <v>6.2370636897021814E-8</v>
      </c>
      <c r="CN80" s="22">
        <f t="shared" si="66"/>
        <v>254.21922139967651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368.99999999999972</v>
      </c>
      <c r="CU80" s="17">
        <f>CT80*VLOOKUP('Données projet'!$B$13,Paramètres!$A$1:$I$89,3,0)*VLOOKUP('Données projet'!$B$13,Paramètres!$A$1:$I$89,5,0)</f>
        <v>270.55079999999981</v>
      </c>
      <c r="CV80" s="13">
        <f t="shared" si="95"/>
        <v>64.966149081071777</v>
      </c>
      <c r="CW80" s="20">
        <f t="shared" si="67"/>
        <v>584.35868631619962</v>
      </c>
      <c r="CX80" s="59">
        <f t="shared" si="68"/>
        <v>853.86884554047197</v>
      </c>
      <c r="CY80" s="59">
        <f ca="1">AVERAGE(OFFSET($CX$3,0,0,'Données projet'!$E$13+1,1))-AVERAGE(OFFSET($H$3,0,0,'Données projet'!$E$13+1,1))</f>
        <v>400.48995908576177</v>
      </c>
      <c r="CZ80" s="59">
        <f t="shared" si="96"/>
        <v>384.86917865380076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44.094610172411464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44.094610172411464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</v>
      </c>
      <c r="DO80" s="12">
        <f>IF('Données projet'!$A$166&gt;35,DO79+DN80-DW79,IF(A80&lt;'Données projet'!$A$166,$DL$205^A80,IF(A80='Données projet'!$A$166,'Données projet'!$B$166,DO79+DN80-DW79)))</f>
        <v>368.99999999999972</v>
      </c>
      <c r="DP80" s="17">
        <f>DO80*VLOOKUP('Données projet'!$B$14,Paramètres!$A$1:$I$89,3,0)*VLOOKUP('Données projet'!$B$14,Paramètres!$A$1:$I$89,5,0)</f>
        <v>293.57639999999981</v>
      </c>
      <c r="DQ80" s="13">
        <f t="shared" si="97"/>
        <v>69.828138511965548</v>
      </c>
      <c r="DR80" s="20">
        <f t="shared" si="70"/>
        <v>632.92957124167299</v>
      </c>
      <c r="DS80" s="59">
        <f t="shared" si="71"/>
        <v>902.43973046594533</v>
      </c>
      <c r="DT80" s="59">
        <f ca="1">AVERAGE(OFFSET($DS$3,0,0,'Données projet'!$E$14+1,1))-AVERAGE(OFFSET($H$3,0,0,'Données projet'!$E$14+1,1))</f>
        <v>429.30603040255431</v>
      </c>
      <c r="DU80" s="59">
        <f t="shared" si="98"/>
        <v>412.18613903804726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58.974632011889248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58.974632011889248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210.25641025641013</v>
      </c>
      <c r="EK80" s="17">
        <f>EJ80*VLOOKUP('Données projet'!$B$15,Paramètres!$A$1:$I$89,3,0)*VLOOKUP('Données projet'!$B$15,Paramètres!$A$1:$I$89,5,0)</f>
        <v>163.99999999999991</v>
      </c>
      <c r="EL80" s="13">
        <f t="shared" si="99"/>
        <v>41.743425908362248</v>
      </c>
      <c r="EM80" s="20">
        <f t="shared" si="73"/>
        <v>358.33646679039742</v>
      </c>
      <c r="EN80" s="59">
        <f t="shared" si="74"/>
        <v>627.84662601466971</v>
      </c>
      <c r="EO80" s="59">
        <f ca="1">AVERAGE(OFFSET($EN$3,0,0,'Données projet'!$E$15+1,1))-AVERAGE(OFFSET($H$3,0,0,'Données projet'!$E$15+1,1))</f>
        <v>217.53602321474159</v>
      </c>
      <c r="EP80" s="59">
        <f t="shared" si="100"/>
        <v>215.75909414893025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27.563122197318066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27.563122197318066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11.009999999999998</v>
      </c>
      <c r="FE80" s="12">
        <f>IF('Données projet'!$A$218&gt;35,FE79+FD80-FM79,IF(A80&lt;'Données projet'!$A$218,$FB$205^A80,IF(A80='Données projet'!$A$218,'Données projet'!$B$218,FE79+FD80-FM79)))</f>
        <v>362.67999999999989</v>
      </c>
      <c r="FF80" s="17">
        <f>FE80*VLOOKUP('Données projet'!$B$16,Paramètres!$A$1:$I$89,3,0)*VLOOKUP('Données projet'!$B$16,Paramètres!$A$1:$I$89,5,0)</f>
        <v>243.28574399999994</v>
      </c>
      <c r="FG80" s="13">
        <f t="shared" si="101"/>
        <v>59.145913871311265</v>
      </c>
      <c r="FH80" s="20">
        <f t="shared" si="76"/>
        <v>526.73513745920025</v>
      </c>
      <c r="FI80" s="59">
        <f t="shared" si="77"/>
        <v>796.24529668347259</v>
      </c>
      <c r="FJ80" s="59">
        <f ca="1">AVERAGE(OFFSET($FI$3,0,0,'Données projet'!$E$16+1,1))-AVERAGE(OFFSET($H$3,0,0,'Données projet'!$E$16+1,1))</f>
        <v>441.20130048888439</v>
      </c>
      <c r="FK80" s="59">
        <f t="shared" si="102"/>
        <v>237.47732532183946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83.687111673155087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83.687111673155087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3.8</v>
      </c>
      <c r="FZ80" s="12">
        <f>IF('Données projet'!$A$244&gt;35,FZ79+FY80-GH79,IF(A80&lt;'Données projet'!$A$244,$FW$205^A80,IF(A80='Données projet'!$A$244,'Données projet'!$B$244,FZ79+FY80-GH79)))</f>
        <v>199.60000000000014</v>
      </c>
      <c r="GA80" s="17">
        <f>FZ80*VLOOKUP('Données projet'!$B$17,Paramètres!$A$1:$I$89,3,0)*VLOOKUP('Données projet'!$B$17,Paramètres!$A$1:$I$89,5,0)</f>
        <v>130.77792000000008</v>
      </c>
      <c r="GB80" s="13">
        <f t="shared" si="103"/>
        <v>34.176051340149542</v>
      </c>
      <c r="GC80" s="20">
        <f t="shared" si="79"/>
        <v>287.29483341742724</v>
      </c>
      <c r="GD80" s="59">
        <f t="shared" si="80"/>
        <v>556.80499264169953</v>
      </c>
      <c r="GE80" s="59">
        <f ca="1">AVERAGE(OFFSET($GD$3,0,0,'Données projet'!$E$17+1,1))-AVERAGE(OFFSET($H$3,0,0,'Données projet'!$E$17+1,1))</f>
        <v>257.66104339896992</v>
      </c>
      <c r="GF80" s="59">
        <f t="shared" si="104"/>
        <v>254.79488636184996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35.681424310282331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35.681424310282331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4.2</v>
      </c>
      <c r="GU80" s="12">
        <f>IF('Données projet'!$A$270&gt;35,GU79+GT80-HC79,IF(A80&lt;'Données projet'!$A$270,$GR$205^A80,IF(A80='Données projet'!$A$270,'Données projet'!$B$270,GU79+GT80-HC79)))</f>
        <v>221.40000000000009</v>
      </c>
      <c r="GV80" s="17">
        <f>GU80*VLOOKUP('Données projet'!$B$18,Paramètres!$A$1:$I$89,3,0)*VLOOKUP('Données projet'!$B$18,Paramètres!$A$1:$I$89,5,0)</f>
        <v>179.59968000000009</v>
      </c>
      <c r="GW80" s="13">
        <f t="shared" si="105"/>
        <v>45.233110804333748</v>
      </c>
      <c r="GX80" s="20">
        <f t="shared" si="82"/>
        <v>391.58377731754808</v>
      </c>
      <c r="GY80" s="59">
        <f t="shared" si="83"/>
        <v>661.09393654182031</v>
      </c>
      <c r="GZ80" s="59">
        <f ca="1">AVERAGE(OFFSET($GY$3,0,0,'Données projet'!$E$18+1,1))-AVERAGE(OFFSET($H$3,0,0,'Données projet'!$E$18+1,1))</f>
        <v>299.98377156721153</v>
      </c>
      <c r="HA80" s="59">
        <f t="shared" si="106"/>
        <v>241.36164657721102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31.942522235865184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31.942522235865184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11.009999999999998</v>
      </c>
      <c r="N81" s="13">
        <f>IF('Données projet'!$A$36&gt;35,N80+M81-V80,IF(A81&lt;'Données projet'!$A$36,$K$205^A81,IF(A81='Données projet'!$A$36,'Données projet'!$B$36,N80+M81-V80)))</f>
        <v>373.68999999999988</v>
      </c>
      <c r="O81" s="13">
        <f>N81*VLOOKUP('Données projet'!$B$9,Paramètres!$A$1:$I$89,3,0)*VLOOKUP('Données projet'!$B$9,Paramètres!$A$1:$I$89,5,0)</f>
        <v>338.11471199999988</v>
      </c>
      <c r="P81" s="13">
        <f t="shared" si="87"/>
        <v>79.110308022170997</v>
      </c>
      <c r="Q81" s="20">
        <f t="shared" si="54"/>
        <v>726.66690987194761</v>
      </c>
      <c r="R81" s="59">
        <f t="shared" si="55"/>
        <v>996.59034790637384</v>
      </c>
      <c r="S81" s="59">
        <f ca="1">AVERAGE(OFFSET($R$3,0,0,'Données projet'!$E$9+1,1))-AVERAGE(OFFSET($H$3,0,0,'Données projet'!$E$9+1,1))</f>
        <v>567.42635821507474</v>
      </c>
      <c r="T81" s="59">
        <f t="shared" si="88"/>
        <v>299.04735309930152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89.786252651431369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89.786252651431369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10.4</v>
      </c>
      <c r="AI81" s="13">
        <f>IF('Données projet'!$A$62&gt;35,AI80+AH81-AQ80,IF(A81&lt;'Données projet'!$A$62,$AF$205^A81,IF(A81='Données projet'!$A$62,'Données projet'!$B$62,AI80+AH81-AQ80)))</f>
        <v>403.19999999999993</v>
      </c>
      <c r="AJ81" s="13">
        <f>AI81*VLOOKUP('Données projet'!$B$10,Paramètres!$A$1:$I$89,3,0)*VLOOKUP('Données projet'!$B$10,Paramètres!$A$1:$I$89,5,0)</f>
        <v>345.94560000000001</v>
      </c>
      <c r="AK81" s="13">
        <f t="shared" si="89"/>
        <v>80.727102887907222</v>
      </c>
      <c r="AL81" s="20">
        <f t="shared" si="58"/>
        <v>743.12162419643846</v>
      </c>
      <c r="AM81" s="59">
        <f t="shared" si="59"/>
        <v>1013.0450622308647</v>
      </c>
      <c r="AN81" s="59">
        <f ca="1">AVERAGE(OFFSET($AM$3,0,0,'Données projet'!$E$10+1,1))-AVERAGE(OFFSET($H$3,0,0,'Données projet'!$E$10+1,1))</f>
        <v>569.97793593332699</v>
      </c>
      <c r="AO81" s="59">
        <f t="shared" si="90"/>
        <v>331.25104323342907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103.7293399489664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103.7293399489664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277.99999999999994</v>
      </c>
      <c r="BE81" s="13">
        <f>BD81*VLOOKUP('Données projet'!$B$11,Paramètres!$A$1:$I$89,3,0)*VLOOKUP('Données projet'!$B$11,Paramètres!$A$1:$I$89,5,0)</f>
        <v>151.78799999999998</v>
      </c>
      <c r="BF81" s="13">
        <f t="shared" si="91"/>
        <v>38.984634390835623</v>
      </c>
      <c r="BG81" s="20">
        <f t="shared" si="61"/>
        <v>332.26233823070532</v>
      </c>
      <c r="BH81" s="59">
        <f t="shared" si="62"/>
        <v>602.18577626513161</v>
      </c>
      <c r="BI81" s="59">
        <f ca="1">AVERAGE(OFFSET($BH$3,0,0,'Données projet'!$E$11+1,1))-AVERAGE(OFFSET($H$3,0,0,'Données projet'!$E$11+1,1))</f>
        <v>215.37314197175104</v>
      </c>
      <c r="BJ81" s="59">
        <f t="shared" si="92"/>
        <v>361.17630426655978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14.187227015848555</v>
      </c>
      <c r="BQ81" s="21">
        <f>EXP(-LN(2)/25)*BQ80+(1-EXP(-LN(2)/25))/(LN(2)/25)*Calculateur!BL81*Calculateur!BN81*VLOOKUP('Données projet'!$B$11,Paramètres!$A$1:$I$89,3,0)*0.475*44/12</f>
        <v>25.379391703520071</v>
      </c>
      <c r="BR81" s="21">
        <f>EXP(-LN(2)/2)*BR80+(1-EXP(-LN(2)/2))/(LN(2)/2)*BL81*BO81*VLOOKUP('Données projet'!$B$11,Paramètres!$A$1:$I$89,3,0)*0.475*44/12</f>
        <v>1.5113241415748439E-9</v>
      </c>
      <c r="BS81" s="22">
        <f t="shared" si="63"/>
        <v>39.566618720879951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0.8600000000003547</v>
      </c>
      <c r="BZ81" s="13">
        <f>BY81*VLOOKUP('Données projet'!$B$12,Paramètres!$A$1:$I$89,3,0)*VLOOKUP('Données projet'!$B$12,Paramètres!$A$1:$I$89,5,0)</f>
        <v>0.48074000000019829</v>
      </c>
      <c r="CA81" s="13">
        <f t="shared" si="93"/>
        <v>0.24126147010950588</v>
      </c>
      <c r="CB81" s="20">
        <f t="shared" si="64"/>
        <v>1.2574858937744013</v>
      </c>
      <c r="CC81" s="59">
        <f t="shared" si="65"/>
        <v>271.18092392820063</v>
      </c>
      <c r="CD81" s="59">
        <f ca="1">AVERAGE(OFFSET($CC$3,0,0,'Données projet'!$E$12+1,1))-AVERAGE(OFFSET($H$3,0,0,'Données projet'!$E$12+1,1))</f>
        <v>420.4890915162182</v>
      </c>
      <c r="CE81" s="59">
        <f t="shared" si="94"/>
        <v>553.48432338023565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235.76416758550761</v>
      </c>
      <c r="CL81" s="21">
        <f>EXP(-LN(2)/25)*CL80+(1-EXP(-LN(2)/25))/(LN(2)/25)*Calculateur!CG81*Calculateur!CI81*VLOOKUP('Données projet'!$B$12,Paramètres!$A$1:$I$89,3,0)*0.475*44/12</f>
        <v>13.363686588017268</v>
      </c>
      <c r="CM81" s="21">
        <f>EXP(-LN(2)/2)*CM80+(1-EXP(-LN(2)/2))/(LN(2)/2)*CG81*CJ81*VLOOKUP('Données projet'!$B$12,Paramètres!$A$1:$I$89,3,0)*0.475*44/12</f>
        <v>4.4102700296808013E-8</v>
      </c>
      <c r="CN81" s="22">
        <f t="shared" si="66"/>
        <v>249.12785421762757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372.99999999999972</v>
      </c>
      <c r="CU81" s="17">
        <f>CT81*VLOOKUP('Données projet'!$B$13,Paramètres!$A$1:$I$89,3,0)*VLOOKUP('Données projet'!$B$13,Paramètres!$A$1:$I$89,5,0)</f>
        <v>273.4835999999998</v>
      </c>
      <c r="CV81" s="13">
        <f t="shared" si="95"/>
        <v>65.588024622277445</v>
      </c>
      <c r="CW81" s="20">
        <f t="shared" si="67"/>
        <v>590.54974621713279</v>
      </c>
      <c r="CX81" s="59">
        <f t="shared" si="68"/>
        <v>860.47318425155902</v>
      </c>
      <c r="CY81" s="59">
        <f ca="1">AVERAGE(OFFSET($CX$3,0,0,'Données projet'!$E$13+1,1))-AVERAGE(OFFSET($H$3,0,0,'Données projet'!$E$13+1,1))</f>
        <v>400.48995908576177</v>
      </c>
      <c r="CZ81" s="59">
        <f t="shared" si="96"/>
        <v>384.86917865380076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43.229941761987014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43.229941761987014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</v>
      </c>
      <c r="DO81" s="12">
        <f>IF('Données projet'!$A$166&gt;35,DO80+DN81-DW80,IF(A81&lt;'Données projet'!$A$166,$DL$205^A81,IF(A81='Données projet'!$A$166,'Données projet'!$B$166,DO80+DN81-DW80)))</f>
        <v>372.99999999999972</v>
      </c>
      <c r="DP81" s="17">
        <f>DO81*VLOOKUP('Données projet'!$B$14,Paramètres!$A$1:$I$89,3,0)*VLOOKUP('Données projet'!$B$14,Paramètres!$A$1:$I$89,5,0)</f>
        <v>296.75879999999978</v>
      </c>
      <c r="DQ81" s="13">
        <f t="shared" si="97"/>
        <v>70.496554480015604</v>
      </c>
      <c r="DR81" s="20">
        <f t="shared" si="70"/>
        <v>639.63640905269347</v>
      </c>
      <c r="DS81" s="59">
        <f t="shared" si="71"/>
        <v>909.55984708711969</v>
      </c>
      <c r="DT81" s="59">
        <f ca="1">AVERAGE(OFFSET($DS$3,0,0,'Données projet'!$E$14+1,1))-AVERAGE(OFFSET($H$3,0,0,'Données projet'!$E$14+1,1))</f>
        <v>429.30603040255431</v>
      </c>
      <c r="DU81" s="59">
        <f t="shared" si="98"/>
        <v>412.18613903804726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57.818175449109788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57.818175449109788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210.25641025641013</v>
      </c>
      <c r="EK81" s="17">
        <f>EJ81*VLOOKUP('Données projet'!$B$15,Paramètres!$A$1:$I$89,3,0)*VLOOKUP('Données projet'!$B$15,Paramètres!$A$1:$I$89,5,0)</f>
        <v>163.99999999999991</v>
      </c>
      <c r="EL81" s="13">
        <f t="shared" si="99"/>
        <v>41.743425908362248</v>
      </c>
      <c r="EM81" s="20">
        <f t="shared" si="73"/>
        <v>358.33646679039742</v>
      </c>
      <c r="EN81" s="59">
        <f t="shared" si="74"/>
        <v>628.25990482482371</v>
      </c>
      <c r="EO81" s="59">
        <f ca="1">AVERAGE(OFFSET($EN$3,0,0,'Données projet'!$E$15+1,1))-AVERAGE(OFFSET($H$3,0,0,'Données projet'!$E$15+1,1))</f>
        <v>217.53602321474159</v>
      </c>
      <c r="EP81" s="59">
        <f t="shared" si="100"/>
        <v>215.75909414893025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27.022626182873168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27.022626182873168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11.009999999999998</v>
      </c>
      <c r="FE81" s="12">
        <f>IF('Données projet'!$A$218&gt;35,FE80+FD81-FM80,IF(A81&lt;'Données projet'!$A$218,$FB$205^A81,IF(A81='Données projet'!$A$218,'Données projet'!$B$218,FE80+FD81-FM80)))</f>
        <v>373.68999999999988</v>
      </c>
      <c r="FF81" s="17">
        <f>FE81*VLOOKUP('Données projet'!$B$16,Paramètres!$A$1:$I$89,3,0)*VLOOKUP('Données projet'!$B$16,Paramètres!$A$1:$I$89,5,0)</f>
        <v>250.67125199999992</v>
      </c>
      <c r="FG81" s="13">
        <f t="shared" si="101"/>
        <v>60.729656926123134</v>
      </c>
      <c r="FH81" s="20">
        <f t="shared" si="76"/>
        <v>542.35658304633102</v>
      </c>
      <c r="FI81" s="59">
        <f t="shared" si="77"/>
        <v>812.28002108075725</v>
      </c>
      <c r="FJ81" s="59">
        <f ca="1">AVERAGE(OFFSET($FI$3,0,0,'Données projet'!$E$16+1,1))-AVERAGE(OFFSET($H$3,0,0,'Données projet'!$E$16+1,1))</f>
        <v>441.20130048888439</v>
      </c>
      <c r="FK81" s="59">
        <f t="shared" si="102"/>
        <v>237.47732532183946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82.046058457342454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82.046058457342454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3.8</v>
      </c>
      <c r="FZ81" s="12">
        <f>IF('Données projet'!$A$244&gt;35,FZ80+FY81-GH80,IF(A81&lt;'Données projet'!$A$244,$FW$205^A81,IF(A81='Données projet'!$A$244,'Données projet'!$B$244,FZ80+FY81-GH80)))</f>
        <v>203.40000000000015</v>
      </c>
      <c r="GA81" s="17">
        <f>FZ81*VLOOKUP('Données projet'!$B$17,Paramètres!$A$1:$I$89,3,0)*VLOOKUP('Données projet'!$B$17,Paramètres!$A$1:$I$89,5,0)</f>
        <v>133.2676800000001</v>
      </c>
      <c r="GB81" s="13">
        <f t="shared" si="103"/>
        <v>34.750329840004937</v>
      </c>
      <c r="GC81" s="20">
        <f t="shared" si="79"/>
        <v>292.63136713800878</v>
      </c>
      <c r="GD81" s="59">
        <f t="shared" si="80"/>
        <v>562.55480517243495</v>
      </c>
      <c r="GE81" s="59">
        <f ca="1">AVERAGE(OFFSET($GD$3,0,0,'Données projet'!$E$17+1,1))-AVERAGE(OFFSET($H$3,0,0,'Données projet'!$E$17+1,1))</f>
        <v>257.66104339896992</v>
      </c>
      <c r="GF81" s="59">
        <f t="shared" si="104"/>
        <v>254.79488636184996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34.981733343077558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34.981733343077558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4.2</v>
      </c>
      <c r="GU81" s="12">
        <f>IF('Données projet'!$A$270&gt;35,GU80+GT81-HC80,IF(A81&lt;'Données projet'!$A$270,$GR$205^A81,IF(A81='Données projet'!$A$270,'Données projet'!$B$270,GU80+GT81-HC80)))</f>
        <v>225.60000000000008</v>
      </c>
      <c r="GV81" s="17">
        <f>GU81*VLOOKUP('Données projet'!$B$18,Paramètres!$A$1:$I$89,3,0)*VLOOKUP('Données projet'!$B$18,Paramètres!$A$1:$I$89,5,0)</f>
        <v>183.00672000000006</v>
      </c>
      <c r="GW81" s="13">
        <f t="shared" si="105"/>
        <v>45.990479653087696</v>
      </c>
      <c r="GX81" s="20">
        <f t="shared" si="82"/>
        <v>398.83678939579448</v>
      </c>
      <c r="GY81" s="59">
        <f t="shared" si="83"/>
        <v>668.76022743022077</v>
      </c>
      <c r="GZ81" s="59">
        <f ca="1">AVERAGE(OFFSET($GY$3,0,0,'Données projet'!$E$18+1,1))-AVERAGE(OFFSET($H$3,0,0,'Données projet'!$E$18+1,1))</f>
        <v>299.98377156721153</v>
      </c>
      <c r="HA81" s="59">
        <f t="shared" si="106"/>
        <v>241.36164657721102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31.316148857834644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31.316148857834644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11.009999999999998</v>
      </c>
      <c r="N82" s="13">
        <f>IF('Données projet'!$A$36&gt;35,N81+M82-V81,IF(A82&lt;'Données projet'!$A$36,$K$205^A82,IF(A82='Données projet'!$A$36,'Données projet'!$B$36,N81+M82-V81)))</f>
        <v>384.69999999999987</v>
      </c>
      <c r="O82" s="13">
        <f>N82*VLOOKUP('Données projet'!$B$9,Paramètres!$A$1:$I$89,3,0)*VLOOKUP('Données projet'!$B$9,Paramètres!$A$1:$I$89,5,0)</f>
        <v>348.07655999999986</v>
      </c>
      <c r="P82" s="13">
        <f t="shared" si="87"/>
        <v>81.166328031452807</v>
      </c>
      <c r="Q82" s="20">
        <f t="shared" si="54"/>
        <v>747.59802998811335</v>
      </c>
      <c r="R82" s="59">
        <f t="shared" si="55"/>
        <v>1017.9275773692902</v>
      </c>
      <c r="S82" s="59">
        <f ca="1">AVERAGE(OFFSET($R$3,0,0,'Données projet'!$E$9+1,1))-AVERAGE(OFFSET($H$3,0,0,'Données projet'!$E$9+1,1))</f>
        <v>567.42635821507474</v>
      </c>
      <c r="T82" s="59">
        <f t="shared" si="88"/>
        <v>299.04735309930152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88.025599001143405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88.025599001143405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10.4</v>
      </c>
      <c r="AI82" s="13">
        <f>IF('Données projet'!$A$62&gt;35,AI81+AH82-AQ81,IF(A82&lt;'Données projet'!$A$62,$AF$205^A82,IF(A82='Données projet'!$A$62,'Données projet'!$B$62,AI81+AH82-AQ81)))</f>
        <v>413.59999999999991</v>
      </c>
      <c r="AJ82" s="13">
        <f>AI82*VLOOKUP('Données projet'!$B$10,Paramètres!$A$1:$I$89,3,0)*VLOOKUP('Données projet'!$B$10,Paramètres!$A$1:$I$89,5,0)</f>
        <v>354.86879999999996</v>
      </c>
      <c r="AK82" s="13">
        <f t="shared" si="89"/>
        <v>82.564240228675203</v>
      </c>
      <c r="AL82" s="20">
        <f t="shared" si="58"/>
        <v>761.86254506494254</v>
      </c>
      <c r="AM82" s="59">
        <f t="shared" si="59"/>
        <v>1032.1920924461194</v>
      </c>
      <c r="AN82" s="59">
        <f ca="1">AVERAGE(OFFSET($AM$3,0,0,'Données projet'!$E$10+1,1))-AVERAGE(OFFSET($H$3,0,0,'Données projet'!$E$10+1,1))</f>
        <v>569.97793593332699</v>
      </c>
      <c r="AO82" s="59">
        <f t="shared" si="90"/>
        <v>331.25104323342907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101.69527086121728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101.69527086121728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277.99999999999994</v>
      </c>
      <c r="BE82" s="13">
        <f>BD82*VLOOKUP('Données projet'!$B$11,Paramètres!$A$1:$I$89,3,0)*VLOOKUP('Données projet'!$B$11,Paramètres!$A$1:$I$89,5,0)</f>
        <v>151.78799999999998</v>
      </c>
      <c r="BF82" s="13">
        <f t="shared" si="91"/>
        <v>38.984634390835623</v>
      </c>
      <c r="BG82" s="20">
        <f t="shared" si="61"/>
        <v>332.26233823070532</v>
      </c>
      <c r="BH82" s="59">
        <f t="shared" si="62"/>
        <v>602.59188561188228</v>
      </c>
      <c r="BI82" s="59">
        <f ca="1">AVERAGE(OFFSET($BH$3,0,0,'Données projet'!$E$11+1,1))-AVERAGE(OFFSET($H$3,0,0,'Données projet'!$E$11+1,1))</f>
        <v>215.37314197175104</v>
      </c>
      <c r="BJ82" s="59">
        <f t="shared" si="92"/>
        <v>361.17630426655978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13.909024147421796</v>
      </c>
      <c r="BQ82" s="21">
        <f>EXP(-LN(2)/25)*BQ81+(1-EXP(-LN(2)/25))/(LN(2)/25)*Calculateur!BL82*Calculateur!BN82*VLOOKUP('Données projet'!$B$11,Paramètres!$A$1:$I$89,3,0)*0.475*44/12</f>
        <v>24.685390902743109</v>
      </c>
      <c r="BR82" s="21">
        <f>EXP(-LN(2)/2)*BR81+(1-EXP(-LN(2)/2))/(LN(2)/2)*BL82*BO82*VLOOKUP('Données projet'!$B$11,Paramètres!$A$1:$I$89,3,0)*0.475*44/12</f>
        <v>1.0686675490785099E-9</v>
      </c>
      <c r="BS82" s="22">
        <f t="shared" si="63"/>
        <v>38.594415051233575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0.8600000000003547</v>
      </c>
      <c r="BZ82" s="13">
        <f>BY82*VLOOKUP('Données projet'!$B$12,Paramètres!$A$1:$I$89,3,0)*VLOOKUP('Données projet'!$B$12,Paramètres!$A$1:$I$89,5,0)</f>
        <v>0.48074000000019829</v>
      </c>
      <c r="CA82" s="13">
        <f t="shared" si="93"/>
        <v>0.24126147010950588</v>
      </c>
      <c r="CB82" s="20">
        <f t="shared" si="64"/>
        <v>1.2574858937744013</v>
      </c>
      <c r="CC82" s="59">
        <f t="shared" si="65"/>
        <v>271.58703327495135</v>
      </c>
      <c r="CD82" s="59">
        <f ca="1">AVERAGE(OFFSET($CC$3,0,0,'Données projet'!$E$12+1,1))-AVERAGE(OFFSET($H$3,0,0,'Données projet'!$E$12+1,1))</f>
        <v>420.4890915162182</v>
      </c>
      <c r="CE82" s="59">
        <f t="shared" si="94"/>
        <v>553.48432338023565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231.14097606109877</v>
      </c>
      <c r="CL82" s="21">
        <f>EXP(-LN(2)/25)*CL81+(1-EXP(-LN(2)/25))/(LN(2)/25)*Calculateur!CG82*Calculateur!CI82*VLOOKUP('Données projet'!$B$12,Paramètres!$A$1:$I$89,3,0)*0.475*44/12</f>
        <v>12.998255875502201</v>
      </c>
      <c r="CM82" s="21">
        <f>EXP(-LN(2)/2)*CM81+(1-EXP(-LN(2)/2))/(LN(2)/2)*CG82*CJ82*VLOOKUP('Données projet'!$B$12,Paramètres!$A$1:$I$89,3,0)*0.475*44/12</f>
        <v>3.1185318448510907E-8</v>
      </c>
      <c r="CN82" s="22">
        <f t="shared" si="66"/>
        <v>244.13923196778629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376.99999999999972</v>
      </c>
      <c r="CU82" s="17">
        <f>CT82*VLOOKUP('Données projet'!$B$13,Paramètres!$A$1:$I$89,3,0)*VLOOKUP('Données projet'!$B$13,Paramètres!$A$1:$I$89,5,0)</f>
        <v>276.41639999999978</v>
      </c>
      <c r="CV82" s="13">
        <f t="shared" si="95"/>
        <v>66.209124371313351</v>
      </c>
      <c r="CW82" s="20">
        <f t="shared" si="67"/>
        <v>596.73945494670363</v>
      </c>
      <c r="CX82" s="59">
        <f t="shared" si="68"/>
        <v>867.06900232788053</v>
      </c>
      <c r="CY82" s="59">
        <f ca="1">AVERAGE(OFFSET($CX$3,0,0,'Données projet'!$E$13+1,1))-AVERAGE(OFFSET($H$3,0,0,'Données projet'!$E$13+1,1))</f>
        <v>400.48995908576177</v>
      </c>
      <c r="CZ82" s="59">
        <f t="shared" si="96"/>
        <v>384.86917865380076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42.382228971695334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42.382228971695334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</v>
      </c>
      <c r="DO82" s="12">
        <f>IF('Données projet'!$A$166&gt;35,DO81+DN82-DW81,IF(A82&lt;'Données projet'!$A$166,$DL$205^A82,IF(A82='Données projet'!$A$166,'Données projet'!$B$166,DO81+DN82-DW81)))</f>
        <v>376.99999999999972</v>
      </c>
      <c r="DP82" s="17">
        <f>DO82*VLOOKUP('Données projet'!$B$14,Paramètres!$A$1:$I$89,3,0)*VLOOKUP('Données projet'!$B$14,Paramètres!$A$1:$I$89,5,0)</f>
        <v>299.94119999999981</v>
      </c>
      <c r="DQ82" s="13">
        <f t="shared" si="97"/>
        <v>71.164136596531506</v>
      </c>
      <c r="DR82" s="20">
        <f t="shared" si="70"/>
        <v>646.34179457229197</v>
      </c>
      <c r="DS82" s="59">
        <f t="shared" si="71"/>
        <v>916.67134195346898</v>
      </c>
      <c r="DT82" s="59">
        <f ca="1">AVERAGE(OFFSET($DS$3,0,0,'Données projet'!$E$14+1,1))-AVERAGE(OFFSET($H$3,0,0,'Données projet'!$E$14+1,1))</f>
        <v>429.30603040255431</v>
      </c>
      <c r="DU82" s="59">
        <f t="shared" si="98"/>
        <v>412.18613903804726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56.68439629415758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56.68439629415758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210.25641025641013</v>
      </c>
      <c r="EK82" s="17">
        <f>EJ82*VLOOKUP('Données projet'!$B$15,Paramètres!$A$1:$I$89,3,0)*VLOOKUP('Données projet'!$B$15,Paramètres!$A$1:$I$89,5,0)</f>
        <v>163.99999999999991</v>
      </c>
      <c r="EL82" s="13">
        <f t="shared" si="99"/>
        <v>41.743425908362248</v>
      </c>
      <c r="EM82" s="20">
        <f t="shared" si="73"/>
        <v>358.33646679039742</v>
      </c>
      <c r="EN82" s="59">
        <f t="shared" si="74"/>
        <v>628.66601417157437</v>
      </c>
      <c r="EO82" s="59">
        <f ca="1">AVERAGE(OFFSET($EN$3,0,0,'Données projet'!$E$15+1,1))-AVERAGE(OFFSET($H$3,0,0,'Données projet'!$E$15+1,1))</f>
        <v>217.53602321474159</v>
      </c>
      <c r="EP82" s="59">
        <f t="shared" si="100"/>
        <v>215.75909414893025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26.492728965601518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26.492728965601518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11.009999999999998</v>
      </c>
      <c r="FE82" s="12">
        <f>IF('Données projet'!$A$218&gt;35,FE81+FD82-FM81,IF(A82&lt;'Données projet'!$A$218,$FB$205^A82,IF(A82='Données projet'!$A$218,'Données projet'!$B$218,FE81+FD82-FM81)))</f>
        <v>384.69999999999987</v>
      </c>
      <c r="FF82" s="17">
        <f>FE82*VLOOKUP('Données projet'!$B$16,Paramètres!$A$1:$I$89,3,0)*VLOOKUP('Données projet'!$B$16,Paramètres!$A$1:$I$89,5,0)</f>
        <v>258.05675999999988</v>
      </c>
      <c r="FG82" s="13">
        <f t="shared" si="101"/>
        <v>62.30797703280173</v>
      </c>
      <c r="FH82" s="20">
        <f t="shared" si="76"/>
        <v>557.96858366546269</v>
      </c>
      <c r="FI82" s="59">
        <f t="shared" si="77"/>
        <v>828.29813104663958</v>
      </c>
      <c r="FJ82" s="59">
        <f ca="1">AVERAGE(OFFSET($FI$3,0,0,'Données projet'!$E$16+1,1))-AVERAGE(OFFSET($H$3,0,0,'Données projet'!$E$16+1,1))</f>
        <v>441.20130048888439</v>
      </c>
      <c r="FK82" s="59">
        <f t="shared" si="102"/>
        <v>237.47732532183946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80.437185294148279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80.437185294148279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3.8</v>
      </c>
      <c r="FZ82" s="12">
        <f>IF('Données projet'!$A$244&gt;35,FZ81+FY82-GH81,IF(A82&lt;'Données projet'!$A$244,$FW$205^A82,IF(A82='Données projet'!$A$244,'Données projet'!$B$244,FZ81+FY82-GH81)))</f>
        <v>207.20000000000016</v>
      </c>
      <c r="GA82" s="17">
        <f>FZ82*VLOOKUP('Données projet'!$B$17,Paramètres!$A$1:$I$89,3,0)*VLOOKUP('Données projet'!$B$17,Paramètres!$A$1:$I$89,5,0)</f>
        <v>135.75744000000009</v>
      </c>
      <c r="GB82" s="13">
        <f t="shared" si="103"/>
        <v>35.323360776061499</v>
      </c>
      <c r="GC82" s="20">
        <f t="shared" si="79"/>
        <v>297.96572801830723</v>
      </c>
      <c r="GD82" s="59">
        <f t="shared" si="80"/>
        <v>568.29527539948413</v>
      </c>
      <c r="GE82" s="59">
        <f ca="1">AVERAGE(OFFSET($GD$3,0,0,'Données projet'!$E$17+1,1))-AVERAGE(OFFSET($H$3,0,0,'Données projet'!$E$17+1,1))</f>
        <v>257.66104339896992</v>
      </c>
      <c r="GF82" s="59">
        <f t="shared" si="104"/>
        <v>254.79488636184996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34.295762888970316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34.295762888970316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4.2</v>
      </c>
      <c r="GU82" s="12">
        <f>IF('Données projet'!$A$270&gt;35,GU81+GT82-HC81,IF(A82&lt;'Données projet'!$A$270,$GR$205^A82,IF(A82='Données projet'!$A$270,'Données projet'!$B$270,GU81+GT82-HC81)))</f>
        <v>229.80000000000007</v>
      </c>
      <c r="GV82" s="17">
        <f>GU82*VLOOKUP('Données projet'!$B$18,Paramètres!$A$1:$I$89,3,0)*VLOOKUP('Données projet'!$B$18,Paramètres!$A$1:$I$89,5,0)</f>
        <v>186.41376000000005</v>
      </c>
      <c r="GW82" s="13">
        <f t="shared" si="105"/>
        <v>46.746208944321332</v>
      </c>
      <c r="GX82" s="20">
        <f t="shared" si="82"/>
        <v>406.08694591135969</v>
      </c>
      <c r="GY82" s="59">
        <f t="shared" si="83"/>
        <v>676.41649329253664</v>
      </c>
      <c r="GZ82" s="59">
        <f ca="1">AVERAGE(OFFSET($GY$3,0,0,'Données projet'!$E$18+1,1))-AVERAGE(OFFSET($H$3,0,0,'Données projet'!$E$18+1,1))</f>
        <v>299.98377156721153</v>
      </c>
      <c r="HA82" s="59">
        <f t="shared" si="106"/>
        <v>241.36164657721102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30.702058279697248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30.702058279697248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395.71</v>
      </c>
      <c r="L83" s="12">
        <f>VLOOKUP(A83,'Données projet'!$A$35:$I$55,9,0)</f>
        <v>11.009999999999998</v>
      </c>
      <c r="M83" s="12">
        <f t="array" ref="M83">INDEX(L:L,MIN(IF(ISNUMBER(L83:L279),ROW(L83:L279),"")))</f>
        <v>11.009999999999998</v>
      </c>
      <c r="N83" s="13">
        <f>IF('Données projet'!$A$36&gt;35,N82+M83-V82,IF(A83&lt;'Données projet'!$A$36,$K$205^A83,IF(A83='Données projet'!$A$36,'Données projet'!$B$36,N82+M83-V82)))</f>
        <v>395.70999999999987</v>
      </c>
      <c r="O83" s="13">
        <f>N83*VLOOKUP('Données projet'!$B$9,Paramètres!$A$1:$I$89,3,0)*VLOOKUP('Données projet'!$B$9,Paramètres!$A$1:$I$89,5,0)</f>
        <v>358.03840799999989</v>
      </c>
      <c r="P83" s="13">
        <f t="shared" si="87"/>
        <v>83.215509161867502</v>
      </c>
      <c r="Q83" s="20">
        <f t="shared" si="54"/>
        <v>768.51723905691904</v>
      </c>
      <c r="R83" s="59">
        <f t="shared" si="55"/>
        <v>1039.2458506956052</v>
      </c>
      <c r="S83" s="59">
        <f ca="1">AVERAGE(OFFSET($R$3,0,0,'Données projet'!$E$9+1,1))-AVERAGE(OFFSET($H$3,0,0,'Données projet'!$E$9+1,1))</f>
        <v>567.42635821507474</v>
      </c>
      <c r="T83" s="59">
        <f t="shared" si="88"/>
        <v>299.04735309930152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59.57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111.92045190667203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111.92045190667203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424</v>
      </c>
      <c r="AG83" s="12">
        <f>VLOOKUP(A83,'Données projet'!$A$61:$I$81,9,0)</f>
        <v>10.4</v>
      </c>
      <c r="AH83" s="12">
        <f t="array" ref="AH83">INDEX(AG:AG,MIN(IF(ISNUMBER(AG83:AG279),ROW(AG83:AG279),"")))</f>
        <v>10.4</v>
      </c>
      <c r="AI83" s="13">
        <f>IF('Données projet'!$A$62&gt;35,AI82+AH83-AQ82,IF(A83&lt;'Données projet'!$A$62,$AF$205^A83,IF(A83='Données projet'!$A$62,'Données projet'!$B$62,AI82+AH83-AQ82)))</f>
        <v>423.99999999999989</v>
      </c>
      <c r="AJ83" s="13">
        <f>AI83*VLOOKUP('Données projet'!$B$10,Paramètres!$A$1:$I$89,3,0)*VLOOKUP('Données projet'!$B$10,Paramètres!$A$1:$I$89,5,0)</f>
        <v>363.79199999999997</v>
      </c>
      <c r="AK83" s="13">
        <f t="shared" si="89"/>
        <v>84.396007741478684</v>
      </c>
      <c r="AL83" s="20">
        <f t="shared" si="58"/>
        <v>780.59411348307538</v>
      </c>
      <c r="AM83" s="59">
        <f t="shared" si="59"/>
        <v>1051.3227251217616</v>
      </c>
      <c r="AN83" s="59">
        <f ca="1">AVERAGE(OFFSET($AM$3,0,0,'Données projet'!$E$10+1,1))-AVERAGE(OFFSET($H$3,0,0,'Données projet'!$E$10+1,1))</f>
        <v>569.97793593332699</v>
      </c>
      <c r="AO83" s="59">
        <f t="shared" si="90"/>
        <v>331.25104323342907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34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116.79294304083895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116.79294304083895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277.99999999999994</v>
      </c>
      <c r="BE83" s="13">
        <f>BD83*VLOOKUP('Données projet'!$B$11,Paramètres!$A$1:$I$89,3,0)*VLOOKUP('Données projet'!$B$11,Paramètres!$A$1:$I$89,5,0)</f>
        <v>151.78799999999998</v>
      </c>
      <c r="BF83" s="13">
        <f t="shared" si="91"/>
        <v>38.984634390835623</v>
      </c>
      <c r="BG83" s="20">
        <f t="shared" si="61"/>
        <v>332.26233823070532</v>
      </c>
      <c r="BH83" s="59">
        <f t="shared" si="62"/>
        <v>602.99094986939144</v>
      </c>
      <c r="BI83" s="59">
        <f ca="1">AVERAGE(OFFSET($BH$3,0,0,'Données projet'!$E$11+1,1))-AVERAGE(OFFSET($H$3,0,0,'Données projet'!$E$11+1,1))</f>
        <v>215.37314197175104</v>
      </c>
      <c r="BJ83" s="59">
        <f t="shared" si="92"/>
        <v>361.17630426655978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13.636276667557892</v>
      </c>
      <c r="BQ83" s="21">
        <f>EXP(-LN(2)/25)*BQ82+(1-EXP(-LN(2)/25))/(LN(2)/25)*Calculateur!BL83*Calculateur!BN83*VLOOKUP('Données projet'!$B$11,Paramètres!$A$1:$I$89,3,0)*0.475*44/12</f>
        <v>24.010367590359309</v>
      </c>
      <c r="BR83" s="21">
        <f>EXP(-LN(2)/2)*BR82+(1-EXP(-LN(2)/2))/(LN(2)/2)*BL83*BO83*VLOOKUP('Données projet'!$B$11,Paramètres!$A$1:$I$89,3,0)*0.475*44/12</f>
        <v>7.5566207078742194E-10</v>
      </c>
      <c r="BS83" s="22">
        <f t="shared" si="63"/>
        <v>37.646644258672865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0.8600000000003547</v>
      </c>
      <c r="BZ83" s="13">
        <f>BY83*VLOOKUP('Données projet'!$B$12,Paramètres!$A$1:$I$89,3,0)*VLOOKUP('Données projet'!$B$12,Paramètres!$A$1:$I$89,5,0)</f>
        <v>0.48074000000019829</v>
      </c>
      <c r="CA83" s="13">
        <f t="shared" si="93"/>
        <v>0.24126147010950588</v>
      </c>
      <c r="CB83" s="20">
        <f t="shared" si="64"/>
        <v>1.2574858937744013</v>
      </c>
      <c r="CC83" s="59">
        <f t="shared" si="65"/>
        <v>271.98609753246052</v>
      </c>
      <c r="CD83" s="59">
        <f ca="1">AVERAGE(OFFSET($CC$3,0,0,'Données projet'!$E$12+1,1))-AVERAGE(OFFSET($H$3,0,0,'Données projet'!$E$12+1,1))</f>
        <v>420.4890915162182</v>
      </c>
      <c r="CE83" s="59">
        <f t="shared" si="94"/>
        <v>553.48432338023565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226.60844250261519</v>
      </c>
      <c r="CL83" s="21">
        <f>EXP(-LN(2)/25)*CL82+(1-EXP(-LN(2)/25))/(LN(2)/25)*Calculateur!CG83*Calculateur!CI83*VLOOKUP('Données projet'!$B$12,Paramètres!$A$1:$I$89,3,0)*0.475*44/12</f>
        <v>12.642817885038024</v>
      </c>
      <c r="CM83" s="21">
        <f>EXP(-LN(2)/2)*CM82+(1-EXP(-LN(2)/2))/(LN(2)/2)*CG83*CJ83*VLOOKUP('Données projet'!$B$12,Paramètres!$A$1:$I$89,3,0)*0.475*44/12</f>
        <v>2.2051350148404006E-8</v>
      </c>
      <c r="CN83" s="22">
        <f t="shared" si="66"/>
        <v>239.25126040970457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381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380.99999999999972</v>
      </c>
      <c r="CU83" s="17">
        <f>CT83*VLOOKUP('Données projet'!$B$13,Paramètres!$A$1:$I$89,3,0)*VLOOKUP('Données projet'!$B$13,Paramètres!$A$1:$I$89,5,0)</f>
        <v>279.34919999999977</v>
      </c>
      <c r="CV83" s="13">
        <f t="shared" si="95"/>
        <v>66.829457512184078</v>
      </c>
      <c r="CW83" s="20">
        <f t="shared" si="67"/>
        <v>602.92782850038679</v>
      </c>
      <c r="CX83" s="59">
        <f t="shared" si="68"/>
        <v>873.65644013907286</v>
      </c>
      <c r="CY83" s="59">
        <f ca="1">AVERAGE(OFFSET($CX$3,0,0,'Données projet'!$E$13+1,1))-AVERAGE(OFFSET($H$3,0,0,'Données projet'!$E$13+1,1))</f>
        <v>400.48995908576177</v>
      </c>
      <c r="CZ83" s="59">
        <f t="shared" si="96"/>
        <v>384.86917865380076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13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46.082006944076724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46.082006944076724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381</v>
      </c>
      <c r="DM83" s="12">
        <f>VLOOKUP(A83,'Données projet'!$A$165:$I$185,9,0)</f>
        <v>4</v>
      </c>
      <c r="DN83" s="12">
        <f t="array" ref="DN83">INDEX(DM:DM,MIN(IF(ISNUMBER(DM83:DM279),ROW(DM83:DM279),"")))</f>
        <v>4</v>
      </c>
      <c r="DO83" s="12">
        <f>IF('Données projet'!$A$166&gt;35,DO82+DN83-DW82,IF(A83&lt;'Données projet'!$A$166,$DL$205^A83,IF(A83='Données projet'!$A$166,'Données projet'!$B$166,DO82+DN83-DW82)))</f>
        <v>380.99999999999972</v>
      </c>
      <c r="DP83" s="17">
        <f>DO83*VLOOKUP('Données projet'!$B$14,Paramètres!$A$1:$I$89,3,0)*VLOOKUP('Données projet'!$B$14,Paramètres!$A$1:$I$89,5,0)</f>
        <v>303.12359999999978</v>
      </c>
      <c r="DQ83" s="13">
        <f t="shared" si="97"/>
        <v>71.830894732837621</v>
      </c>
      <c r="DR83" s="20">
        <f t="shared" si="70"/>
        <v>653.0457449930251</v>
      </c>
      <c r="DS83" s="59">
        <f t="shared" si="71"/>
        <v>923.77435663171127</v>
      </c>
      <c r="DT83" s="59">
        <f ca="1">AVERAGE(OFFSET($DS$3,0,0,'Données projet'!$E$14+1,1))-AVERAGE(OFFSET($H$3,0,0,'Données projet'!$E$14+1,1))</f>
        <v>429.30603040255431</v>
      </c>
      <c r="DU83" s="59">
        <f t="shared" si="98"/>
        <v>412.18613903804726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13</v>
      </c>
      <c r="DX83" s="16">
        <f>IF(ISNA(VLOOKUP(A83,'Données projet'!$A$165:$I$185,5,0)),0%,VLOOKUP(A83,'Données projet'!$A$165:$I$185,5,0)*VLOOKUP('Données projet'!$B$14,Paramètres!$A$1:$I$89,7,0))</f>
        <v>0.53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61.632689148856684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61.632689148856684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210.25641025641013</v>
      </c>
      <c r="EK83" s="17">
        <f>EJ83*VLOOKUP('Données projet'!$B$15,Paramètres!$A$1:$I$89,3,0)*VLOOKUP('Données projet'!$B$15,Paramètres!$A$1:$I$89,5,0)</f>
        <v>163.99999999999991</v>
      </c>
      <c r="EL83" s="13">
        <f t="shared" si="99"/>
        <v>41.743425908362248</v>
      </c>
      <c r="EM83" s="20">
        <f t="shared" si="73"/>
        <v>358.33646679039742</v>
      </c>
      <c r="EN83" s="59">
        <f t="shared" si="74"/>
        <v>629.06507842908354</v>
      </c>
      <c r="EO83" s="59">
        <f ca="1">AVERAGE(OFFSET($EN$3,0,0,'Données projet'!$E$15+1,1))-AVERAGE(OFFSET($H$3,0,0,'Données projet'!$E$15+1,1))</f>
        <v>217.53602321474159</v>
      </c>
      <c r="EP83" s="59">
        <f t="shared" si="100"/>
        <v>215.75909414893025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25.973222709555177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25.973222709555177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395.71</v>
      </c>
      <c r="FC83" s="12">
        <f>VLOOKUP(A83,'Données projet'!$A$217:$I$237,9,0)</f>
        <v>11.009999999999998</v>
      </c>
      <c r="FD83" s="12">
        <f t="array" ref="FD83">INDEX(FC:FC,MIN(IF(ISNUMBER(FC83:FC279),ROW(FC83:FC279),"")))</f>
        <v>11.009999999999998</v>
      </c>
      <c r="FE83" s="12">
        <f>IF('Données projet'!$A$218&gt;35,FE82+FD83-FM82,IF(A83&lt;'Données projet'!$A$218,$FB$205^A83,IF(A83='Données projet'!$A$218,'Données projet'!$B$218,FE82+FD83-FM82)))</f>
        <v>395.70999999999987</v>
      </c>
      <c r="FF83" s="17">
        <f>FE83*VLOOKUP('Données projet'!$B$16,Paramètres!$A$1:$I$89,3,0)*VLOOKUP('Données projet'!$B$16,Paramètres!$A$1:$I$89,5,0)</f>
        <v>265.4422679999999</v>
      </c>
      <c r="FG83" s="13">
        <f t="shared" si="101"/>
        <v>63.88104721974485</v>
      </c>
      <c r="FH83" s="20">
        <f t="shared" si="76"/>
        <v>573.57144067438867</v>
      </c>
      <c r="FI83" s="59">
        <f t="shared" si="77"/>
        <v>844.30005231307473</v>
      </c>
      <c r="FJ83" s="59">
        <f ca="1">AVERAGE(OFFSET($FI$3,0,0,'Données projet'!$E$16+1,1))-AVERAGE(OFFSET($H$3,0,0,'Données projet'!$E$16+1,1))</f>
        <v>441.20130048888439</v>
      </c>
      <c r="FK83" s="59">
        <f t="shared" si="102"/>
        <v>237.47732532183946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59.57</v>
      </c>
      <c r="FN83" s="16">
        <f>IF(ISNA(VLOOKUP(A83,'Données projet'!$A$217:$I$237,5,0)),0%,VLOOKUP(A83,'Données projet'!$A$217:$I$237,5,0)*VLOOKUP('Données projet'!$B$16,Paramètres!$A$1:$I$89,7,0))</f>
        <v>0.53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102.27213708713134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102.27213708713134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211</v>
      </c>
      <c r="FX83" s="12">
        <f>VLOOKUP(A83,'Données projet'!$A$243:$I$263,9,0)</f>
        <v>3.8</v>
      </c>
      <c r="FY83" s="12">
        <f t="array" ref="FY83">INDEX(FX:FX,MIN(IF(ISNUMBER(FX83:FX279),ROW(FX83:FX279),"")))</f>
        <v>3.8</v>
      </c>
      <c r="FZ83" s="12">
        <f>IF('Données projet'!$A$244&gt;35,FZ82+FY83-GH82,IF(A83&lt;'Données projet'!$A$244,$FW$205^A83,IF(A83='Données projet'!$A$244,'Données projet'!$B$244,FZ82+FY83-GH82)))</f>
        <v>211.00000000000017</v>
      </c>
      <c r="GA83" s="17">
        <f>FZ83*VLOOKUP('Données projet'!$B$17,Paramètres!$A$1:$I$89,3,0)*VLOOKUP('Données projet'!$B$17,Paramètres!$A$1:$I$89,5,0)</f>
        <v>138.24720000000011</v>
      </c>
      <c r="GB83" s="13">
        <f t="shared" si="103"/>
        <v>35.895169667226</v>
      </c>
      <c r="GC83" s="20">
        <f t="shared" si="79"/>
        <v>303.29796050375211</v>
      </c>
      <c r="GD83" s="59">
        <f t="shared" si="80"/>
        <v>574.02657214243823</v>
      </c>
      <c r="GE83" s="59">
        <f ca="1">AVERAGE(OFFSET($GD$3,0,0,'Données projet'!$E$17+1,1))-AVERAGE(OFFSET($H$3,0,0,'Données projet'!$E$17+1,1))</f>
        <v>257.66104339896992</v>
      </c>
      <c r="GF83" s="59">
        <f t="shared" si="104"/>
        <v>254.79488636184996</v>
      </c>
      <c r="GG83" s="15">
        <f>IF(ISNA(VLOOKUP(A83,'Données projet'!$A$243:$I$263,3,0)),0,VLOOKUP(A83,'Données projet'!$A$243:$I$263,3,0))</f>
        <v>15</v>
      </c>
      <c r="GH83" s="15">
        <f>IF(ISNA(VLOOKUP(A83,'Données projet'!$A$243:$I$263,4,0)),0,VLOOKUP(A83,'Données projet'!$A$243:$I$263,4,0))</f>
        <v>15</v>
      </c>
      <c r="GI83" s="16">
        <f>IF(ISNA(VLOOKUP(A83,'Données projet'!$A$243:$I$263,5,0)),0%,VLOOKUP(A83,'Données projet'!$A$243:$I$263,5,0)*VLOOKUP('Données projet'!$B$17,Paramètres!$A$1:$I$89,7,0))</f>
        <v>0.43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38.295005939788879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38.295005939788879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234</v>
      </c>
      <c r="GS83" s="12">
        <f>VLOOKUP(A83,'Données projet'!$A$269:$I$289,9,0)</f>
        <v>4.2</v>
      </c>
      <c r="GT83" s="12">
        <f t="array" ref="GT83">INDEX(GS:GS,MIN(IF(ISNUMBER(GS83:GS279),ROW(GS83:GS279),"")))</f>
        <v>4.2</v>
      </c>
      <c r="GU83" s="12">
        <f>IF('Données projet'!$A$270&gt;35,GU82+GT83-HC82,IF(A83&lt;'Données projet'!$A$270,$GR$205^A83,IF(A83='Données projet'!$A$270,'Données projet'!$B$270,GU82+GT83-HC82)))</f>
        <v>234.00000000000006</v>
      </c>
      <c r="GV83" s="17">
        <f>GU83*VLOOKUP('Données projet'!$B$18,Paramètres!$A$1:$I$89,3,0)*VLOOKUP('Données projet'!$B$18,Paramètres!$A$1:$I$89,5,0)</f>
        <v>189.82080000000005</v>
      </c>
      <c r="GW83" s="13">
        <f t="shared" si="105"/>
        <v>47.500332100049796</v>
      </c>
      <c r="GX83" s="20">
        <f t="shared" si="82"/>
        <v>413.33430507425345</v>
      </c>
      <c r="GY83" s="59">
        <f t="shared" si="83"/>
        <v>684.06291671293957</v>
      </c>
      <c r="GZ83" s="59">
        <f ca="1">AVERAGE(OFFSET($GY$3,0,0,'Données projet'!$E$18+1,1))-AVERAGE(OFFSET($H$3,0,0,'Données projet'!$E$18+1,1))</f>
        <v>299.98377156721153</v>
      </c>
      <c r="HA83" s="59">
        <f t="shared" si="106"/>
        <v>241.36164657721102</v>
      </c>
      <c r="HB83" s="15">
        <f>IF(ISNA(VLOOKUP(A83,'Données projet'!$A$269:$I$289,3,0)),0,VLOOKUP(A83,'Données projet'!$A$269:$I$289,3,0))</f>
        <v>13</v>
      </c>
      <c r="HC83" s="15">
        <f>IF(ISNA(VLOOKUP(A83,'Données projet'!$A$269:$I$289,4,0)),0,VLOOKUP(A83,'Données projet'!$A$269:$I$289,4,0))</f>
        <v>13</v>
      </c>
      <c r="HD83" s="16">
        <f>IF(ISNA(VLOOKUP(A83,'Données projet'!$A$269:$I$289,5,0)),0%,VLOOKUP(A83,'Données projet'!$A$269:$I$289,5,0)*VLOOKUP('Données projet'!$B$18,Paramètres!$A$1:$I$89,7,0))</f>
        <v>0.43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35.112884470032007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35.112884470032007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</v>
      </c>
      <c r="N84" s="13">
        <f>IF('Données projet'!$A$36&gt;35,N83+M84-V83,IF(A84&lt;'Données projet'!$A$36,$K$205^A84,IF(A84='Données projet'!$A$36,'Données projet'!$B$36,N83+M84-V83)))</f>
        <v>346.5499999999999</v>
      </c>
      <c r="O84" s="13">
        <f>N84*VLOOKUP('Données projet'!$B$9,Paramètres!$A$1:$I$89,3,0)*VLOOKUP('Données projet'!$B$9,Paramètres!$A$1:$I$89,5,0)</f>
        <v>313.55843999999991</v>
      </c>
      <c r="P84" s="13">
        <f t="shared" si="87"/>
        <v>74.011479710591601</v>
      </c>
      <c r="Q84" s="20">
        <f t="shared" si="54"/>
        <v>675.01761016261355</v>
      </c>
      <c r="R84" s="59">
        <f t="shared" si="55"/>
        <v>946.13836318611493</v>
      </c>
      <c r="S84" s="59">
        <f ca="1">AVERAGE(OFFSET($R$3,0,0,'Données projet'!$E$9+1,1))-AVERAGE(OFFSET($H$3,0,0,'Données projet'!$E$9+1,1))</f>
        <v>567.42635821507474</v>
      </c>
      <c r="T84" s="59">
        <f t="shared" si="88"/>
        <v>299.04735309930152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109.72576010951727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109.72576010951727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9.6</v>
      </c>
      <c r="AI84" s="13">
        <f>IF('Données projet'!$A$62&gt;35,AI83+AH84-AQ83,IF(A84&lt;'Données projet'!$A$62,$AF$205^A84,IF(A84='Données projet'!$A$62,'Données projet'!$B$62,AI83+AH84-AQ83)))</f>
        <v>399.59999999999991</v>
      </c>
      <c r="AJ84" s="13">
        <f>AI84*VLOOKUP('Données projet'!$B$10,Paramètres!$A$1:$I$89,3,0)*VLOOKUP('Données projet'!$B$10,Paramètres!$A$1:$I$89,5,0)</f>
        <v>342.85679999999996</v>
      </c>
      <c r="AK84" s="13">
        <f t="shared" si="89"/>
        <v>80.089891653777826</v>
      </c>
      <c r="AL84" s="20">
        <f t="shared" si="58"/>
        <v>736.63215463032964</v>
      </c>
      <c r="AM84" s="59">
        <f t="shared" si="59"/>
        <v>1007.752907653831</v>
      </c>
      <c r="AN84" s="59">
        <f ca="1">AVERAGE(OFFSET($AM$3,0,0,'Données projet'!$E$10+1,1))-AVERAGE(OFFSET($H$3,0,0,'Données projet'!$E$10+1,1))</f>
        <v>569.97793593332699</v>
      </c>
      <c r="AO84" s="59">
        <f t="shared" si="90"/>
        <v>331.25104323342907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114.50270466446932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114.50270466446932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277.99999999999994</v>
      </c>
      <c r="BE84" s="13">
        <f>BD84*VLOOKUP('Données projet'!$B$11,Paramètres!$A$1:$I$89,3,0)*VLOOKUP('Données projet'!$B$11,Paramètres!$A$1:$I$89,5,0)</f>
        <v>151.78799999999998</v>
      </c>
      <c r="BF84" s="13">
        <f t="shared" si="91"/>
        <v>38.984634390835623</v>
      </c>
      <c r="BG84" s="20">
        <f t="shared" si="61"/>
        <v>332.26233823070532</v>
      </c>
      <c r="BH84" s="59">
        <f t="shared" si="62"/>
        <v>603.38309125420676</v>
      </c>
      <c r="BI84" s="59">
        <f ca="1">AVERAGE(OFFSET($BH$3,0,0,'Données projet'!$E$11+1,1))-AVERAGE(OFFSET($H$3,0,0,'Données projet'!$E$11+1,1))</f>
        <v>215.37314197175104</v>
      </c>
      <c r="BJ84" s="59">
        <f t="shared" si="92"/>
        <v>361.17630426655978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13.368877599414583</v>
      </c>
      <c r="BQ84" s="21">
        <f>EXP(-LN(2)/25)*BQ83+(1-EXP(-LN(2)/25))/(LN(2)/25)*Calculateur!BL84*Calculateur!BN84*VLOOKUP('Données projet'!$B$11,Paramètres!$A$1:$I$89,3,0)*0.475*44/12</f>
        <v>23.353802825950577</v>
      </c>
      <c r="BR84" s="21">
        <f>EXP(-LN(2)/2)*BR83+(1-EXP(-LN(2)/2))/(LN(2)/2)*BL84*BO84*VLOOKUP('Données projet'!$B$11,Paramètres!$A$1:$I$89,3,0)*0.475*44/12</f>
        <v>5.3433377453925494E-10</v>
      </c>
      <c r="BS84" s="22">
        <f t="shared" si="63"/>
        <v>36.722680425899497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0.8600000000003547</v>
      </c>
      <c r="BZ84" s="13">
        <f>BY84*VLOOKUP('Données projet'!$B$12,Paramètres!$A$1:$I$89,3,0)*VLOOKUP('Données projet'!$B$12,Paramètres!$A$1:$I$89,5,0)</f>
        <v>0.48074000000019829</v>
      </c>
      <c r="CA84" s="13">
        <f t="shared" si="93"/>
        <v>0.24126147010950588</v>
      </c>
      <c r="CB84" s="20">
        <f t="shared" si="64"/>
        <v>1.2574858937744013</v>
      </c>
      <c r="CC84" s="59">
        <f t="shared" si="65"/>
        <v>272.37823891727584</v>
      </c>
      <c r="CD84" s="59">
        <f ca="1">AVERAGE(OFFSET($CC$3,0,0,'Données projet'!$E$12+1,1))-AVERAGE(OFFSET($H$3,0,0,'Données projet'!$E$12+1,1))</f>
        <v>420.4890915162182</v>
      </c>
      <c r="CE84" s="59">
        <f t="shared" si="94"/>
        <v>553.48432338023565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222.164789162641</v>
      </c>
      <c r="CL84" s="21">
        <f>EXP(-LN(2)/25)*CL83+(1-EXP(-LN(2)/25))/(LN(2)/25)*Calculateur!CG84*Calculateur!CI84*VLOOKUP('Données projet'!$B$12,Paramètres!$A$1:$I$89,3,0)*0.475*44/12</f>
        <v>12.297099365114763</v>
      </c>
      <c r="CM84" s="21">
        <f>EXP(-LN(2)/2)*CM83+(1-EXP(-LN(2)/2))/(LN(2)/2)*CG84*CJ84*VLOOKUP('Données projet'!$B$12,Paramètres!$A$1:$I$89,3,0)*0.475*44/12</f>
        <v>1.5592659224255453E-8</v>
      </c>
      <c r="CN84" s="22">
        <f t="shared" si="66"/>
        <v>234.46188854334844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367.99999999999972</v>
      </c>
      <c r="CU84" s="17">
        <f>CT84*VLOOKUP('Données projet'!$B$13,Paramètres!$A$1:$I$89,3,0)*VLOOKUP('Données projet'!$B$13,Paramètres!$A$1:$I$89,5,0)</f>
        <v>269.8175999999998</v>
      </c>
      <c r="CV84" s="13">
        <f t="shared" si="95"/>
        <v>64.810557882019467</v>
      </c>
      <c r="CW84" s="20">
        <f t="shared" si="67"/>
        <v>582.81070831118348</v>
      </c>
      <c r="CX84" s="59">
        <f t="shared" si="68"/>
        <v>853.93146133468485</v>
      </c>
      <c r="CY84" s="59">
        <f ca="1">AVERAGE(OFFSET($CX$3,0,0,'Données projet'!$E$13+1,1))-AVERAGE(OFFSET($H$3,0,0,'Données projet'!$E$13+1,1))</f>
        <v>400.48995908576177</v>
      </c>
      <c r="CZ84" s="59">
        <f t="shared" si="96"/>
        <v>384.86917865380076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45.178366895152259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45.178366895152259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367.99999999999972</v>
      </c>
      <c r="DP84" s="17">
        <f>DO84*VLOOKUP('Données projet'!$B$14,Paramètres!$A$1:$I$89,3,0)*VLOOKUP('Données projet'!$B$14,Paramètres!$A$1:$I$89,5,0)</f>
        <v>292.78079999999977</v>
      </c>
      <c r="DQ84" s="13">
        <f t="shared" si="97"/>
        <v>69.660903052386217</v>
      </c>
      <c r="DR84" s="20">
        <f t="shared" si="70"/>
        <v>631.25263281623893</v>
      </c>
      <c r="DS84" s="59">
        <f t="shared" si="71"/>
        <v>902.37338583974042</v>
      </c>
      <c r="DT84" s="59">
        <f ca="1">AVERAGE(OFFSET($DS$3,0,0,'Données projet'!$E$14+1,1))-AVERAGE(OFFSET($H$3,0,0,'Données projet'!$E$14+1,1))</f>
        <v>429.30603040255431</v>
      </c>
      <c r="DU84" s="59">
        <f t="shared" si="98"/>
        <v>412.18613903804726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60.42410970687606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60.42410970687606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210.25641025641013</v>
      </c>
      <c r="EK84" s="17">
        <f>EJ84*VLOOKUP('Données projet'!$B$15,Paramètres!$A$1:$I$89,3,0)*VLOOKUP('Données projet'!$B$15,Paramètres!$A$1:$I$89,5,0)</f>
        <v>163.99999999999991</v>
      </c>
      <c r="EL84" s="13">
        <f t="shared" si="99"/>
        <v>41.743425908362248</v>
      </c>
      <c r="EM84" s="20">
        <f t="shared" si="73"/>
        <v>358.33646679039742</v>
      </c>
      <c r="EN84" s="59">
        <f t="shared" si="74"/>
        <v>629.45721981389886</v>
      </c>
      <c r="EO84" s="59">
        <f ca="1">AVERAGE(OFFSET($EN$3,0,0,'Données projet'!$E$15+1,1))-AVERAGE(OFFSET($H$3,0,0,'Données projet'!$E$15+1,1))</f>
        <v>217.53602321474159</v>
      </c>
      <c r="EP84" s="59">
        <f t="shared" si="100"/>
        <v>215.75909414893025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25.463903654322376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25.463903654322376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10.41</v>
      </c>
      <c r="FE84" s="12">
        <f>IF('Données projet'!$A$218&gt;35,FE83+FD84-FM83,IF(A84&lt;'Données projet'!$A$218,$FB$205^A84,IF(A84='Données projet'!$A$218,'Données projet'!$B$218,FE83+FD84-FM83)))</f>
        <v>346.5499999999999</v>
      </c>
      <c r="FF84" s="17">
        <f>FE84*VLOOKUP('Données projet'!$B$16,Paramètres!$A$1:$I$89,3,0)*VLOOKUP('Données projet'!$B$16,Paramètres!$A$1:$I$89,5,0)</f>
        <v>232.46573999999993</v>
      </c>
      <c r="FG84" s="13">
        <f t="shared" si="101"/>
        <v>56.815500834092255</v>
      </c>
      <c r="FH84" s="20">
        <f t="shared" si="76"/>
        <v>503.8314944527105</v>
      </c>
      <c r="FI84" s="59">
        <f t="shared" si="77"/>
        <v>774.95224747621194</v>
      </c>
      <c r="FJ84" s="59">
        <f ca="1">AVERAGE(OFFSET($FI$3,0,0,'Données projet'!$E$16+1,1))-AVERAGE(OFFSET($H$3,0,0,'Données projet'!$E$16+1,1))</f>
        <v>441.20130048888439</v>
      </c>
      <c r="FK84" s="59">
        <f t="shared" si="102"/>
        <v>237.47732532183946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100.26664285869683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100.26664285869683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3.6</v>
      </c>
      <c r="FZ84" s="12">
        <f>IF('Données projet'!$A$244&gt;35,FZ83+FY84-GH83,IF(A84&lt;'Données projet'!$A$244,$FW$205^A84,IF(A84='Données projet'!$A$244,'Données projet'!$B$244,FZ83+FY84-GH83)))</f>
        <v>199.60000000000016</v>
      </c>
      <c r="GA84" s="17">
        <f>FZ84*VLOOKUP('Données projet'!$B$17,Paramètres!$A$1:$I$89,3,0)*VLOOKUP('Données projet'!$B$17,Paramètres!$A$1:$I$89,5,0)</f>
        <v>130.77792000000011</v>
      </c>
      <c r="GB84" s="13">
        <f t="shared" si="103"/>
        <v>34.176051340149542</v>
      </c>
      <c r="GC84" s="20">
        <f t="shared" si="79"/>
        <v>287.2948334174273</v>
      </c>
      <c r="GD84" s="59">
        <f t="shared" si="80"/>
        <v>558.41558644092879</v>
      </c>
      <c r="GE84" s="59">
        <f ca="1">AVERAGE(OFFSET($GD$3,0,0,'Données projet'!$E$17+1,1))-AVERAGE(OFFSET($H$3,0,0,'Données projet'!$E$17+1,1))</f>
        <v>257.66104339896992</v>
      </c>
      <c r="GF84" s="59">
        <f t="shared" si="104"/>
        <v>254.79488636184996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37.544064230956863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37.544064230956863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4</v>
      </c>
      <c r="GU84" s="12">
        <f>IF('Données projet'!$A$270&gt;35,GU83+GT84-HC83,IF(A84&lt;'Données projet'!$A$270,$GR$205^A84,IF(A84='Données projet'!$A$270,'Données projet'!$B$270,GU83+GT84-HC83)))</f>
        <v>225.00000000000006</v>
      </c>
      <c r="GV84" s="17">
        <f>GU84*VLOOKUP('Données projet'!$B$18,Paramètres!$A$1:$I$89,3,0)*VLOOKUP('Données projet'!$B$18,Paramètres!$A$1:$I$89,5,0)</f>
        <v>182.52000000000004</v>
      </c>
      <c r="GW84" s="13">
        <f t="shared" si="105"/>
        <v>45.882385280285632</v>
      </c>
      <c r="GX84" s="20">
        <f t="shared" si="82"/>
        <v>397.80082102983084</v>
      </c>
      <c r="GY84" s="59">
        <f t="shared" si="83"/>
        <v>668.92157405333228</v>
      </c>
      <c r="GZ84" s="59">
        <f ca="1">AVERAGE(OFFSET($GY$3,0,0,'Données projet'!$E$18+1,1))-AVERAGE(OFFSET($H$3,0,0,'Données projet'!$E$18+1,1))</f>
        <v>299.98377156721153</v>
      </c>
      <c r="HA84" s="59">
        <f t="shared" si="106"/>
        <v>241.36164657721102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34.424342222319481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34.424342222319481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</v>
      </c>
      <c r="N85" s="13">
        <f>IF('Données projet'!$A$36&gt;35,N84+M85-V84,IF(A85&lt;'Données projet'!$A$36,$K$205^A85,IF(A85='Données projet'!$A$36,'Données projet'!$B$36,N84+M85-V84)))</f>
        <v>356.95999999999992</v>
      </c>
      <c r="O85" s="13">
        <f>N85*VLOOKUP('Données projet'!$B$9,Paramètres!$A$1:$I$89,3,0)*VLOOKUP('Données projet'!$B$9,Paramètres!$A$1:$I$89,5,0)</f>
        <v>322.97740799999991</v>
      </c>
      <c r="P85" s="13">
        <f t="shared" si="87"/>
        <v>75.9725269838044</v>
      </c>
      <c r="Q85" s="20">
        <f t="shared" si="54"/>
        <v>694.83780343012586</v>
      </c>
      <c r="R85" s="59">
        <f t="shared" si="55"/>
        <v>966.34389506211289</v>
      </c>
      <c r="S85" s="59">
        <f ca="1">AVERAGE(OFFSET($R$3,0,0,'Données projet'!$E$9+1,1))-AVERAGE(OFFSET($H$3,0,0,'Données projet'!$E$9+1,1))</f>
        <v>567.42635821507474</v>
      </c>
      <c r="T85" s="59">
        <f t="shared" si="88"/>
        <v>299.04735309930152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107.57410487987489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107.57410487987489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9.6</v>
      </c>
      <c r="AI85" s="13">
        <f>IF('Données projet'!$A$62&gt;35,AI84+AH85-AQ84,IF(A85&lt;'Données projet'!$A$62,$AF$205^A85,IF(A85='Données projet'!$A$62,'Données projet'!$B$62,AI84+AH85-AQ84)))</f>
        <v>409.19999999999993</v>
      </c>
      <c r="AJ85" s="13">
        <f>AI85*VLOOKUP('Données projet'!$B$10,Paramètres!$A$1:$I$89,3,0)*VLOOKUP('Données projet'!$B$10,Paramètres!$A$1:$I$89,5,0)</f>
        <v>351.09359999999998</v>
      </c>
      <c r="AK85" s="13">
        <f t="shared" si="89"/>
        <v>81.787653933539033</v>
      </c>
      <c r="AL85" s="20">
        <f t="shared" si="58"/>
        <v>753.93485060091371</v>
      </c>
      <c r="AM85" s="59">
        <f t="shared" si="59"/>
        <v>1025.4409422329009</v>
      </c>
      <c r="AN85" s="59">
        <f ca="1">AVERAGE(OFFSET($AM$3,0,0,'Données projet'!$E$10+1,1))-AVERAGE(OFFSET($H$3,0,0,'Données projet'!$E$10+1,1))</f>
        <v>569.97793593332699</v>
      </c>
      <c r="AO85" s="59">
        <f t="shared" si="90"/>
        <v>331.25104323342907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112.25737646575281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112.25737646575281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277.99999999999994</v>
      </c>
      <c r="BE85" s="13">
        <f>BD85*VLOOKUP('Données projet'!$B$11,Paramètres!$A$1:$I$89,3,0)*VLOOKUP('Données projet'!$B$11,Paramètres!$A$1:$I$89,5,0)</f>
        <v>151.78799999999998</v>
      </c>
      <c r="BF85" s="13">
        <f t="shared" si="91"/>
        <v>38.984634390835623</v>
      </c>
      <c r="BG85" s="20">
        <f t="shared" si="61"/>
        <v>332.26233823070532</v>
      </c>
      <c r="BH85" s="59">
        <f t="shared" si="62"/>
        <v>603.7684298626923</v>
      </c>
      <c r="BI85" s="59">
        <f ca="1">AVERAGE(OFFSET($BH$3,0,0,'Données projet'!$E$11+1,1))-AVERAGE(OFFSET($H$3,0,0,'Données projet'!$E$11+1,1))</f>
        <v>215.37314197175104</v>
      </c>
      <c r="BJ85" s="59">
        <f t="shared" si="92"/>
        <v>361.17630426655978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13.106722063900238</v>
      </c>
      <c r="BQ85" s="21">
        <f>EXP(-LN(2)/25)*BQ84+(1-EXP(-LN(2)/25))/(LN(2)/25)*Calculateur!BL85*Calculateur!BN85*VLOOKUP('Données projet'!$B$11,Paramètres!$A$1:$I$89,3,0)*0.475*44/12</f>
        <v>22.715191859551844</v>
      </c>
      <c r="BR85" s="21">
        <f>EXP(-LN(2)/2)*BR84+(1-EXP(-LN(2)/2))/(LN(2)/2)*BL85*BO85*VLOOKUP('Données projet'!$B$11,Paramètres!$A$1:$I$89,3,0)*0.475*44/12</f>
        <v>3.7783103539371097E-10</v>
      </c>
      <c r="BS85" s="22">
        <f t="shared" si="63"/>
        <v>35.821913923829911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0.8600000000003547</v>
      </c>
      <c r="BZ85" s="13">
        <f>BY85*VLOOKUP('Données projet'!$B$12,Paramètres!$A$1:$I$89,3,0)*VLOOKUP('Données projet'!$B$12,Paramètres!$A$1:$I$89,5,0)</f>
        <v>0.48074000000019829</v>
      </c>
      <c r="CA85" s="13">
        <f t="shared" si="93"/>
        <v>0.24126147010950588</v>
      </c>
      <c r="CB85" s="20">
        <f t="shared" si="64"/>
        <v>1.2574858937744013</v>
      </c>
      <c r="CC85" s="59">
        <f t="shared" si="65"/>
        <v>272.76357752576143</v>
      </c>
      <c r="CD85" s="59">
        <f ca="1">AVERAGE(OFFSET($CC$3,0,0,'Données projet'!$E$12+1,1))-AVERAGE(OFFSET($H$3,0,0,'Données projet'!$E$12+1,1))</f>
        <v>420.4890915162182</v>
      </c>
      <c r="CE85" s="59">
        <f t="shared" si="94"/>
        <v>553.48432338023565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217.80827315430278</v>
      </c>
      <c r="CL85" s="21">
        <f>EXP(-LN(2)/25)*CL84+(1-EXP(-LN(2)/25))/(LN(2)/25)*Calculateur!CG85*Calculateur!CI85*VLOOKUP('Données projet'!$B$12,Paramètres!$A$1:$I$89,3,0)*0.475*44/12</f>
        <v>11.96083453629935</v>
      </c>
      <c r="CM85" s="21">
        <f>EXP(-LN(2)/2)*CM84+(1-EXP(-LN(2)/2))/(LN(2)/2)*CG85*CJ85*VLOOKUP('Données projet'!$B$12,Paramètres!$A$1:$I$89,3,0)*0.475*44/12</f>
        <v>1.1025675074202003E-8</v>
      </c>
      <c r="CN85" s="22">
        <f t="shared" si="66"/>
        <v>229.7691077016278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367.99999999999972</v>
      </c>
      <c r="CU85" s="17">
        <f>CT85*VLOOKUP('Données projet'!$B$13,Paramètres!$A$1:$I$89,3,0)*VLOOKUP('Données projet'!$B$13,Paramètres!$A$1:$I$89,5,0)</f>
        <v>269.8175999999998</v>
      </c>
      <c r="CV85" s="13">
        <f t="shared" si="95"/>
        <v>64.810557882019467</v>
      </c>
      <c r="CW85" s="20">
        <f t="shared" si="67"/>
        <v>582.81070831118348</v>
      </c>
      <c r="CX85" s="59">
        <f t="shared" si="68"/>
        <v>854.31679994317051</v>
      </c>
      <c r="CY85" s="59">
        <f ca="1">AVERAGE(OFFSET($CX$3,0,0,'Données projet'!$E$13+1,1))-AVERAGE(OFFSET($H$3,0,0,'Données projet'!$E$13+1,1))</f>
        <v>400.48995908576177</v>
      </c>
      <c r="CZ85" s="59">
        <f t="shared" si="96"/>
        <v>384.86917865380076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44.292446676421193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44.292446676421193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367.99999999999972</v>
      </c>
      <c r="DP85" s="17">
        <f>DO85*VLOOKUP('Données projet'!$B$14,Paramètres!$A$1:$I$89,3,0)*VLOOKUP('Données projet'!$B$14,Paramètres!$A$1:$I$89,5,0)</f>
        <v>292.78079999999977</v>
      </c>
      <c r="DQ85" s="13">
        <f t="shared" si="97"/>
        <v>69.660903052386217</v>
      </c>
      <c r="DR85" s="20">
        <f t="shared" si="70"/>
        <v>631.25263281623893</v>
      </c>
      <c r="DS85" s="59">
        <f t="shared" si="71"/>
        <v>902.75872444822596</v>
      </c>
      <c r="DT85" s="59">
        <f ca="1">AVERAGE(OFFSET($DS$3,0,0,'Données projet'!$E$14+1,1))-AVERAGE(OFFSET($H$3,0,0,'Données projet'!$E$14+1,1))</f>
        <v>429.30603040255431</v>
      </c>
      <c r="DU85" s="59">
        <f t="shared" si="98"/>
        <v>412.18613903804726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59.239229770592004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59.239229770592004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210.25641025641013</v>
      </c>
      <c r="EK85" s="17">
        <f>EJ85*VLOOKUP('Données projet'!$B$15,Paramètres!$A$1:$I$89,3,0)*VLOOKUP('Données projet'!$B$15,Paramètres!$A$1:$I$89,5,0)</f>
        <v>163.99999999999991</v>
      </c>
      <c r="EL85" s="13">
        <f t="shared" si="99"/>
        <v>41.743425908362248</v>
      </c>
      <c r="EM85" s="20">
        <f t="shared" si="73"/>
        <v>358.33646679039742</v>
      </c>
      <c r="EN85" s="59">
        <f t="shared" si="74"/>
        <v>629.8425584223844</v>
      </c>
      <c r="EO85" s="59">
        <f ca="1">AVERAGE(OFFSET($EN$3,0,0,'Données projet'!$E$15+1,1))-AVERAGE(OFFSET($H$3,0,0,'Données projet'!$E$15+1,1))</f>
        <v>217.53602321474159</v>
      </c>
      <c r="EP85" s="59">
        <f t="shared" si="100"/>
        <v>215.75909414893025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24.964572035108741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24.964572035108741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10.41</v>
      </c>
      <c r="FE85" s="12">
        <f>IF('Données projet'!$A$218&gt;35,FE84+FD85-FM84,IF(A85&lt;'Données projet'!$A$218,$FB$205^A85,IF(A85='Données projet'!$A$218,'Données projet'!$B$218,FE84+FD85-FM84)))</f>
        <v>356.95999999999992</v>
      </c>
      <c r="FF85" s="17">
        <f>FE85*VLOOKUP('Données projet'!$B$16,Paramètres!$A$1:$I$89,3,0)*VLOOKUP('Données projet'!$B$16,Paramètres!$A$1:$I$89,5,0)</f>
        <v>239.44876799999994</v>
      </c>
      <c r="FG85" s="13">
        <f t="shared" si="101"/>
        <v>58.320914364839041</v>
      </c>
      <c r="FH85" s="20">
        <f t="shared" si="76"/>
        <v>518.61553011876128</v>
      </c>
      <c r="FI85" s="59">
        <f t="shared" si="77"/>
        <v>790.12162175074832</v>
      </c>
      <c r="FJ85" s="59">
        <f ca="1">AVERAGE(OFFSET($FI$3,0,0,'Données projet'!$E$16+1,1))-AVERAGE(OFFSET($H$3,0,0,'Données projet'!$E$16+1,1))</f>
        <v>441.20130048888439</v>
      </c>
      <c r="FK85" s="59">
        <f t="shared" si="102"/>
        <v>237.47732532183946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98.300475148851206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98.300475148851206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3.6</v>
      </c>
      <c r="FZ85" s="12">
        <f>IF('Données projet'!$A$244&gt;35,FZ84+FY85-GH84,IF(A85&lt;'Données projet'!$A$244,$FW$205^A85,IF(A85='Données projet'!$A$244,'Données projet'!$B$244,FZ84+FY85-GH84)))</f>
        <v>203.20000000000016</v>
      </c>
      <c r="GA85" s="17">
        <f>FZ85*VLOOKUP('Données projet'!$B$17,Paramètres!$A$1:$I$89,3,0)*VLOOKUP('Données projet'!$B$17,Paramètres!$A$1:$I$89,5,0)</f>
        <v>133.13664000000011</v>
      </c>
      <c r="GB85" s="13">
        <f t="shared" si="103"/>
        <v>34.720135986247172</v>
      </c>
      <c r="GC85" s="20">
        <f t="shared" si="79"/>
        <v>292.35055150938069</v>
      </c>
      <c r="GD85" s="59">
        <f t="shared" si="80"/>
        <v>563.85664314136773</v>
      </c>
      <c r="GE85" s="59">
        <f ca="1">AVERAGE(OFFSET($GD$3,0,0,'Données projet'!$E$17+1,1))-AVERAGE(OFFSET($H$3,0,0,'Données projet'!$E$17+1,1))</f>
        <v>257.66104339896992</v>
      </c>
      <c r="GF85" s="59">
        <f t="shared" si="104"/>
        <v>254.79488636184996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36.807848031005832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36.807848031005832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4</v>
      </c>
      <c r="GU85" s="12">
        <f>IF('Données projet'!$A$270&gt;35,GU84+GT85-HC84,IF(A85&lt;'Données projet'!$A$270,$GR$205^A85,IF(A85='Données projet'!$A$270,'Données projet'!$B$270,GU84+GT85-HC84)))</f>
        <v>229.00000000000006</v>
      </c>
      <c r="GV85" s="17">
        <f>GU85*VLOOKUP('Données projet'!$B$18,Paramètres!$A$1:$I$89,3,0)*VLOOKUP('Données projet'!$B$18,Paramètres!$A$1:$I$89,5,0)</f>
        <v>185.76480000000004</v>
      </c>
      <c r="GW85" s="13">
        <f t="shared" si="105"/>
        <v>46.602385341463361</v>
      </c>
      <c r="GX85" s="20">
        <f t="shared" si="82"/>
        <v>404.7061811363821</v>
      </c>
      <c r="GY85" s="59">
        <f t="shared" si="83"/>
        <v>676.21227276836908</v>
      </c>
      <c r="GZ85" s="59">
        <f ca="1">AVERAGE(OFFSET($GY$3,0,0,'Données projet'!$E$18+1,1))-AVERAGE(OFFSET($H$3,0,0,'Données projet'!$E$18+1,1))</f>
        <v>299.98377156721153</v>
      </c>
      <c r="HA85" s="59">
        <f t="shared" si="106"/>
        <v>241.36164657721102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33.749301868115289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33.749301868115289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</v>
      </c>
      <c r="N86" s="13">
        <f>IF('Données projet'!$A$36&gt;35,N85+M86-V85,IF(A86&lt;'Données projet'!$A$36,$K$205^A86,IF(A86='Données projet'!$A$36,'Données projet'!$B$36,N85+M86-V85)))</f>
        <v>367.36999999999995</v>
      </c>
      <c r="O86" s="13">
        <f>N86*VLOOKUP('Données projet'!$B$9,Paramètres!$A$1:$I$89,3,0)*VLOOKUP('Données projet'!$B$9,Paramètres!$A$1:$I$89,5,0)</f>
        <v>332.39637599999992</v>
      </c>
      <c r="P86" s="13">
        <f t="shared" si="87"/>
        <v>77.926927644548115</v>
      </c>
      <c r="Q86" s="20">
        <f t="shared" si="54"/>
        <v>714.64642051425437</v>
      </c>
      <c r="R86" s="59">
        <f t="shared" si="55"/>
        <v>986.53116599135785</v>
      </c>
      <c r="S86" s="59">
        <f ca="1">AVERAGE(OFFSET($R$3,0,0,'Données projet'!$E$9+1,1))-AVERAGE(OFFSET($H$3,0,0,'Données projet'!$E$9+1,1))</f>
        <v>567.42635821507474</v>
      </c>
      <c r="T86" s="59">
        <f t="shared" si="88"/>
        <v>299.04735309930152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105.46464229690571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105.46464229690571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9.6</v>
      </c>
      <c r="AI86" s="13">
        <f>IF('Données projet'!$A$62&gt;35,AI85+AH86-AQ85,IF(A86&lt;'Données projet'!$A$62,$AF$205^A86,IF(A86='Données projet'!$A$62,'Données projet'!$B$62,AI85+AH86-AQ85)))</f>
        <v>418.79999999999995</v>
      </c>
      <c r="AJ86" s="13">
        <f>AI86*VLOOKUP('Données projet'!$B$10,Paramètres!$A$1:$I$89,3,0)*VLOOKUP('Données projet'!$B$10,Paramètres!$A$1:$I$89,5,0)</f>
        <v>359.3304</v>
      </c>
      <c r="AK86" s="13">
        <f t="shared" si="89"/>
        <v>83.48078585362731</v>
      </c>
      <c r="AL86" s="20">
        <f t="shared" si="58"/>
        <v>771.22948202840087</v>
      </c>
      <c r="AM86" s="59">
        <f t="shared" si="59"/>
        <v>1043.1142275055045</v>
      </c>
      <c r="AN86" s="59">
        <f ca="1">AVERAGE(OFFSET($AM$3,0,0,'Données projet'!$E$10+1,1))-AVERAGE(OFFSET($H$3,0,0,'Données projet'!$E$10+1,1))</f>
        <v>569.97793593332699</v>
      </c>
      <c r="AO86" s="59">
        <f t="shared" si="90"/>
        <v>331.25104323342907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110.05607778349817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110.05607778349817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277.99999999999994</v>
      </c>
      <c r="BE86" s="13">
        <f>BD86*VLOOKUP('Données projet'!$B$11,Paramètres!$A$1:$I$89,3,0)*VLOOKUP('Données projet'!$B$11,Paramètres!$A$1:$I$89,5,0)</f>
        <v>151.78799999999998</v>
      </c>
      <c r="BF86" s="13">
        <f t="shared" si="91"/>
        <v>38.984634390835623</v>
      </c>
      <c r="BG86" s="20">
        <f t="shared" si="61"/>
        <v>332.26233823070532</v>
      </c>
      <c r="BH86" s="59">
        <f t="shared" si="62"/>
        <v>604.14708370780886</v>
      </c>
      <c r="BI86" s="59">
        <f ca="1">AVERAGE(OFFSET($BH$3,0,0,'Données projet'!$E$11+1,1))-AVERAGE(OFFSET($H$3,0,0,'Données projet'!$E$11+1,1))</f>
        <v>215.37314197175104</v>
      </c>
      <c r="BJ86" s="59">
        <f t="shared" si="92"/>
        <v>361.17630426655978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12.84970723853824</v>
      </c>
      <c r="BQ86" s="21">
        <f>EXP(-LN(2)/25)*BQ85+(1-EXP(-LN(2)/25))/(LN(2)/25)*Calculateur!BL86*Calculateur!BN86*VLOOKUP('Données projet'!$B$11,Paramètres!$A$1:$I$89,3,0)*0.475*44/12</f>
        <v>22.094043743612374</v>
      </c>
      <c r="BR86" s="21">
        <f>EXP(-LN(2)/2)*BR85+(1-EXP(-LN(2)/2))/(LN(2)/2)*BL86*BO86*VLOOKUP('Données projet'!$B$11,Paramètres!$A$1:$I$89,3,0)*0.475*44/12</f>
        <v>2.6716688726962747E-10</v>
      </c>
      <c r="BS86" s="22">
        <f t="shared" si="63"/>
        <v>34.943750982417782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0.8600000000003547</v>
      </c>
      <c r="BZ86" s="13">
        <f>BY86*VLOOKUP('Données projet'!$B$12,Paramètres!$A$1:$I$89,3,0)*VLOOKUP('Données projet'!$B$12,Paramètres!$A$1:$I$89,5,0)</f>
        <v>0.48074000000019829</v>
      </c>
      <c r="CA86" s="13">
        <f t="shared" si="93"/>
        <v>0.24126147010950588</v>
      </c>
      <c r="CB86" s="20">
        <f t="shared" si="64"/>
        <v>1.2574858937744013</v>
      </c>
      <c r="CC86" s="59">
        <f t="shared" si="65"/>
        <v>273.14223137087788</v>
      </c>
      <c r="CD86" s="59">
        <f ca="1">AVERAGE(OFFSET($CC$3,0,0,'Données projet'!$E$12+1,1))-AVERAGE(OFFSET($H$3,0,0,'Données projet'!$E$12+1,1))</f>
        <v>420.4890915162182</v>
      </c>
      <c r="CE86" s="59">
        <f t="shared" si="94"/>
        <v>553.48432338023565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213.53718576767568</v>
      </c>
      <c r="CL86" s="21">
        <f>EXP(-LN(2)/25)*CL85+(1-EXP(-LN(2)/25))/(LN(2)/25)*Calculateur!CG86*Calculateur!CI86*VLOOKUP('Données projet'!$B$12,Paramètres!$A$1:$I$89,3,0)*0.475*44/12</f>
        <v>11.633764886911292</v>
      </c>
      <c r="CM86" s="21">
        <f>EXP(-LN(2)/2)*CM85+(1-EXP(-LN(2)/2))/(LN(2)/2)*CG86*CJ86*VLOOKUP('Données projet'!$B$12,Paramètres!$A$1:$I$89,3,0)*0.475*44/12</f>
        <v>7.7963296121277267E-9</v>
      </c>
      <c r="CN86" s="22">
        <f t="shared" si="66"/>
        <v>225.17095066238329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367.99999999999972</v>
      </c>
      <c r="CU86" s="17">
        <f>CT86*VLOOKUP('Données projet'!$B$13,Paramètres!$A$1:$I$89,3,0)*VLOOKUP('Données projet'!$B$13,Paramètres!$A$1:$I$89,5,0)</f>
        <v>269.8175999999998</v>
      </c>
      <c r="CV86" s="13">
        <f t="shared" si="95"/>
        <v>64.810557882019467</v>
      </c>
      <c r="CW86" s="20">
        <f t="shared" si="67"/>
        <v>582.81070831118348</v>
      </c>
      <c r="CX86" s="59">
        <f t="shared" si="68"/>
        <v>854.69545378828695</v>
      </c>
      <c r="CY86" s="59">
        <f ca="1">AVERAGE(OFFSET($CX$3,0,0,'Données projet'!$E$13+1,1))-AVERAGE(OFFSET($H$3,0,0,'Données projet'!$E$13+1,1))</f>
        <v>400.48995908576177</v>
      </c>
      <c r="CZ86" s="59">
        <f t="shared" si="96"/>
        <v>384.86917865380076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43.423898812821463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43.423898812821463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367.99999999999972</v>
      </c>
      <c r="DP86" s="17">
        <f>DO86*VLOOKUP('Données projet'!$B$14,Paramètres!$A$1:$I$89,3,0)*VLOOKUP('Données projet'!$B$14,Paramètres!$A$1:$I$89,5,0)</f>
        <v>292.78079999999977</v>
      </c>
      <c r="DQ86" s="13">
        <f t="shared" si="97"/>
        <v>69.660903052386217</v>
      </c>
      <c r="DR86" s="20">
        <f t="shared" si="70"/>
        <v>631.25263281623893</v>
      </c>
      <c r="DS86" s="59">
        <f t="shared" si="71"/>
        <v>903.13737829334241</v>
      </c>
      <c r="DT86" s="59">
        <f ca="1">AVERAGE(OFFSET($DS$3,0,0,'Données projet'!$E$14+1,1))-AVERAGE(OFFSET($H$3,0,0,'Données projet'!$E$14+1,1))</f>
        <v>429.30603040255431</v>
      </c>
      <c r="DU86" s="59">
        <f t="shared" si="98"/>
        <v>412.18613903804726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58.077584607153078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58.077584607153078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210.25641025641013</v>
      </c>
      <c r="EK86" s="17">
        <f>EJ86*VLOOKUP('Données projet'!$B$15,Paramètres!$A$1:$I$89,3,0)*VLOOKUP('Données projet'!$B$15,Paramètres!$A$1:$I$89,5,0)</f>
        <v>163.99999999999991</v>
      </c>
      <c r="EL86" s="13">
        <f t="shared" si="99"/>
        <v>41.743425908362248</v>
      </c>
      <c r="EM86" s="20">
        <f t="shared" si="73"/>
        <v>358.33646679039742</v>
      </c>
      <c r="EN86" s="59">
        <f t="shared" si="74"/>
        <v>630.22121226750096</v>
      </c>
      <c r="EO86" s="59">
        <f ca="1">AVERAGE(OFFSET($EN$3,0,0,'Données projet'!$E$15+1,1))-AVERAGE(OFFSET($H$3,0,0,'Données projet'!$E$15+1,1))</f>
        <v>217.53602321474159</v>
      </c>
      <c r="EP86" s="59">
        <f t="shared" si="100"/>
        <v>215.75909414893025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24.475032004385671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24.475032004385671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10.41</v>
      </c>
      <c r="FE86" s="12">
        <f>IF('Données projet'!$A$218&gt;35,FE85+FD86-FM85,IF(A86&lt;'Données projet'!$A$218,$FB$205^A86,IF(A86='Données projet'!$A$218,'Données projet'!$B$218,FE85+FD86-FM85)))</f>
        <v>367.36999999999995</v>
      </c>
      <c r="FF86" s="17">
        <f>FE86*VLOOKUP('Données projet'!$B$16,Paramètres!$A$1:$I$89,3,0)*VLOOKUP('Données projet'!$B$16,Paramètres!$A$1:$I$89,5,0)</f>
        <v>246.43179599999996</v>
      </c>
      <c r="FG86" s="13">
        <f t="shared" si="101"/>
        <v>59.821225570679459</v>
      </c>
      <c r="FH86" s="20">
        <f t="shared" si="76"/>
        <v>533.39067923560003</v>
      </c>
      <c r="FI86" s="59">
        <f t="shared" si="77"/>
        <v>805.27542471270351</v>
      </c>
      <c r="FJ86" s="59">
        <f ca="1">AVERAGE(OFFSET($FI$3,0,0,'Données projet'!$E$16+1,1))-AVERAGE(OFFSET($H$3,0,0,'Données projet'!$E$16+1,1))</f>
        <v>441.20130048888439</v>
      </c>
      <c r="FK86" s="59">
        <f t="shared" si="102"/>
        <v>237.47732532183946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96.372862788551771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96.372862788551771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3.6</v>
      </c>
      <c r="FZ86" s="12">
        <f>IF('Données projet'!$A$244&gt;35,FZ85+FY86-GH85,IF(A86&lt;'Données projet'!$A$244,$FW$205^A86,IF(A86='Données projet'!$A$244,'Données projet'!$B$244,FZ85+FY86-GH85)))</f>
        <v>206.80000000000015</v>
      </c>
      <c r="GA86" s="17">
        <f>FZ86*VLOOKUP('Données projet'!$B$17,Paramètres!$A$1:$I$89,3,0)*VLOOKUP('Données projet'!$B$17,Paramètres!$A$1:$I$89,5,0)</f>
        <v>135.49536000000012</v>
      </c>
      <c r="GB86" s="13">
        <f t="shared" si="103"/>
        <v>35.263099712541788</v>
      </c>
      <c r="GC86" s="20">
        <f t="shared" si="79"/>
        <v>297.40431733267718</v>
      </c>
      <c r="GD86" s="59">
        <f t="shared" si="80"/>
        <v>569.28906280978072</v>
      </c>
      <c r="GE86" s="59">
        <f ca="1">AVERAGE(OFFSET($GD$3,0,0,'Données projet'!$E$17+1,1))-AVERAGE(OFFSET($H$3,0,0,'Données projet'!$E$17+1,1))</f>
        <v>257.66104339896992</v>
      </c>
      <c r="GF86" s="59">
        <f t="shared" si="104"/>
        <v>254.79488636184996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36.086068581688295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36.086068581688295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4</v>
      </c>
      <c r="GU86" s="12">
        <f>IF('Données projet'!$A$270&gt;35,GU85+GT86-HC85,IF(A86&lt;'Données projet'!$A$270,$GR$205^A86,IF(A86='Données projet'!$A$270,'Données projet'!$B$270,GU85+GT86-HC85)))</f>
        <v>233.00000000000006</v>
      </c>
      <c r="GV86" s="17">
        <f>GU86*VLOOKUP('Données projet'!$B$18,Paramètres!$A$1:$I$89,3,0)*VLOOKUP('Données projet'!$B$18,Paramètres!$A$1:$I$89,5,0)</f>
        <v>189.00960000000006</v>
      </c>
      <c r="GW86" s="13">
        <f t="shared" si="105"/>
        <v>47.320922915876508</v>
      </c>
      <c r="GX86" s="20">
        <f t="shared" si="82"/>
        <v>411.60899407848501</v>
      </c>
      <c r="GY86" s="59">
        <f t="shared" si="83"/>
        <v>683.49373955558849</v>
      </c>
      <c r="GZ86" s="59">
        <f ca="1">AVERAGE(OFFSET($GY$3,0,0,'Données projet'!$E$18+1,1))-AVERAGE(OFFSET($H$3,0,0,'Données projet'!$E$18+1,1))</f>
        <v>299.98377156721153</v>
      </c>
      <c r="HA86" s="59">
        <f t="shared" si="106"/>
        <v>241.36164657721102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33.087498643523084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33.087498643523084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</v>
      </c>
      <c r="N87" s="13">
        <f>IF('Données projet'!$A$36&gt;35,N86+M87-V86,IF(A87&lt;'Données projet'!$A$36,$K$205^A87,IF(A87='Données projet'!$A$36,'Données projet'!$B$36,N86+M87-V86)))</f>
        <v>377.78</v>
      </c>
      <c r="O87" s="13">
        <f>N87*VLOOKUP('Données projet'!$B$9,Paramètres!$A$1:$I$89,3,0)*VLOOKUP('Données projet'!$B$9,Paramètres!$A$1:$I$89,5,0)</f>
        <v>341.81534399999998</v>
      </c>
      <c r="P87" s="13">
        <f t="shared" si="87"/>
        <v>79.874891668491202</v>
      </c>
      <c r="Q87" s="20">
        <f t="shared" si="54"/>
        <v>734.44382712262211</v>
      </c>
      <c r="R87" s="59">
        <f t="shared" si="55"/>
        <v>1006.7006576471724</v>
      </c>
      <c r="S87" s="59">
        <f ca="1">AVERAGE(OFFSET($R$3,0,0,'Données projet'!$E$9+1,1))-AVERAGE(OFFSET($H$3,0,0,'Données projet'!$E$9+1,1))</f>
        <v>567.42635821507474</v>
      </c>
      <c r="T87" s="59">
        <f t="shared" si="88"/>
        <v>299.04735309930152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103.39654498854341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103.39654498854341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9.6</v>
      </c>
      <c r="AI87" s="13">
        <f>IF('Données projet'!$A$62&gt;35,AI86+AH87-AQ86,IF(A87&lt;'Données projet'!$A$62,$AF$205^A87,IF(A87='Données projet'!$A$62,'Données projet'!$B$62,AI86+AH87-AQ86)))</f>
        <v>428.4</v>
      </c>
      <c r="AJ87" s="13">
        <f>AI87*VLOOKUP('Données projet'!$B$10,Paramètres!$A$1:$I$89,3,0)*VLOOKUP('Données projet'!$B$10,Paramètres!$A$1:$I$89,5,0)</f>
        <v>367.56720000000001</v>
      </c>
      <c r="AK87" s="13">
        <f t="shared" si="89"/>
        <v>85.169405771799362</v>
      </c>
      <c r="AL87" s="20">
        <f t="shared" si="58"/>
        <v>788.5162550525506</v>
      </c>
      <c r="AM87" s="59">
        <f t="shared" si="59"/>
        <v>1060.773085577101</v>
      </c>
      <c r="AN87" s="59">
        <f ca="1">AVERAGE(OFFSET($AM$3,0,0,'Données projet'!$E$10+1,1))-AVERAGE(OFFSET($H$3,0,0,'Données projet'!$E$10+1,1))</f>
        <v>569.97793593332699</v>
      </c>
      <c r="AO87" s="59">
        <f t="shared" si="90"/>
        <v>331.25104323342907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107.89794522574292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107.89794522574292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277.99999999999994</v>
      </c>
      <c r="BE87" s="13">
        <f>BD87*VLOOKUP('Données projet'!$B$11,Paramètres!$A$1:$I$89,3,0)*VLOOKUP('Données projet'!$B$11,Paramètres!$A$1:$I$89,5,0)</f>
        <v>151.78799999999998</v>
      </c>
      <c r="BF87" s="13">
        <f t="shared" si="91"/>
        <v>38.984634390835623</v>
      </c>
      <c r="BG87" s="20">
        <f t="shared" si="61"/>
        <v>332.26233823070532</v>
      </c>
      <c r="BH87" s="59">
        <f t="shared" si="62"/>
        <v>604.51916875525558</v>
      </c>
      <c r="BI87" s="59">
        <f ca="1">AVERAGE(OFFSET($BH$3,0,0,'Données projet'!$E$11+1,1))-AVERAGE(OFFSET($H$3,0,0,'Données projet'!$E$11+1,1))</f>
        <v>215.37314197175104</v>
      </c>
      <c r="BJ87" s="59">
        <f t="shared" si="92"/>
        <v>361.17630426655978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12.597732317138027</v>
      </c>
      <c r="BQ87" s="21">
        <f>EXP(-LN(2)/25)*BQ86+(1-EXP(-LN(2)/25))/(LN(2)/25)*Calculateur!BL87*Calculateur!BN87*VLOOKUP('Données projet'!$B$11,Paramètres!$A$1:$I$89,3,0)*0.475*44/12</f>
        <v>21.489880955568029</v>
      </c>
      <c r="BR87" s="21">
        <f>EXP(-LN(2)/2)*BR86+(1-EXP(-LN(2)/2))/(LN(2)/2)*BL87*BO87*VLOOKUP('Données projet'!$B$11,Paramètres!$A$1:$I$89,3,0)*0.475*44/12</f>
        <v>1.8891551769685549E-10</v>
      </c>
      <c r="BS87" s="22">
        <f t="shared" si="63"/>
        <v>34.08761327289497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0.8600000000003547</v>
      </c>
      <c r="BZ87" s="13">
        <f>BY87*VLOOKUP('Données projet'!$B$12,Paramètres!$A$1:$I$89,3,0)*VLOOKUP('Données projet'!$B$12,Paramètres!$A$1:$I$89,5,0)</f>
        <v>0.48074000000019829</v>
      </c>
      <c r="CA87" s="13">
        <f t="shared" si="93"/>
        <v>0.24126147010950588</v>
      </c>
      <c r="CB87" s="20">
        <f t="shared" si="64"/>
        <v>1.2574858937744013</v>
      </c>
      <c r="CC87" s="59">
        <f t="shared" si="65"/>
        <v>273.51431641832471</v>
      </c>
      <c r="CD87" s="59">
        <f ca="1">AVERAGE(OFFSET($CC$3,0,0,'Données projet'!$E$12+1,1))-AVERAGE(OFFSET($H$3,0,0,'Données projet'!$E$12+1,1))</f>
        <v>420.4890915162182</v>
      </c>
      <c r="CE87" s="59">
        <f t="shared" si="94"/>
        <v>553.48432338023565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209.34985179959426</v>
      </c>
      <c r="CL87" s="21">
        <f>EXP(-LN(2)/25)*CL86+(1-EXP(-LN(2)/25))/(LN(2)/25)*Calculateur!CG87*Calculateur!CI87*VLOOKUP('Données projet'!$B$12,Paramètres!$A$1:$I$89,3,0)*0.475*44/12</f>
        <v>11.315638974285596</v>
      </c>
      <c r="CM87" s="21">
        <f>EXP(-LN(2)/2)*CM86+(1-EXP(-LN(2)/2))/(LN(2)/2)*CG87*CJ87*VLOOKUP('Données projet'!$B$12,Paramètres!$A$1:$I$89,3,0)*0.475*44/12</f>
        <v>5.5128375371010016E-9</v>
      </c>
      <c r="CN87" s="22">
        <f t="shared" si="66"/>
        <v>220.66549077939271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367.99999999999972</v>
      </c>
      <c r="CU87" s="17">
        <f>CT87*VLOOKUP('Données projet'!$B$13,Paramètres!$A$1:$I$89,3,0)*VLOOKUP('Données projet'!$B$13,Paramètres!$A$1:$I$89,5,0)</f>
        <v>269.8175999999998</v>
      </c>
      <c r="CV87" s="13">
        <f t="shared" si="95"/>
        <v>64.810557882019467</v>
      </c>
      <c r="CW87" s="20">
        <f t="shared" si="67"/>
        <v>582.81070831118348</v>
      </c>
      <c r="CX87" s="59">
        <f t="shared" si="68"/>
        <v>855.06753883573379</v>
      </c>
      <c r="CY87" s="59">
        <f ca="1">AVERAGE(OFFSET($CX$3,0,0,'Données projet'!$E$13+1,1))-AVERAGE(OFFSET($H$3,0,0,'Données projet'!$E$13+1,1))</f>
        <v>400.48995908576177</v>
      </c>
      <c r="CZ87" s="59">
        <f t="shared" si="96"/>
        <v>384.86917865380076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42.57238264306504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42.57238264306504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367.99999999999972</v>
      </c>
      <c r="DP87" s="17">
        <f>DO87*VLOOKUP('Données projet'!$B$14,Paramètres!$A$1:$I$89,3,0)*VLOOKUP('Données projet'!$B$14,Paramètres!$A$1:$I$89,5,0)</f>
        <v>292.78079999999977</v>
      </c>
      <c r="DQ87" s="13">
        <f t="shared" si="97"/>
        <v>69.660903052386217</v>
      </c>
      <c r="DR87" s="20">
        <f t="shared" si="70"/>
        <v>631.25263281623893</v>
      </c>
      <c r="DS87" s="59">
        <f t="shared" si="71"/>
        <v>903.50946334078924</v>
      </c>
      <c r="DT87" s="59">
        <f ca="1">AVERAGE(OFFSET($DS$3,0,0,'Données projet'!$E$14+1,1))-AVERAGE(OFFSET($H$3,0,0,'Données projet'!$E$14+1,1))</f>
        <v>429.30603040255431</v>
      </c>
      <c r="DU87" s="59">
        <f t="shared" si="98"/>
        <v>412.18613903804726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56.938718596835606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56.938718596835606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210.25641025641013</v>
      </c>
      <c r="EK87" s="17">
        <f>EJ87*VLOOKUP('Données projet'!$B$15,Paramètres!$A$1:$I$89,3,0)*VLOOKUP('Données projet'!$B$15,Paramètres!$A$1:$I$89,5,0)</f>
        <v>163.99999999999991</v>
      </c>
      <c r="EL87" s="13">
        <f t="shared" si="99"/>
        <v>41.743425908362248</v>
      </c>
      <c r="EM87" s="20">
        <f t="shared" si="73"/>
        <v>358.33646679039742</v>
      </c>
      <c r="EN87" s="59">
        <f t="shared" si="74"/>
        <v>630.59329731494768</v>
      </c>
      <c r="EO87" s="59">
        <f ca="1">AVERAGE(OFFSET($EN$3,0,0,'Données projet'!$E$15+1,1))-AVERAGE(OFFSET($H$3,0,0,'Données projet'!$E$15+1,1))</f>
        <v>217.53602321474159</v>
      </c>
      <c r="EP87" s="59">
        <f t="shared" si="100"/>
        <v>215.75909414893025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23.995091555075145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23.995091555075145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10.41</v>
      </c>
      <c r="FE87" s="12">
        <f>IF('Données projet'!$A$218&gt;35,FE86+FD87-FM86,IF(A87&lt;'Données projet'!$A$218,$FB$205^A87,IF(A87='Données projet'!$A$218,'Données projet'!$B$218,FE86+FD87-FM86)))</f>
        <v>377.78</v>
      </c>
      <c r="FF87" s="17">
        <f>FE87*VLOOKUP('Données projet'!$B$16,Paramètres!$A$1:$I$89,3,0)*VLOOKUP('Données projet'!$B$16,Paramètres!$A$1:$I$89,5,0)</f>
        <v>253.41482399999998</v>
      </c>
      <c r="FG87" s="13">
        <f t="shared" si="101"/>
        <v>61.316595641104968</v>
      </c>
      <c r="FH87" s="20">
        <f t="shared" si="76"/>
        <v>548.15722254159107</v>
      </c>
      <c r="FI87" s="59">
        <f t="shared" si="77"/>
        <v>820.41405306614138</v>
      </c>
      <c r="FJ87" s="59">
        <f ca="1">AVERAGE(OFFSET($FI$3,0,0,'Données projet'!$E$16+1,1))-AVERAGE(OFFSET($H$3,0,0,'Données projet'!$E$16+1,1))</f>
        <v>441.20130048888439</v>
      </c>
      <c r="FK87" s="59">
        <f t="shared" si="102"/>
        <v>237.47732532183946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94.483049730910366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94.483049730910366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3.6</v>
      </c>
      <c r="FZ87" s="12">
        <f>IF('Données projet'!$A$244&gt;35,FZ86+FY87-GH86,IF(A87&lt;'Données projet'!$A$244,$FW$205^A87,IF(A87='Données projet'!$A$244,'Données projet'!$B$244,FZ86+FY87-GH86)))</f>
        <v>210.40000000000015</v>
      </c>
      <c r="GA87" s="17">
        <f>FZ87*VLOOKUP('Données projet'!$B$17,Paramètres!$A$1:$I$89,3,0)*VLOOKUP('Données projet'!$B$17,Paramètres!$A$1:$I$89,5,0)</f>
        <v>137.8540800000001</v>
      </c>
      <c r="GB87" s="13">
        <f t="shared" si="103"/>
        <v>35.804964283629992</v>
      </c>
      <c r="GC87" s="20">
        <f t="shared" si="79"/>
        <v>302.45616879398909</v>
      </c>
      <c r="GD87" s="59">
        <f t="shared" si="80"/>
        <v>574.71299931853946</v>
      </c>
      <c r="GE87" s="59">
        <f ca="1">AVERAGE(OFFSET($GD$3,0,0,'Données projet'!$E$17+1,1))-AVERAGE(OFFSET($H$3,0,0,'Données projet'!$E$17+1,1))</f>
        <v>257.66104339896992</v>
      </c>
      <c r="GF87" s="59">
        <f t="shared" si="104"/>
        <v>254.79488636184996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35.378442787129885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35.378442787129885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4</v>
      </c>
      <c r="GU87" s="12">
        <f>IF('Données projet'!$A$270&gt;35,GU86+GT87-HC86,IF(A87&lt;'Données projet'!$A$270,$GR$205^A87,IF(A87='Données projet'!$A$270,'Données projet'!$B$270,GU86+GT87-HC86)))</f>
        <v>237.00000000000006</v>
      </c>
      <c r="GV87" s="17">
        <f>GU87*VLOOKUP('Données projet'!$B$18,Paramètres!$A$1:$I$89,3,0)*VLOOKUP('Données projet'!$B$18,Paramètres!$A$1:$I$89,5,0)</f>
        <v>192.25440000000006</v>
      </c>
      <c r="GW87" s="13">
        <f t="shared" si="105"/>
        <v>48.038026007842433</v>
      </c>
      <c r="GX87" s="20">
        <f t="shared" si="82"/>
        <v>418.50930863032568</v>
      </c>
      <c r="GY87" s="59">
        <f t="shared" si="83"/>
        <v>690.76613915487599</v>
      </c>
      <c r="GZ87" s="59">
        <f ca="1">AVERAGE(OFFSET($GY$3,0,0,'Données projet'!$E$18+1,1))-AVERAGE(OFFSET($H$3,0,0,'Données projet'!$E$18+1,1))</f>
        <v>299.98377156721153</v>
      </c>
      <c r="HA87" s="59">
        <f t="shared" si="106"/>
        <v>241.36164657721102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32.438672976505025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32.438672976505025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</v>
      </c>
      <c r="N88" s="13">
        <f>IF('Données projet'!$A$36&gt;35,N87+M88-V87,IF(A88&lt;'Données projet'!$A$36,$K$205^A88,IF(A88='Données projet'!$A$36,'Données projet'!$B$36,N87+M88-V87)))</f>
        <v>388.19</v>
      </c>
      <c r="O88" s="13">
        <f>N88*VLOOKUP('Données projet'!$B$9,Paramètres!$A$1:$I$89,3,0)*VLOOKUP('Données projet'!$B$9,Paramètres!$A$1:$I$89,5,0)</f>
        <v>351.23431199999999</v>
      </c>
      <c r="P88" s="13">
        <f t="shared" si="87"/>
        <v>81.816616800686063</v>
      </c>
      <c r="Q88" s="20">
        <f t="shared" si="54"/>
        <v>754.23036766119492</v>
      </c>
      <c r="R88" s="59">
        <f t="shared" si="55"/>
        <v>1026.8528283894764</v>
      </c>
      <c r="S88" s="59">
        <f ca="1">AVERAGE(OFFSET($R$3,0,0,'Données projet'!$E$9+1,1))-AVERAGE(OFFSET($H$3,0,0,'Données projet'!$E$9+1,1))</f>
        <v>567.42635821507474</v>
      </c>
      <c r="T88" s="59">
        <f t="shared" si="88"/>
        <v>299.04735309930152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101.36900180698331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101.36900180698331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438</v>
      </c>
      <c r="AG88" s="12">
        <f>VLOOKUP(A88,'Données projet'!$A$61:$I$81,9,0)</f>
        <v>9.6</v>
      </c>
      <c r="AH88" s="12">
        <f t="array" ref="AH88">INDEX(AG:AG,MIN(IF(ISNUMBER(AG88:AG284),ROW(AG88:AG284),"")))</f>
        <v>9.6</v>
      </c>
      <c r="AI88" s="13">
        <f>IF('Données projet'!$A$62&gt;35,AI87+AH88-AQ87,IF(A88&lt;'Données projet'!$A$62,$AF$205^A88,IF(A88='Données projet'!$A$62,'Données projet'!$B$62,AI87+AH88-AQ87)))</f>
        <v>438</v>
      </c>
      <c r="AJ88" s="13">
        <f>AI88*VLOOKUP('Données projet'!$B$10,Paramètres!$A$1:$I$89,3,0)*VLOOKUP('Données projet'!$B$10,Paramètres!$A$1:$I$89,5,0)</f>
        <v>375.80400000000003</v>
      </c>
      <c r="AK88" s="13">
        <f t="shared" si="89"/>
        <v>86.853626438441253</v>
      </c>
      <c r="AL88" s="20">
        <f t="shared" si="58"/>
        <v>805.79536604695193</v>
      </c>
      <c r="AM88" s="59">
        <f t="shared" si="59"/>
        <v>1078.4178267752334</v>
      </c>
      <c r="AN88" s="59">
        <f ca="1">AVERAGE(OFFSET($AM$3,0,0,'Données projet'!$E$10+1,1))-AVERAGE(OFFSET($H$3,0,0,'Données projet'!$E$10+1,1))</f>
        <v>569.97793593332699</v>
      </c>
      <c r="AO88" s="59">
        <f t="shared" si="90"/>
        <v>331.25104323342907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33</v>
      </c>
      <c r="AR88" s="16">
        <f>IF(ISNA(VLOOKUP(A88,'Données projet'!$A$61:$I$81,5,0)),0%,VLOOKUP(A88,'Données projet'!$A$61:$I$81,5,0)*VLOOKUP('Données projet'!$B$10,Paramètres!$A$1:$I$89,7,0))</f>
        <v>0.53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122.37128514394523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122.37128514394523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277.99999999999994</v>
      </c>
      <c r="BE88" s="13">
        <f>BD88*VLOOKUP('Données projet'!$B$11,Paramètres!$A$1:$I$89,3,0)*VLOOKUP('Données projet'!$B$11,Paramètres!$A$1:$I$89,5,0)</f>
        <v>151.78799999999998</v>
      </c>
      <c r="BF88" s="13">
        <f t="shared" si="91"/>
        <v>38.984634390835623</v>
      </c>
      <c r="BG88" s="20">
        <f t="shared" si="61"/>
        <v>332.26233823070532</v>
      </c>
      <c r="BH88" s="59">
        <f t="shared" si="62"/>
        <v>604.88479895898683</v>
      </c>
      <c r="BI88" s="59">
        <f ca="1">AVERAGE(OFFSET($BH$3,0,0,'Données projet'!$E$11+1,1))-AVERAGE(OFFSET($H$3,0,0,'Données projet'!$E$11+1,1))</f>
        <v>215.37314197175104</v>
      </c>
      <c r="BJ88" s="59">
        <f t="shared" si="92"/>
        <v>361.17630426655978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12.350698470256946</v>
      </c>
      <c r="BQ88" s="21">
        <f>EXP(-LN(2)/25)*BQ87+(1-EXP(-LN(2)/25))/(LN(2)/25)*Calculateur!BL88*Calculateur!BN88*VLOOKUP('Données projet'!$B$11,Paramètres!$A$1:$I$89,3,0)*0.475*44/12</f>
        <v>20.902239030734297</v>
      </c>
      <c r="BR88" s="21">
        <f>EXP(-LN(2)/2)*BR87+(1-EXP(-LN(2)/2))/(LN(2)/2)*BL88*BO88*VLOOKUP('Données projet'!$B$11,Paramètres!$A$1:$I$89,3,0)*0.475*44/12</f>
        <v>1.3358344363481373E-10</v>
      </c>
      <c r="BS88" s="22">
        <f t="shared" si="63"/>
        <v>33.252937501124826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0.8600000000003547</v>
      </c>
      <c r="BZ88" s="13">
        <f>BY88*VLOOKUP('Données projet'!$B$12,Paramètres!$A$1:$I$89,3,0)*VLOOKUP('Données projet'!$B$12,Paramètres!$A$1:$I$89,5,0)</f>
        <v>0.48074000000019829</v>
      </c>
      <c r="CA88" s="13">
        <f t="shared" si="93"/>
        <v>0.24126147010950588</v>
      </c>
      <c r="CB88" s="20">
        <f t="shared" si="64"/>
        <v>1.2574858937744013</v>
      </c>
      <c r="CC88" s="59">
        <f t="shared" si="65"/>
        <v>273.87994662205591</v>
      </c>
      <c r="CD88" s="59">
        <f ca="1">AVERAGE(OFFSET($CC$3,0,0,'Données projet'!$E$12+1,1))-AVERAGE(OFFSET($H$3,0,0,'Données projet'!$E$12+1,1))</f>
        <v>420.4890915162182</v>
      </c>
      <c r="CE88" s="59">
        <f t="shared" si="94"/>
        <v>553.48432338023565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205.24462889660541</v>
      </c>
      <c r="CL88" s="21">
        <f>EXP(-LN(2)/25)*CL87+(1-EXP(-LN(2)/25))/(LN(2)/25)*Calculateur!CG88*Calculateur!CI88*VLOOKUP('Données projet'!$B$12,Paramètres!$A$1:$I$89,3,0)*0.475*44/12</f>
        <v>11.006212231470165</v>
      </c>
      <c r="CM88" s="21">
        <f>EXP(-LN(2)/2)*CM87+(1-EXP(-LN(2)/2))/(LN(2)/2)*CG88*CJ88*VLOOKUP('Données projet'!$B$12,Paramètres!$A$1:$I$89,3,0)*0.475*44/12</f>
        <v>3.8981648060638634E-9</v>
      </c>
      <c r="CN88" s="22">
        <f t="shared" si="66"/>
        <v>216.25084113197371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367.99999999999972</v>
      </c>
      <c r="CU88" s="17">
        <f>CT88*VLOOKUP('Données projet'!$B$13,Paramètres!$A$1:$I$89,3,0)*VLOOKUP('Données projet'!$B$13,Paramètres!$A$1:$I$89,5,0)</f>
        <v>269.8175999999998</v>
      </c>
      <c r="CV88" s="13">
        <f t="shared" si="95"/>
        <v>64.810557882019467</v>
      </c>
      <c r="CW88" s="20">
        <f t="shared" si="67"/>
        <v>582.81070831118348</v>
      </c>
      <c r="CX88" s="59">
        <f t="shared" si="68"/>
        <v>855.43316903946493</v>
      </c>
      <c r="CY88" s="59">
        <f ca="1">AVERAGE(OFFSET($CX$3,0,0,'Données projet'!$E$13+1,1))-AVERAGE(OFFSET($H$3,0,0,'Données projet'!$E$13+1,1))</f>
        <v>400.48995908576177</v>
      </c>
      <c r="CZ88" s="59">
        <f t="shared" si="96"/>
        <v>384.86917865380076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41.73756418602396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41.73756418602396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367.99999999999972</v>
      </c>
      <c r="DP88" s="17">
        <f>DO88*VLOOKUP('Données projet'!$B$14,Paramètres!$A$1:$I$89,3,0)*VLOOKUP('Données projet'!$B$14,Paramètres!$A$1:$I$89,5,0)</f>
        <v>292.78079999999977</v>
      </c>
      <c r="DQ88" s="13">
        <f t="shared" si="97"/>
        <v>69.660903052386217</v>
      </c>
      <c r="DR88" s="20">
        <f t="shared" si="70"/>
        <v>631.25263281623893</v>
      </c>
      <c r="DS88" s="59">
        <f t="shared" si="71"/>
        <v>903.8750935445205</v>
      </c>
      <c r="DT88" s="59">
        <f ca="1">AVERAGE(OFFSET($DS$3,0,0,'Données projet'!$E$14+1,1))-AVERAGE(OFFSET($H$3,0,0,'Données projet'!$E$14+1,1))</f>
        <v>429.30603040255431</v>
      </c>
      <c r="DU88" s="59">
        <f t="shared" si="98"/>
        <v>412.18613903804726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55.822185054340778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55.822185054340778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210.25641025641013</v>
      </c>
      <c r="EK88" s="17">
        <f>EJ88*VLOOKUP('Données projet'!$B$15,Paramètres!$A$1:$I$89,3,0)*VLOOKUP('Données projet'!$B$15,Paramètres!$A$1:$I$89,5,0)</f>
        <v>163.99999999999991</v>
      </c>
      <c r="EL88" s="13">
        <f t="shared" si="99"/>
        <v>41.743425908362248</v>
      </c>
      <c r="EM88" s="20">
        <f t="shared" si="73"/>
        <v>358.33646679039742</v>
      </c>
      <c r="EN88" s="59">
        <f t="shared" si="74"/>
        <v>630.95892751867893</v>
      </c>
      <c r="EO88" s="59">
        <f ca="1">AVERAGE(OFFSET($EN$3,0,0,'Données projet'!$E$15+1,1))-AVERAGE(OFFSET($H$3,0,0,'Données projet'!$E$15+1,1))</f>
        <v>217.53602321474159</v>
      </c>
      <c r="EP88" s="59">
        <f t="shared" si="100"/>
        <v>215.75909414893025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23.524562445240829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23.524562445240829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10.41</v>
      </c>
      <c r="FE88" s="12">
        <f>IF('Données projet'!$A$218&gt;35,FE87+FD88-FM87,IF(A88&lt;'Données projet'!$A$218,$FB$205^A88,IF(A88='Données projet'!$A$218,'Données projet'!$B$218,FE87+FD88-FM87)))</f>
        <v>388.19</v>
      </c>
      <c r="FF88" s="17">
        <f>FE88*VLOOKUP('Données projet'!$B$16,Paramètres!$A$1:$I$89,3,0)*VLOOKUP('Données projet'!$B$16,Paramètres!$A$1:$I$89,5,0)</f>
        <v>260.397852</v>
      </c>
      <c r="FG88" s="13">
        <f t="shared" si="101"/>
        <v>62.807176376677099</v>
      </c>
      <c r="FH88" s="20">
        <f t="shared" si="76"/>
        <v>562.91542442271259</v>
      </c>
      <c r="FI88" s="59">
        <f t="shared" si="77"/>
        <v>835.53788515099404</v>
      </c>
      <c r="FJ88" s="59">
        <f ca="1">AVERAGE(OFFSET($FI$3,0,0,'Données projet'!$E$16+1,1))-AVERAGE(OFFSET($H$3,0,0,'Données projet'!$E$16+1,1))</f>
        <v>441.20130048888439</v>
      </c>
      <c r="FK88" s="59">
        <f t="shared" si="102"/>
        <v>237.47732532183946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92.630294754657157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92.630294754657157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214</v>
      </c>
      <c r="FX88" s="12">
        <f>VLOOKUP(A88,'Données projet'!$A$243:$I$263,9,0)</f>
        <v>3.6</v>
      </c>
      <c r="FY88" s="12">
        <f t="array" ref="FY88">INDEX(FX:FX,MIN(IF(ISNUMBER(FX88:FX284),ROW(FX88:FX284),"")))</f>
        <v>3.6</v>
      </c>
      <c r="FZ88" s="12">
        <f>IF('Données projet'!$A$244&gt;35,FZ87+FY88-GH87,IF(A88&lt;'Données projet'!$A$244,$FW$205^A88,IF(A88='Données projet'!$A$244,'Données projet'!$B$244,FZ87+FY88-GH87)))</f>
        <v>214.00000000000014</v>
      </c>
      <c r="GA88" s="17">
        <f>FZ88*VLOOKUP('Données projet'!$B$17,Paramètres!$A$1:$I$89,3,0)*VLOOKUP('Données projet'!$B$17,Paramètres!$A$1:$I$89,5,0)</f>
        <v>140.21280000000007</v>
      </c>
      <c r="GB88" s="13">
        <f t="shared" si="103"/>
        <v>36.345750676634587</v>
      </c>
      <c r="GC88" s="20">
        <f t="shared" si="79"/>
        <v>307.50614242847206</v>
      </c>
      <c r="GD88" s="59">
        <f t="shared" si="80"/>
        <v>580.12860315675357</v>
      </c>
      <c r="GE88" s="59">
        <f ca="1">AVERAGE(OFFSET($GD$3,0,0,'Données projet'!$E$17+1,1))-AVERAGE(OFFSET($H$3,0,0,'Données projet'!$E$17+1,1))</f>
        <v>257.66104339896992</v>
      </c>
      <c r="GF88" s="59">
        <f t="shared" si="104"/>
        <v>254.79488636184996</v>
      </c>
      <c r="GG88" s="15">
        <f>IF(ISNA(VLOOKUP(A88,'Données projet'!$A$243:$I$263,3,0)),0,VLOOKUP(A88,'Données projet'!$A$243:$I$263,3,0))</f>
        <v>16</v>
      </c>
      <c r="GH88" s="15">
        <f>IF(ISNA(VLOOKUP(A88,'Données projet'!$A$243:$I$263,4,0)),0,VLOOKUP(A88,'Données projet'!$A$243:$I$263,4,0))</f>
        <v>14</v>
      </c>
      <c r="GI88" s="16">
        <f>IF(ISNA(VLOOKUP(A88,'Données projet'!$A$243:$I$263,5,0)),0%,VLOOKUP(A88,'Données projet'!$A$243:$I$263,5,0)*VLOOKUP('Données projet'!$B$17,Paramètres!$A$1:$I$89,7,0))</f>
        <v>0.43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39.045004342666978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39.045004342666978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>
        <f>VLOOKUP(A88,'Données projet'!$A$269:$I$289,2,0)</f>
        <v>241</v>
      </c>
      <c r="GS88" s="12">
        <f>VLOOKUP(A88,'Données projet'!$A$269:$I$289,9,0)</f>
        <v>4</v>
      </c>
      <c r="GT88" s="12">
        <f t="array" ref="GT88">INDEX(GS:GS,MIN(IF(ISNUMBER(GS88:GS284),ROW(GS88:GS284),"")))</f>
        <v>4</v>
      </c>
      <c r="GU88" s="12">
        <f>IF('Données projet'!$A$270&gt;35,GU87+GT88-HC87,IF(A88&lt;'Données projet'!$A$270,$GR$205^A88,IF(A88='Données projet'!$A$270,'Données projet'!$B$270,GU87+GT88-HC87)))</f>
        <v>241.00000000000006</v>
      </c>
      <c r="GV88" s="17">
        <f>GU88*VLOOKUP('Données projet'!$B$18,Paramètres!$A$1:$I$89,3,0)*VLOOKUP('Données projet'!$B$18,Paramètres!$A$1:$I$89,5,0)</f>
        <v>195.49920000000006</v>
      </c>
      <c r="GW88" s="13">
        <f t="shared" si="105"/>
        <v>48.753721622209305</v>
      </c>
      <c r="GX88" s="20">
        <f t="shared" si="82"/>
        <v>425.40717182534792</v>
      </c>
      <c r="GY88" s="59">
        <f t="shared" si="83"/>
        <v>698.02963255362943</v>
      </c>
      <c r="GZ88" s="59">
        <f ca="1">AVERAGE(OFFSET($GY$3,0,0,'Données projet'!$E$18+1,1))-AVERAGE(OFFSET($H$3,0,0,'Données projet'!$E$18+1,1))</f>
        <v>299.98377156721153</v>
      </c>
      <c r="HA88" s="59">
        <f t="shared" si="106"/>
        <v>241.36164657721102</v>
      </c>
      <c r="HB88" s="15">
        <f>IF(ISNA(VLOOKUP(A88,'Données projet'!$A$269:$I$289,3,0)),0,VLOOKUP(A88,'Données projet'!$A$269:$I$289,3,0))</f>
        <v>14</v>
      </c>
      <c r="HC88" s="15">
        <f>IF(ISNA(VLOOKUP(A88,'Données projet'!$A$269:$I$289,4,0)),0,VLOOKUP(A88,'Données projet'!$A$269:$I$289,4,0))</f>
        <v>13</v>
      </c>
      <c r="HD88" s="16">
        <f>IF(ISNA(VLOOKUP(A88,'Données projet'!$A$269:$I$289,5,0)),0%,VLOOKUP(A88,'Données projet'!$A$269:$I$289,5,0)*VLOOKUP('Données projet'!$B$18,Paramètres!$A$1:$I$89,7,0))</f>
        <v>0.43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36.815445211865757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36.815445211865757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</v>
      </c>
      <c r="N89" s="13">
        <f>IF('Données projet'!$A$36&gt;35,N88+M89-V88,IF(A89&lt;'Données projet'!$A$36,$K$205^A89,IF(A89='Données projet'!$A$36,'Données projet'!$B$36,N88+M89-V88)))</f>
        <v>398.6</v>
      </c>
      <c r="O89" s="13">
        <f>N89*VLOOKUP('Données projet'!$B$9,Paramètres!$A$1:$I$89,3,0)*VLOOKUP('Données projet'!$B$9,Paramètres!$A$1:$I$89,5,0)</f>
        <v>360.65328</v>
      </c>
      <c r="P89" s="13">
        <f t="shared" si="87"/>
        <v>83.752289576604468</v>
      </c>
      <c r="Q89" s="20">
        <f t="shared" si="54"/>
        <v>774.006367012586</v>
      </c>
      <c r="R89" s="59">
        <f t="shared" si="55"/>
        <v>1046.9881150779906</v>
      </c>
      <c r="S89" s="59">
        <f ca="1">AVERAGE(OFFSET($R$3,0,0,'Données projet'!$E$9+1,1))-AVERAGE(OFFSET($H$3,0,0,'Données projet'!$E$9+1,1))</f>
        <v>567.42635821507474</v>
      </c>
      <c r="T89" s="59">
        <f t="shared" si="88"/>
        <v>299.04735309930152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99.381217510534356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99.381217510534356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9.1999999999999993</v>
      </c>
      <c r="AI89" s="13">
        <f>IF('Données projet'!$A$62&gt;35,AI88+AH89-AQ88,IF(A89&lt;'Données projet'!$A$62,$AF$205^A89,IF(A89='Données projet'!$A$62,'Données projet'!$B$62,AI88+AH89-AQ88)))</f>
        <v>414.2</v>
      </c>
      <c r="AJ89" s="13">
        <f>AI89*VLOOKUP('Données projet'!$B$10,Paramètres!$A$1:$I$89,3,0)*VLOOKUP('Données projet'!$B$10,Paramètres!$A$1:$I$89,5,0)</f>
        <v>355.3836</v>
      </c>
      <c r="AK89" s="13">
        <f t="shared" si="89"/>
        <v>82.670063642426967</v>
      </c>
      <c r="AL89" s="20">
        <f t="shared" si="58"/>
        <v>762.94346417722682</v>
      </c>
      <c r="AM89" s="59">
        <f t="shared" si="59"/>
        <v>1035.9252122426315</v>
      </c>
      <c r="AN89" s="59">
        <f ca="1">AVERAGE(OFFSET($AM$3,0,0,'Données projet'!$E$10+1,1))-AVERAGE(OFFSET($H$3,0,0,'Données projet'!$E$10+1,1))</f>
        <v>569.97793593332699</v>
      </c>
      <c r="AO89" s="59">
        <f t="shared" si="90"/>
        <v>331.25104323342907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119.9716588813864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119.9716588813864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277.99999999999994</v>
      </c>
      <c r="BE89" s="13">
        <f>BD89*VLOOKUP('Données projet'!$B$11,Paramètres!$A$1:$I$89,3,0)*VLOOKUP('Données projet'!$B$11,Paramètres!$A$1:$I$89,5,0)</f>
        <v>151.78799999999998</v>
      </c>
      <c r="BF89" s="13">
        <f t="shared" si="91"/>
        <v>38.984634390835623</v>
      </c>
      <c r="BG89" s="20">
        <f t="shared" si="61"/>
        <v>332.26233823070532</v>
      </c>
      <c r="BH89" s="59">
        <f t="shared" si="62"/>
        <v>605.24408629611003</v>
      </c>
      <c r="BI89" s="59">
        <f ca="1">AVERAGE(OFFSET($BH$3,0,0,'Données projet'!$E$11+1,1))-AVERAGE(OFFSET($H$3,0,0,'Données projet'!$E$11+1,1))</f>
        <v>215.37314197175104</v>
      </c>
      <c r="BJ89" s="59">
        <f t="shared" si="92"/>
        <v>361.17630426655978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12.108508806437435</v>
      </c>
      <c r="BQ89" s="21">
        <f>EXP(-LN(2)/25)*BQ88+(1-EXP(-LN(2)/25))/(LN(2)/25)*Calculateur!BL89*Calculateur!BN89*VLOOKUP('Données projet'!$B$11,Paramètres!$A$1:$I$89,3,0)*0.475*44/12</f>
        <v>20.33066620523789</v>
      </c>
      <c r="BR89" s="21">
        <f>EXP(-LN(2)/2)*BR88+(1-EXP(-LN(2)/2))/(LN(2)/2)*BL89*BO89*VLOOKUP('Données projet'!$B$11,Paramètres!$A$1:$I$89,3,0)*0.475*44/12</f>
        <v>9.4457758848427743E-11</v>
      </c>
      <c r="BS89" s="22">
        <f t="shared" si="63"/>
        <v>32.439175011769784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0.8600000000003547</v>
      </c>
      <c r="BZ89" s="13">
        <f>BY89*VLOOKUP('Données projet'!$B$12,Paramètres!$A$1:$I$89,3,0)*VLOOKUP('Données projet'!$B$12,Paramètres!$A$1:$I$89,5,0)</f>
        <v>0.48074000000019829</v>
      </c>
      <c r="CA89" s="13">
        <f t="shared" si="93"/>
        <v>0.24126147010950588</v>
      </c>
      <c r="CB89" s="20">
        <f t="shared" si="64"/>
        <v>1.2574858937744013</v>
      </c>
      <c r="CC89" s="59">
        <f t="shared" si="65"/>
        <v>274.2392339591791</v>
      </c>
      <c r="CD89" s="59">
        <f ca="1">AVERAGE(OFFSET($CC$3,0,0,'Données projet'!$E$12+1,1))-AVERAGE(OFFSET($H$3,0,0,'Données projet'!$E$12+1,1))</f>
        <v>420.4890915162182</v>
      </c>
      <c r="CE89" s="59">
        <f t="shared" si="94"/>
        <v>553.48432338023565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201.21990691080543</v>
      </c>
      <c r="CL89" s="21">
        <f>EXP(-LN(2)/25)*CL88+(1-EXP(-LN(2)/25))/(LN(2)/25)*Calculateur!CG89*Calculateur!CI89*VLOOKUP('Données projet'!$B$12,Paramètres!$A$1:$I$89,3,0)*0.475*44/12</f>
        <v>10.705246779209068</v>
      </c>
      <c r="CM89" s="21">
        <f>EXP(-LN(2)/2)*CM88+(1-EXP(-LN(2)/2))/(LN(2)/2)*CG89*CJ89*VLOOKUP('Données projet'!$B$12,Paramètres!$A$1:$I$89,3,0)*0.475*44/12</f>
        <v>2.7564187685505008E-9</v>
      </c>
      <c r="CN89" s="22">
        <f t="shared" si="66"/>
        <v>211.92515369277092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367.99999999999972</v>
      </c>
      <c r="CU89" s="17">
        <f>CT89*VLOOKUP('Données projet'!$B$13,Paramètres!$A$1:$I$89,3,0)*VLOOKUP('Données projet'!$B$13,Paramètres!$A$1:$I$89,5,0)</f>
        <v>269.8175999999998</v>
      </c>
      <c r="CV89" s="13">
        <f t="shared" si="95"/>
        <v>64.810557882019467</v>
      </c>
      <c r="CW89" s="20">
        <f t="shared" si="67"/>
        <v>582.81070831118348</v>
      </c>
      <c r="CX89" s="59">
        <f t="shared" si="68"/>
        <v>855.79245637658823</v>
      </c>
      <c r="CY89" s="59">
        <f ca="1">AVERAGE(OFFSET($CX$3,0,0,'Données projet'!$E$13+1,1))-AVERAGE(OFFSET($H$3,0,0,'Données projet'!$E$13+1,1))</f>
        <v>400.48995908576177</v>
      </c>
      <c r="CZ89" s="59">
        <f t="shared" si="96"/>
        <v>384.86917865380076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40.919116009736477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40.919116009736477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367.99999999999972</v>
      </c>
      <c r="DP89" s="17">
        <f>DO89*VLOOKUP('Données projet'!$B$14,Paramètres!$A$1:$I$89,3,0)*VLOOKUP('Données projet'!$B$14,Paramètres!$A$1:$I$89,5,0)</f>
        <v>292.78079999999977</v>
      </c>
      <c r="DQ89" s="13">
        <f t="shared" si="97"/>
        <v>69.660903052386217</v>
      </c>
      <c r="DR89" s="20">
        <f t="shared" si="70"/>
        <v>631.25263281623893</v>
      </c>
      <c r="DS89" s="59">
        <f t="shared" si="71"/>
        <v>904.23438088164357</v>
      </c>
      <c r="DT89" s="59">
        <f ca="1">AVERAGE(OFFSET($DS$3,0,0,'Données projet'!$E$14+1,1))-AVERAGE(OFFSET($H$3,0,0,'Données projet'!$E$14+1,1))</f>
        <v>429.30603040255431</v>
      </c>
      <c r="DU89" s="59">
        <f t="shared" si="98"/>
        <v>412.18613903804726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54.727546053596058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54.727546053596058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210.25641025641013</v>
      </c>
      <c r="EK89" s="17">
        <f>EJ89*VLOOKUP('Données projet'!$B$15,Paramètres!$A$1:$I$89,3,0)*VLOOKUP('Données projet'!$B$15,Paramètres!$A$1:$I$89,5,0)</f>
        <v>163.99999999999991</v>
      </c>
      <c r="EL89" s="13">
        <f t="shared" si="99"/>
        <v>41.743425908362248</v>
      </c>
      <c r="EM89" s="20">
        <f t="shared" si="73"/>
        <v>358.33646679039742</v>
      </c>
      <c r="EN89" s="59">
        <f t="shared" si="74"/>
        <v>631.31821485580213</v>
      </c>
      <c r="EO89" s="59">
        <f ca="1">AVERAGE(OFFSET($EN$3,0,0,'Données projet'!$E$15+1,1))-AVERAGE(OFFSET($H$3,0,0,'Données projet'!$E$15+1,1))</f>
        <v>217.53602321474159</v>
      </c>
      <c r="EP89" s="59">
        <f t="shared" si="100"/>
        <v>215.75909414893025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23.063260124255944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23.063260124255944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10.41</v>
      </c>
      <c r="FE89" s="12">
        <f>IF('Données projet'!$A$218&gt;35,FE88+FD89-FM88,IF(A89&lt;'Données projet'!$A$218,$FB$205^A89,IF(A89='Données projet'!$A$218,'Données projet'!$B$218,FE88+FD89-FM88)))</f>
        <v>398.6</v>
      </c>
      <c r="FF89" s="17">
        <f>FE89*VLOOKUP('Données projet'!$B$16,Paramètres!$A$1:$I$89,3,0)*VLOOKUP('Données projet'!$B$16,Paramètres!$A$1:$I$89,5,0)</f>
        <v>267.38087999999999</v>
      </c>
      <c r="FG89" s="13">
        <f t="shared" si="101"/>
        <v>64.293110972833858</v>
      </c>
      <c r="FH89" s="20">
        <f t="shared" si="76"/>
        <v>577.66553427768554</v>
      </c>
      <c r="FI89" s="59">
        <f t="shared" si="77"/>
        <v>850.64728234309018</v>
      </c>
      <c r="FJ89" s="59">
        <f ca="1">AVERAGE(OFFSET($FI$3,0,0,'Données projet'!$E$16+1,1))-AVERAGE(OFFSET($H$3,0,0,'Données projet'!$E$16+1,1))</f>
        <v>441.20130048888439</v>
      </c>
      <c r="FK89" s="59">
        <f t="shared" si="102"/>
        <v>237.47732532183946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90.813871173419329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90.813871173419329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3.4</v>
      </c>
      <c r="FZ89" s="12">
        <f>IF('Données projet'!$A$244&gt;35,FZ88+FY89-GH88,IF(A89&lt;'Données projet'!$A$244,$FW$205^A89,IF(A89='Données projet'!$A$244,'Données projet'!$B$244,FZ88+FY89-GH88)))</f>
        <v>203.40000000000015</v>
      </c>
      <c r="GA89" s="17">
        <f>FZ89*VLOOKUP('Données projet'!$B$17,Paramètres!$A$1:$I$89,3,0)*VLOOKUP('Données projet'!$B$17,Paramètres!$A$1:$I$89,5,0)</f>
        <v>133.2676800000001</v>
      </c>
      <c r="GB89" s="13">
        <f t="shared" si="103"/>
        <v>34.750329840004937</v>
      </c>
      <c r="GC89" s="20">
        <f t="shared" si="79"/>
        <v>292.63136713800878</v>
      </c>
      <c r="GD89" s="59">
        <f t="shared" si="80"/>
        <v>565.61311520341349</v>
      </c>
      <c r="GE89" s="59">
        <f ca="1">AVERAGE(OFFSET($GD$3,0,0,'Données projet'!$E$17+1,1))-AVERAGE(OFFSET($H$3,0,0,'Données projet'!$E$17+1,1))</f>
        <v>257.66104339896992</v>
      </c>
      <c r="GF89" s="59">
        <f t="shared" si="104"/>
        <v>254.79488636184996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38.279355622608385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38.279355622608385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3.6</v>
      </c>
      <c r="GU89" s="12">
        <f>IF('Données projet'!$A$270&gt;35,GU88+GT89-HC88,IF(A89&lt;'Données projet'!$A$270,$GR$205^A89,IF(A89='Données projet'!$A$270,'Données projet'!$B$270,GU88+GT89-HC88)))</f>
        <v>231.60000000000005</v>
      </c>
      <c r="GV89" s="17">
        <f>GU89*VLOOKUP('Données projet'!$B$18,Paramètres!$A$1:$I$89,3,0)*VLOOKUP('Données projet'!$B$18,Paramètres!$A$1:$I$89,5,0)</f>
        <v>187.87392000000006</v>
      </c>
      <c r="GW89" s="13">
        <f t="shared" si="105"/>
        <v>47.069599349044694</v>
      </c>
      <c r="GX89" s="20">
        <f t="shared" si="82"/>
        <v>409.19329619958626</v>
      </c>
      <c r="GY89" s="59">
        <f t="shared" si="83"/>
        <v>682.1750442649909</v>
      </c>
      <c r="GZ89" s="59">
        <f ca="1">AVERAGE(OFFSET($GY$3,0,0,'Données projet'!$E$18+1,1))-AVERAGE(OFFSET($H$3,0,0,'Données projet'!$E$18+1,1))</f>
        <v>299.98377156721153</v>
      </c>
      <c r="HA89" s="59">
        <f t="shared" si="106"/>
        <v>241.36164657721102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36.093516786465379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36.093516786465379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10.41</v>
      </c>
      <c r="N90" s="13">
        <f>IF('Données projet'!$A$36&gt;35,N89+M90-V89,IF(A90&lt;'Données projet'!$A$36,$K$205^A90,IF(A90='Données projet'!$A$36,'Données projet'!$B$36,N89+M90-V89)))</f>
        <v>409.01000000000005</v>
      </c>
      <c r="O90" s="13">
        <f>N90*VLOOKUP('Données projet'!$B$9,Paramètres!$A$1:$I$89,3,0)*VLOOKUP('Données projet'!$B$9,Paramètres!$A$1:$I$89,5,0)</f>
        <v>370.07224800000006</v>
      </c>
      <c r="P90" s="13">
        <f t="shared" si="87"/>
        <v>85.682086233509125</v>
      </c>
      <c r="Q90" s="20">
        <f t="shared" si="54"/>
        <v>793.77213212336176</v>
      </c>
      <c r="R90" s="59">
        <f t="shared" si="55"/>
        <v>1067.1069346938366</v>
      </c>
      <c r="S90" s="59">
        <f ca="1">AVERAGE(OFFSET($R$3,0,0,'Données projet'!$E$9+1,1))-AVERAGE(OFFSET($H$3,0,0,'Données projet'!$E$9+1,1))</f>
        <v>567.42635821507474</v>
      </c>
      <c r="T90" s="59">
        <f t="shared" si="88"/>
        <v>299.04735309930152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97.432412451710064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97.432412451710064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9.1999999999999993</v>
      </c>
      <c r="AI90" s="13">
        <f>IF('Données projet'!$A$62&gt;35,AI89+AH90-AQ89,IF(A90&lt;'Données projet'!$A$62,$AF$205^A90,IF(A90='Données projet'!$A$62,'Données projet'!$B$62,AI89+AH90-AQ89)))</f>
        <v>423.4</v>
      </c>
      <c r="AJ90" s="13">
        <f>AI90*VLOOKUP('Données projet'!$B$10,Paramètres!$A$1:$I$89,3,0)*VLOOKUP('Données projet'!$B$10,Paramètres!$A$1:$I$89,5,0)</f>
        <v>363.27719999999999</v>
      </c>
      <c r="AK90" s="13">
        <f t="shared" si="89"/>
        <v>84.290472188638873</v>
      </c>
      <c r="AL90" s="20">
        <f t="shared" si="58"/>
        <v>779.51369572854594</v>
      </c>
      <c r="AM90" s="59">
        <f t="shared" si="59"/>
        <v>1052.8484982990208</v>
      </c>
      <c r="AN90" s="59">
        <f ca="1">AVERAGE(OFFSET($AM$3,0,0,'Données projet'!$E$10+1,1))-AVERAGE(OFFSET($H$3,0,0,'Données projet'!$E$10+1,1))</f>
        <v>569.97793593332699</v>
      </c>
      <c r="AO90" s="59">
        <f t="shared" si="90"/>
        <v>331.25104323342907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117.61908782620885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117.61908782620885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277.99999999999994</v>
      </c>
      <c r="BE90" s="13">
        <f>BD90*VLOOKUP('Données projet'!$B$11,Paramètres!$A$1:$I$89,3,0)*VLOOKUP('Données projet'!$B$11,Paramètres!$A$1:$I$89,5,0)</f>
        <v>151.78799999999998</v>
      </c>
      <c r="BF90" s="13">
        <f t="shared" si="91"/>
        <v>38.984634390835623</v>
      </c>
      <c r="BG90" s="20">
        <f t="shared" si="61"/>
        <v>332.26233823070532</v>
      </c>
      <c r="BH90" s="59">
        <f t="shared" si="62"/>
        <v>605.5971408011801</v>
      </c>
      <c r="BI90" s="59">
        <f ca="1">AVERAGE(OFFSET($BH$3,0,0,'Données projet'!$E$11+1,1))-AVERAGE(OFFSET($H$3,0,0,'Données projet'!$E$11+1,1))</f>
        <v>215.37314197175104</v>
      </c>
      <c r="BJ90" s="59">
        <f t="shared" si="92"/>
        <v>361.17630426655978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11.871068334204315</v>
      </c>
      <c r="BQ90" s="21">
        <f>EXP(-LN(2)/25)*BQ89+(1-EXP(-LN(2)/25))/(LN(2)/25)*Calculateur!BL90*Calculateur!BN90*VLOOKUP('Données projet'!$B$11,Paramètres!$A$1:$I$89,3,0)*0.475*44/12</f>
        <v>19.77472306871239</v>
      </c>
      <c r="BR90" s="21">
        <f>EXP(-LN(2)/2)*BR89+(1-EXP(-LN(2)/2))/(LN(2)/2)*BL90*BO90*VLOOKUP('Données projet'!$B$11,Paramètres!$A$1:$I$89,3,0)*0.475*44/12</f>
        <v>6.6791721817406867E-11</v>
      </c>
      <c r="BS90" s="22">
        <f t="shared" si="63"/>
        <v>31.645791402983498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0.8600000000003547</v>
      </c>
      <c r="BZ90" s="13">
        <f>BY90*VLOOKUP('Données projet'!$B$12,Paramètres!$A$1:$I$89,3,0)*VLOOKUP('Données projet'!$B$12,Paramètres!$A$1:$I$89,5,0)</f>
        <v>0.48074000000019829</v>
      </c>
      <c r="CA90" s="13">
        <f t="shared" si="93"/>
        <v>0.24126147010950588</v>
      </c>
      <c r="CB90" s="20">
        <f t="shared" si="64"/>
        <v>1.2574858937744013</v>
      </c>
      <c r="CC90" s="59">
        <f t="shared" si="65"/>
        <v>274.59228846424924</v>
      </c>
      <c r="CD90" s="59">
        <f ca="1">AVERAGE(OFFSET($CC$3,0,0,'Données projet'!$E$12+1,1))-AVERAGE(OFFSET($H$3,0,0,'Données projet'!$E$12+1,1))</f>
        <v>420.4890915162182</v>
      </c>
      <c r="CE90" s="59">
        <f t="shared" si="94"/>
        <v>553.48432338023565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197.27410726830897</v>
      </c>
      <c r="CL90" s="21">
        <f>EXP(-LN(2)/25)*CL89+(1-EXP(-LN(2)/25))/(LN(2)/25)*Calculateur!CG90*Calculateur!CI90*VLOOKUP('Données projet'!$B$12,Paramètres!$A$1:$I$89,3,0)*0.475*44/12</f>
        <v>10.412511243067135</v>
      </c>
      <c r="CM90" s="21">
        <f>EXP(-LN(2)/2)*CM89+(1-EXP(-LN(2)/2))/(LN(2)/2)*CG90*CJ90*VLOOKUP('Données projet'!$B$12,Paramètres!$A$1:$I$89,3,0)*0.475*44/12</f>
        <v>1.9490824030319317E-9</v>
      </c>
      <c r="CN90" s="22">
        <f t="shared" si="66"/>
        <v>207.68661851332519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367.99999999999972</v>
      </c>
      <c r="CU90" s="17">
        <f>CT90*VLOOKUP('Données projet'!$B$13,Paramètres!$A$1:$I$89,3,0)*VLOOKUP('Données projet'!$B$13,Paramètres!$A$1:$I$89,5,0)</f>
        <v>269.8175999999998</v>
      </c>
      <c r="CV90" s="13">
        <f t="shared" si="95"/>
        <v>64.810557882019467</v>
      </c>
      <c r="CW90" s="20">
        <f t="shared" si="67"/>
        <v>582.81070831118348</v>
      </c>
      <c r="CX90" s="59">
        <f t="shared" si="68"/>
        <v>856.14551088165831</v>
      </c>
      <c r="CY90" s="59">
        <f ca="1">AVERAGE(OFFSET($CX$3,0,0,'Données projet'!$E$13+1,1))-AVERAGE(OFFSET($H$3,0,0,'Données projet'!$E$13+1,1))</f>
        <v>400.48995908576177</v>
      </c>
      <c r="CZ90" s="59">
        <f t="shared" si="96"/>
        <v>384.86917865380076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40.116717102981895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40.116717102981895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367.99999999999972</v>
      </c>
      <c r="DP90" s="17">
        <f>DO90*VLOOKUP('Données projet'!$B$14,Paramètres!$A$1:$I$89,3,0)*VLOOKUP('Données projet'!$B$14,Paramètres!$A$1:$I$89,5,0)</f>
        <v>292.78079999999977</v>
      </c>
      <c r="DQ90" s="13">
        <f t="shared" si="97"/>
        <v>69.660903052386217</v>
      </c>
      <c r="DR90" s="20">
        <f t="shared" si="70"/>
        <v>631.25263281623893</v>
      </c>
      <c r="DS90" s="59">
        <f t="shared" si="71"/>
        <v>904.58743538671376</v>
      </c>
      <c r="DT90" s="59">
        <f ca="1">AVERAGE(OFFSET($DS$3,0,0,'Données projet'!$E$14+1,1))-AVERAGE(OFFSET($H$3,0,0,'Données projet'!$E$14+1,1))</f>
        <v>429.30603040255431</v>
      </c>
      <c r="DU90" s="59">
        <f t="shared" si="98"/>
        <v>412.18613903804726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53.654372255992079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53.654372255992079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210.25641025641013</v>
      </c>
      <c r="EK90" s="17">
        <f>EJ90*VLOOKUP('Données projet'!$B$15,Paramètres!$A$1:$I$89,3,0)*VLOOKUP('Données projet'!$B$15,Paramètres!$A$1:$I$89,5,0)</f>
        <v>163.99999999999991</v>
      </c>
      <c r="EL90" s="13">
        <f t="shared" si="99"/>
        <v>41.743425908362248</v>
      </c>
      <c r="EM90" s="20">
        <f t="shared" si="73"/>
        <v>358.33646679039742</v>
      </c>
      <c r="EN90" s="59">
        <f t="shared" si="74"/>
        <v>631.6712693608722</v>
      </c>
      <c r="EO90" s="59">
        <f ca="1">AVERAGE(OFFSET($EN$3,0,0,'Données projet'!$E$15+1,1))-AVERAGE(OFFSET($H$3,0,0,'Données projet'!$E$15+1,1))</f>
        <v>217.53602321474159</v>
      </c>
      <c r="EP90" s="59">
        <f t="shared" si="100"/>
        <v>215.75909414893025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22.611003660418941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22.611003660418941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10.41</v>
      </c>
      <c r="FE90" s="12">
        <f>IF('Données projet'!$A$218&gt;35,FE89+FD90-FM89,IF(A90&lt;'Données projet'!$A$218,$FB$205^A90,IF(A90='Données projet'!$A$218,'Données projet'!$B$218,FE89+FD90-FM89)))</f>
        <v>409.01000000000005</v>
      </c>
      <c r="FF90" s="17">
        <f>FE90*VLOOKUP('Données projet'!$B$16,Paramètres!$A$1:$I$89,3,0)*VLOOKUP('Données projet'!$B$16,Paramètres!$A$1:$I$89,5,0)</f>
        <v>274.36390800000004</v>
      </c>
      <c r="FG90" s="13">
        <f t="shared" si="101"/>
        <v>65.774534719511138</v>
      </c>
      <c r="FH90" s="20">
        <f t="shared" si="76"/>
        <v>592.40778773648196</v>
      </c>
      <c r="FI90" s="59">
        <f t="shared" si="77"/>
        <v>865.7425903069568</v>
      </c>
      <c r="FJ90" s="59">
        <f ca="1">AVERAGE(OFFSET($FI$3,0,0,'Données projet'!$E$16+1,1))-AVERAGE(OFFSET($H$3,0,0,'Données projet'!$E$16+1,1))</f>
        <v>441.20130048888439</v>
      </c>
      <c r="FK90" s="59">
        <f t="shared" si="102"/>
        <v>237.47732532183946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89.033066550700582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89.033066550700582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3.4</v>
      </c>
      <c r="FZ90" s="12">
        <f>IF('Données projet'!$A$244&gt;35,FZ89+FY90-GH89,IF(A90&lt;'Données projet'!$A$244,$FW$205^A90,IF(A90='Données projet'!$A$244,'Données projet'!$B$244,FZ89+FY90-GH89)))</f>
        <v>206.80000000000015</v>
      </c>
      <c r="GA90" s="17">
        <f>FZ90*VLOOKUP('Données projet'!$B$17,Paramètres!$A$1:$I$89,3,0)*VLOOKUP('Données projet'!$B$17,Paramètres!$A$1:$I$89,5,0)</f>
        <v>135.49536000000012</v>
      </c>
      <c r="GB90" s="13">
        <f t="shared" si="103"/>
        <v>35.263099712541788</v>
      </c>
      <c r="GC90" s="20">
        <f t="shared" si="79"/>
        <v>297.40431733267718</v>
      </c>
      <c r="GD90" s="59">
        <f t="shared" si="80"/>
        <v>570.73911990315196</v>
      </c>
      <c r="GE90" s="59">
        <f ca="1">AVERAGE(OFFSET($GD$3,0,0,'Données projet'!$E$17+1,1))-AVERAGE(OFFSET($H$3,0,0,'Données projet'!$E$17+1,1))</f>
        <v>257.66104339896992</v>
      </c>
      <c r="GF90" s="59">
        <f t="shared" si="104"/>
        <v>254.79488636184996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37.528720806950531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37.528720806950531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3.6</v>
      </c>
      <c r="GU90" s="12">
        <f>IF('Données projet'!$A$270&gt;35,GU89+GT90-HC89,IF(A90&lt;'Données projet'!$A$270,$GR$205^A90,IF(A90='Données projet'!$A$270,'Données projet'!$B$270,GU89+GT90-HC89)))</f>
        <v>235.20000000000005</v>
      </c>
      <c r="GV90" s="17">
        <f>GU90*VLOOKUP('Données projet'!$B$18,Paramètres!$A$1:$I$89,3,0)*VLOOKUP('Données projet'!$B$18,Paramètres!$A$1:$I$89,5,0)</f>
        <v>190.79424000000006</v>
      </c>
      <c r="GW90" s="13">
        <f t="shared" si="105"/>
        <v>47.715505384501149</v>
      </c>
      <c r="GX90" s="20">
        <f t="shared" si="82"/>
        <v>415.40447321133956</v>
      </c>
      <c r="GY90" s="59">
        <f t="shared" si="83"/>
        <v>688.7392757818144</v>
      </c>
      <c r="GZ90" s="59">
        <f ca="1">AVERAGE(OFFSET($GY$3,0,0,'Données projet'!$E$18+1,1))-AVERAGE(OFFSET($H$3,0,0,'Données projet'!$E$18+1,1))</f>
        <v>299.98377156721153</v>
      </c>
      <c r="HA90" s="59">
        <f t="shared" si="106"/>
        <v>241.36164657721102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35.385744937154243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35.385744937154243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10.41</v>
      </c>
      <c r="N91" s="13">
        <f>IF('Données projet'!$A$36&gt;35,N90+M91-V90,IF(A91&lt;'Données projet'!$A$36,$K$205^A91,IF(A91='Données projet'!$A$36,'Données projet'!$B$36,N90+M91-V90)))</f>
        <v>419.42000000000007</v>
      </c>
      <c r="O91" s="13">
        <f>N91*VLOOKUP('Données projet'!$B$9,Paramètres!$A$1:$I$89,3,0)*VLOOKUP('Données projet'!$B$9,Paramètres!$A$1:$I$89,5,0)</f>
        <v>379.49121600000007</v>
      </c>
      <c r="P91" s="13">
        <f t="shared" si="87"/>
        <v>87.606173526430666</v>
      </c>
      <c r="Q91" s="20">
        <f t="shared" si="54"/>
        <v>813.52795342520028</v>
      </c>
      <c r="R91" s="59">
        <f t="shared" si="55"/>
        <v>1087.2096857943939</v>
      </c>
      <c r="S91" s="59">
        <f ca="1">AVERAGE(OFFSET($R$3,0,0,'Données projet'!$E$9+1,1))-AVERAGE(OFFSET($H$3,0,0,'Données projet'!$E$9+1,1))</f>
        <v>567.42635821507474</v>
      </c>
      <c r="T91" s="59">
        <f t="shared" si="88"/>
        <v>299.04735309930152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95.52182227143561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95.52182227143561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9.1999999999999993</v>
      </c>
      <c r="AI91" s="13">
        <f>IF('Données projet'!$A$62&gt;35,AI90+AH91-AQ90,IF(A91&lt;'Données projet'!$A$62,$AF$205^A91,IF(A91='Données projet'!$A$62,'Données projet'!$B$62,AI90+AH91-AQ90)))</f>
        <v>432.59999999999997</v>
      </c>
      <c r="AJ91" s="13">
        <f>AI91*VLOOKUP('Données projet'!$B$10,Paramètres!$A$1:$I$89,3,0)*VLOOKUP('Données projet'!$B$10,Paramètres!$A$1:$I$89,5,0)</f>
        <v>371.17080000000004</v>
      </c>
      <c r="AK91" s="13">
        <f t="shared" si="89"/>
        <v>85.906787171637717</v>
      </c>
      <c r="AL91" s="20">
        <f t="shared" si="58"/>
        <v>796.07679765726914</v>
      </c>
      <c r="AM91" s="59">
        <f t="shared" si="59"/>
        <v>1069.7585300264627</v>
      </c>
      <c r="AN91" s="59">
        <f ca="1">AVERAGE(OFFSET($AM$3,0,0,'Données projet'!$E$10+1,1))-AVERAGE(OFFSET($H$3,0,0,'Données projet'!$E$10+1,1))</f>
        <v>569.97793593332699</v>
      </c>
      <c r="AO91" s="59">
        <f t="shared" si="90"/>
        <v>331.25104323342907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115.31264925449668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115.31264925449668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277.99999999999994</v>
      </c>
      <c r="BE91" s="13">
        <f>BD91*VLOOKUP('Données projet'!$B$11,Paramètres!$A$1:$I$89,3,0)*VLOOKUP('Données projet'!$B$11,Paramètres!$A$1:$I$89,5,0)</f>
        <v>151.78799999999998</v>
      </c>
      <c r="BF91" s="13">
        <f t="shared" si="91"/>
        <v>38.984634390835623</v>
      </c>
      <c r="BG91" s="20">
        <f t="shared" si="61"/>
        <v>332.26233823070532</v>
      </c>
      <c r="BH91" s="59">
        <f t="shared" si="62"/>
        <v>605.94407059989908</v>
      </c>
      <c r="BI91" s="59">
        <f ca="1">AVERAGE(OFFSET($BH$3,0,0,'Données projet'!$E$11+1,1))-AVERAGE(OFFSET($H$3,0,0,'Données projet'!$E$11+1,1))</f>
        <v>215.37314197175104</v>
      </c>
      <c r="BJ91" s="59">
        <f t="shared" si="92"/>
        <v>361.17630426655978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11.638283924807299</v>
      </c>
      <c r="BQ91" s="21">
        <f>EXP(-LN(2)/25)*BQ90+(1-EXP(-LN(2)/25))/(LN(2)/25)*Calculateur!BL91*Calculateur!BN91*VLOOKUP('Données projet'!$B$11,Paramètres!$A$1:$I$89,3,0)*0.475*44/12</f>
        <v>19.233982226490959</v>
      </c>
      <c r="BR91" s="21">
        <f>EXP(-LN(2)/2)*BR90+(1-EXP(-LN(2)/2))/(LN(2)/2)*BL91*BO91*VLOOKUP('Données projet'!$B$11,Paramètres!$A$1:$I$89,3,0)*0.475*44/12</f>
        <v>4.7228879424213871E-11</v>
      </c>
      <c r="BS91" s="22">
        <f t="shared" si="63"/>
        <v>30.872266151345485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0.8600000000003547</v>
      </c>
      <c r="BZ91" s="13">
        <f>BY91*VLOOKUP('Données projet'!$B$12,Paramètres!$A$1:$I$89,3,0)*VLOOKUP('Données projet'!$B$12,Paramètres!$A$1:$I$89,5,0)</f>
        <v>0.48074000000019829</v>
      </c>
      <c r="CA91" s="13">
        <f t="shared" si="93"/>
        <v>0.24126147010950588</v>
      </c>
      <c r="CB91" s="20">
        <f t="shared" si="64"/>
        <v>1.2574858937744013</v>
      </c>
      <c r="CC91" s="59">
        <f t="shared" si="65"/>
        <v>274.9392182629681</v>
      </c>
      <c r="CD91" s="59">
        <f ca="1">AVERAGE(OFFSET($CC$3,0,0,'Données projet'!$E$12+1,1))-AVERAGE(OFFSET($H$3,0,0,'Données projet'!$E$12+1,1))</f>
        <v>420.4890915162182</v>
      </c>
      <c r="CE91" s="59">
        <f t="shared" si="94"/>
        <v>553.48432338023565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193.40568235010173</v>
      </c>
      <c r="CL91" s="21">
        <f>EXP(-LN(2)/25)*CL90+(1-EXP(-LN(2)/25))/(LN(2)/25)*Calculateur!CG91*Calculateur!CI91*VLOOKUP('Données projet'!$B$12,Paramètres!$A$1:$I$89,3,0)*0.475*44/12</f>
        <v>10.127780575555295</v>
      </c>
      <c r="CM91" s="21">
        <f>EXP(-LN(2)/2)*CM90+(1-EXP(-LN(2)/2))/(LN(2)/2)*CG91*CJ91*VLOOKUP('Données projet'!$B$12,Paramètres!$A$1:$I$89,3,0)*0.475*44/12</f>
        <v>1.3782093842752504E-9</v>
      </c>
      <c r="CN91" s="22">
        <f t="shared" si="66"/>
        <v>203.53346292703523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367.99999999999972</v>
      </c>
      <c r="CU91" s="17">
        <f>CT91*VLOOKUP('Données projet'!$B$13,Paramètres!$A$1:$I$89,3,0)*VLOOKUP('Données projet'!$B$13,Paramètres!$A$1:$I$89,5,0)</f>
        <v>269.8175999999998</v>
      </c>
      <c r="CV91" s="13">
        <f t="shared" si="95"/>
        <v>64.810557882019467</v>
      </c>
      <c r="CW91" s="20">
        <f t="shared" si="67"/>
        <v>582.81070831118348</v>
      </c>
      <c r="CX91" s="59">
        <f t="shared" si="68"/>
        <v>856.49244068037717</v>
      </c>
      <c r="CY91" s="59">
        <f ca="1">AVERAGE(OFFSET($CX$3,0,0,'Données projet'!$E$13+1,1))-AVERAGE(OFFSET($H$3,0,0,'Données projet'!$E$13+1,1))</f>
        <v>400.48995908576177</v>
      </c>
      <c r="CZ91" s="59">
        <f t="shared" si="96"/>
        <v>384.86917865380076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39.330052749373763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39.330052749373763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367.99999999999972</v>
      </c>
      <c r="DP91" s="17">
        <f>DO91*VLOOKUP('Données projet'!$B$14,Paramètres!$A$1:$I$89,3,0)*VLOOKUP('Données projet'!$B$14,Paramètres!$A$1:$I$89,5,0)</f>
        <v>292.78079999999977</v>
      </c>
      <c r="DQ91" s="13">
        <f t="shared" si="97"/>
        <v>69.660903052386217</v>
      </c>
      <c r="DR91" s="20">
        <f t="shared" si="70"/>
        <v>631.25263281623893</v>
      </c>
      <c r="DS91" s="59">
        <f t="shared" si="71"/>
        <v>904.93436518543263</v>
      </c>
      <c r="DT91" s="59">
        <f ca="1">AVERAGE(OFFSET($DS$3,0,0,'Données projet'!$E$14+1,1))-AVERAGE(OFFSET($H$3,0,0,'Données projet'!$E$14+1,1))</f>
        <v>429.30603040255431</v>
      </c>
      <c r="DU91" s="59">
        <f t="shared" si="98"/>
        <v>412.18613903804726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52.60224274198773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52.60224274198773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210.25641025641013</v>
      </c>
      <c r="EK91" s="17">
        <f>EJ91*VLOOKUP('Données projet'!$B$15,Paramètres!$A$1:$I$89,3,0)*VLOOKUP('Données projet'!$B$15,Paramètres!$A$1:$I$89,5,0)</f>
        <v>163.99999999999991</v>
      </c>
      <c r="EL91" s="13">
        <f t="shared" si="99"/>
        <v>41.743425908362248</v>
      </c>
      <c r="EM91" s="20">
        <f t="shared" si="73"/>
        <v>358.33646679039742</v>
      </c>
      <c r="EN91" s="59">
        <f t="shared" si="74"/>
        <v>632.01819915959118</v>
      </c>
      <c r="EO91" s="59">
        <f ca="1">AVERAGE(OFFSET($EN$3,0,0,'Données projet'!$E$15+1,1))-AVERAGE(OFFSET($H$3,0,0,'Données projet'!$E$15+1,1))</f>
        <v>217.53602321474159</v>
      </c>
      <c r="EP91" s="59">
        <f t="shared" si="100"/>
        <v>215.75909414893025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22.167615669988574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22.167615669988574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10.41</v>
      </c>
      <c r="FE91" s="12">
        <f>IF('Données projet'!$A$218&gt;35,FE90+FD91-FM90,IF(A91&lt;'Données projet'!$A$218,$FB$205^A91,IF(A91='Données projet'!$A$218,'Données projet'!$B$218,FE90+FD91-FM90)))</f>
        <v>419.42000000000007</v>
      </c>
      <c r="FF91" s="17">
        <f>FE91*VLOOKUP('Données projet'!$B$16,Paramètres!$A$1:$I$89,3,0)*VLOOKUP('Données projet'!$B$16,Paramètres!$A$1:$I$89,5,0)</f>
        <v>281.34693600000008</v>
      </c>
      <c r="FG91" s="13">
        <f t="shared" si="101"/>
        <v>67.251575627534038</v>
      </c>
      <c r="FH91" s="20">
        <f t="shared" si="76"/>
        <v>607.14240775128849</v>
      </c>
      <c r="FI91" s="59">
        <f t="shared" si="77"/>
        <v>880.82414012048218</v>
      </c>
      <c r="FJ91" s="59">
        <f ca="1">AVERAGE(OFFSET($FI$3,0,0,'Données projet'!$E$16+1,1))-AVERAGE(OFFSET($H$3,0,0,'Données projet'!$E$16+1,1))</f>
        <v>441.20130048888439</v>
      </c>
      <c r="FK91" s="59">
        <f t="shared" si="102"/>
        <v>237.47732532183946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87.287182420449781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87.287182420449781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3.4</v>
      </c>
      <c r="FZ91" s="12">
        <f>IF('Données projet'!$A$244&gt;35,FZ90+FY91-GH90,IF(A91&lt;'Données projet'!$A$244,$FW$205^A91,IF(A91='Données projet'!$A$244,'Données projet'!$B$244,FZ90+FY91-GH90)))</f>
        <v>210.20000000000016</v>
      </c>
      <c r="GA91" s="17">
        <f>FZ91*VLOOKUP('Données projet'!$B$17,Paramètres!$A$1:$I$89,3,0)*VLOOKUP('Données projet'!$B$17,Paramètres!$A$1:$I$89,5,0)</f>
        <v>137.72304000000011</v>
      </c>
      <c r="GB91" s="13">
        <f t="shared" si="103"/>
        <v>35.774889172094717</v>
      </c>
      <c r="GC91" s="20">
        <f t="shared" si="79"/>
        <v>302.17555997473181</v>
      </c>
      <c r="GD91" s="59">
        <f t="shared" si="80"/>
        <v>575.85729234392556</v>
      </c>
      <c r="GE91" s="59">
        <f ca="1">AVERAGE(OFFSET($GD$3,0,0,'Données projet'!$E$17+1,1))-AVERAGE(OFFSET($H$3,0,0,'Données projet'!$E$17+1,1))</f>
        <v>257.66104339896992</v>
      </c>
      <c r="GF91" s="59">
        <f t="shared" si="104"/>
        <v>254.79488636184996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36.792805482185699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36.792805482185699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3.6</v>
      </c>
      <c r="GU91" s="12">
        <f>IF('Données projet'!$A$270&gt;35,GU90+GT91-HC90,IF(A91&lt;'Données projet'!$A$270,$GR$205^A91,IF(A91='Données projet'!$A$270,'Données projet'!$B$270,GU90+GT91-HC90)))</f>
        <v>238.80000000000004</v>
      </c>
      <c r="GV91" s="17">
        <f>GU91*VLOOKUP('Données projet'!$B$18,Paramètres!$A$1:$I$89,3,0)*VLOOKUP('Données projet'!$B$18,Paramètres!$A$1:$I$89,5,0)</f>
        <v>193.71456000000006</v>
      </c>
      <c r="GW91" s="13">
        <f t="shared" si="105"/>
        <v>48.360261629719496</v>
      </c>
      <c r="GX91" s="20">
        <f t="shared" si="82"/>
        <v>421.61364767176156</v>
      </c>
      <c r="GY91" s="59">
        <f t="shared" si="83"/>
        <v>695.29538004095525</v>
      </c>
      <c r="GZ91" s="59">
        <f ca="1">AVERAGE(OFFSET($GY$3,0,0,'Données projet'!$E$18+1,1))-AVERAGE(OFFSET($H$3,0,0,'Données projet'!$E$18+1,1))</f>
        <v>299.98377156721153</v>
      </c>
      <c r="HA91" s="59">
        <f t="shared" si="106"/>
        <v>241.36164657721102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34.691852062109902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34.691852062109902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429.83</v>
      </c>
      <c r="L92" s="12">
        <f>VLOOKUP(A92,'Données projet'!$A$35:$I$55,9,0)</f>
        <v>10.41</v>
      </c>
      <c r="M92" s="12">
        <f t="array" ref="M92">INDEX(L:L,MIN(IF(ISNUMBER(L92:L288),ROW(L92:L288),"")))</f>
        <v>10.41</v>
      </c>
      <c r="N92" s="13">
        <f>IF('Données projet'!$A$36&gt;35,N91+M92-V91,IF(A92&lt;'Données projet'!$A$36,$K$205^A92,IF(A92='Données projet'!$A$36,'Données projet'!$B$36,N91+M92-V91)))</f>
        <v>429.8300000000001</v>
      </c>
      <c r="O92" s="13">
        <f>N92*VLOOKUP('Données projet'!$B$9,Paramètres!$A$1:$I$89,3,0)*VLOOKUP('Données projet'!$B$9,Paramètres!$A$1:$I$89,5,0)</f>
        <v>388.91018400000007</v>
      </c>
      <c r="P92" s="13">
        <f t="shared" si="87"/>
        <v>89.524709460853941</v>
      </c>
      <c r="Q92" s="20">
        <f t="shared" si="54"/>
        <v>833.27410611098742</v>
      </c>
      <c r="R92" s="59">
        <f t="shared" si="55"/>
        <v>1107.2967498225109</v>
      </c>
      <c r="S92" s="59">
        <f ca="1">AVERAGE(OFFSET($R$3,0,0,'Données projet'!$E$9+1,1))-AVERAGE(OFFSET($H$3,0,0,'Données projet'!$E$9+1,1))</f>
        <v>567.42635821507474</v>
      </c>
      <c r="T92" s="59">
        <f t="shared" si="88"/>
        <v>299.04735309930152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64.5</v>
      </c>
      <c r="W92" s="16">
        <f>IF(ISNA(VLOOKUP(A92,'Données projet'!$A$35:$I$55,5,0)),0%,VLOOKUP(A92,'Données projet'!$A$35:$I$55,5,0)*VLOOKUP('Données projet'!$B$9,Paramètres!$A$1:$I$89,7,0))</f>
        <v>0.43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121.39006553864958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121.39006553864958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9.1999999999999993</v>
      </c>
      <c r="AI92" s="13">
        <f>IF('Données projet'!$A$62&gt;35,AI91+AH92-AQ91,IF(A92&lt;'Données projet'!$A$62,$AF$205^A92,IF(A92='Données projet'!$A$62,'Données projet'!$B$62,AI91+AH92-AQ91)))</f>
        <v>441.79999999999995</v>
      </c>
      <c r="AJ92" s="13">
        <f>AI92*VLOOKUP('Données projet'!$B$10,Paramètres!$A$1:$I$89,3,0)*VLOOKUP('Données projet'!$B$10,Paramètres!$A$1:$I$89,5,0)</f>
        <v>379.06439999999998</v>
      </c>
      <c r="AK92" s="13">
        <f t="shared" si="89"/>
        <v>87.519105676243697</v>
      </c>
      <c r="AL92" s="20">
        <f t="shared" si="58"/>
        <v>812.63293905279113</v>
      </c>
      <c r="AM92" s="59">
        <f t="shared" si="59"/>
        <v>1086.6555827643147</v>
      </c>
      <c r="AN92" s="59">
        <f ca="1">AVERAGE(OFFSET($AM$3,0,0,'Données projet'!$E$10+1,1))-AVERAGE(OFFSET($H$3,0,0,'Données projet'!$E$10+1,1))</f>
        <v>569.97793593332699</v>
      </c>
      <c r="AO92" s="59">
        <f t="shared" si="90"/>
        <v>331.25104323342907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113.05143853638715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113.05143853638715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277.99999999999994</v>
      </c>
      <c r="BE92" s="13">
        <f>BD92*VLOOKUP('Données projet'!$B$11,Paramètres!$A$1:$I$89,3,0)*VLOOKUP('Données projet'!$B$11,Paramètres!$A$1:$I$89,5,0)</f>
        <v>151.78799999999998</v>
      </c>
      <c r="BF92" s="13">
        <f t="shared" si="91"/>
        <v>38.984634390835623</v>
      </c>
      <c r="BG92" s="20">
        <f t="shared" si="61"/>
        <v>332.26233823070532</v>
      </c>
      <c r="BH92" s="59">
        <f t="shared" si="62"/>
        <v>606.28498194222891</v>
      </c>
      <c r="BI92" s="59">
        <f ca="1">AVERAGE(OFFSET($BH$3,0,0,'Données projet'!$E$11+1,1))-AVERAGE(OFFSET($H$3,0,0,'Données projet'!$E$11+1,1))</f>
        <v>215.37314197175104</v>
      </c>
      <c r="BJ92" s="59">
        <f t="shared" si="92"/>
        <v>361.17630426655978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11.410064275694088</v>
      </c>
      <c r="BQ92" s="21">
        <f>EXP(-LN(2)/25)*BQ91+(1-EXP(-LN(2)/25))/(LN(2)/25)*Calculateur!BL92*Calculateur!BN92*VLOOKUP('Données projet'!$B$11,Paramètres!$A$1:$I$89,3,0)*0.475*44/12</f>
        <v>18.708027971036397</v>
      </c>
      <c r="BR92" s="21">
        <f>EXP(-LN(2)/2)*BR91+(1-EXP(-LN(2)/2))/(LN(2)/2)*BL92*BO92*VLOOKUP('Données projet'!$B$11,Paramètres!$A$1:$I$89,3,0)*0.475*44/12</f>
        <v>3.3395860908703434E-11</v>
      </c>
      <c r="BS92" s="22">
        <f t="shared" si="63"/>
        <v>30.118092246763879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0.8600000000003547</v>
      </c>
      <c r="BZ92" s="13">
        <f>BY92*VLOOKUP('Données projet'!$B$12,Paramètres!$A$1:$I$89,3,0)*VLOOKUP('Données projet'!$B$12,Paramètres!$A$1:$I$89,5,0)</f>
        <v>0.48074000000019829</v>
      </c>
      <c r="CA92" s="13">
        <f t="shared" si="93"/>
        <v>0.24126147010950588</v>
      </c>
      <c r="CB92" s="20">
        <f t="shared" si="64"/>
        <v>1.2574858937744013</v>
      </c>
      <c r="CC92" s="59">
        <f t="shared" si="65"/>
        <v>275.28012960529799</v>
      </c>
      <c r="CD92" s="59">
        <f ca="1">AVERAGE(OFFSET($CC$3,0,0,'Données projet'!$E$12+1,1))-AVERAGE(OFFSET($H$3,0,0,'Données projet'!$E$12+1,1))</f>
        <v>420.4890915162182</v>
      </c>
      <c r="CE92" s="59">
        <f t="shared" si="94"/>
        <v>553.48432338023565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189.61311488503432</v>
      </c>
      <c r="CL92" s="21">
        <f>EXP(-LN(2)/25)*CL91+(1-EXP(-LN(2)/25))/(LN(2)/25)*Calculateur!CG92*Calculateur!CI92*VLOOKUP('Données projet'!$B$12,Paramètres!$A$1:$I$89,3,0)*0.475*44/12</f>
        <v>9.8508358831199025</v>
      </c>
      <c r="CM92" s="21">
        <f>EXP(-LN(2)/2)*CM91+(1-EXP(-LN(2)/2))/(LN(2)/2)*CG92*CJ92*VLOOKUP('Données projet'!$B$12,Paramètres!$A$1:$I$89,3,0)*0.475*44/12</f>
        <v>9.7454120151596584E-10</v>
      </c>
      <c r="CN92" s="22">
        <f t="shared" si="66"/>
        <v>199.46395076912879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367.99999999999972</v>
      </c>
      <c r="CU92" s="17">
        <f>CT92*VLOOKUP('Données projet'!$B$13,Paramètres!$A$1:$I$89,3,0)*VLOOKUP('Données projet'!$B$13,Paramètres!$A$1:$I$89,5,0)</f>
        <v>269.8175999999998</v>
      </c>
      <c r="CV92" s="13">
        <f t="shared" si="95"/>
        <v>64.810557882019467</v>
      </c>
      <c r="CW92" s="20">
        <f t="shared" si="67"/>
        <v>582.81070831118348</v>
      </c>
      <c r="CX92" s="59">
        <f t="shared" si="68"/>
        <v>856.833352022707</v>
      </c>
      <c r="CY92" s="59">
        <f ca="1">AVERAGE(OFFSET($CX$3,0,0,'Données projet'!$E$13+1,1))-AVERAGE(OFFSET($H$3,0,0,'Données projet'!$E$13+1,1))</f>
        <v>400.48995908576177</v>
      </c>
      <c r="CZ92" s="59">
        <f t="shared" si="96"/>
        <v>384.86917865380076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38.558814403922007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38.558814403922007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367.99999999999972</v>
      </c>
      <c r="DP92" s="17">
        <f>DO92*VLOOKUP('Données projet'!$B$14,Paramètres!$A$1:$I$89,3,0)*VLOOKUP('Données projet'!$B$14,Paramètres!$A$1:$I$89,5,0)</f>
        <v>292.78079999999977</v>
      </c>
      <c r="DQ92" s="13">
        <f t="shared" si="97"/>
        <v>69.660903052386217</v>
      </c>
      <c r="DR92" s="20">
        <f t="shared" si="70"/>
        <v>631.25263281623893</v>
      </c>
      <c r="DS92" s="59">
        <f t="shared" si="71"/>
        <v>905.27527652776257</v>
      </c>
      <c r="DT92" s="59">
        <f ca="1">AVERAGE(OFFSET($DS$3,0,0,'Données projet'!$E$14+1,1))-AVERAGE(OFFSET($H$3,0,0,'Données projet'!$E$14+1,1))</f>
        <v>429.30603040255431</v>
      </c>
      <c r="DU92" s="59">
        <f t="shared" si="98"/>
        <v>412.18613903804726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51.570744846017369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51.570744846017369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210.25641025641013</v>
      </c>
      <c r="EK92" s="17">
        <f>EJ92*VLOOKUP('Données projet'!$B$15,Paramètres!$A$1:$I$89,3,0)*VLOOKUP('Données projet'!$B$15,Paramètres!$A$1:$I$89,5,0)</f>
        <v>163.99999999999991</v>
      </c>
      <c r="EL92" s="13">
        <f t="shared" si="99"/>
        <v>41.743425908362248</v>
      </c>
      <c r="EM92" s="20">
        <f t="shared" si="73"/>
        <v>358.33646679039742</v>
      </c>
      <c r="EN92" s="59">
        <f t="shared" si="74"/>
        <v>632.35911050192101</v>
      </c>
      <c r="EO92" s="59">
        <f ca="1">AVERAGE(OFFSET($EN$3,0,0,'Données projet'!$E$15+1,1))-AVERAGE(OFFSET($H$3,0,0,'Données projet'!$E$15+1,1))</f>
        <v>217.53602321474159</v>
      </c>
      <c r="EP92" s="59">
        <f t="shared" si="100"/>
        <v>215.75909414893025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21.732922247610578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21.732922247610578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>
        <f>VLOOKUP(A92,'Données projet'!$A$217:$I$237,2,0)</f>
        <v>429.83</v>
      </c>
      <c r="FC92" s="12">
        <f>VLOOKUP(A92,'Données projet'!$A$217:$I$237,9,0)</f>
        <v>10.41</v>
      </c>
      <c r="FD92" s="12">
        <f t="array" ref="FD92">INDEX(FC:FC,MIN(IF(ISNUMBER(FC92:FC288),ROW(FC92:FC288),"")))</f>
        <v>10.41</v>
      </c>
      <c r="FE92" s="12">
        <f>IF('Données projet'!$A$218&gt;35,FE91+FD92-FM91,IF(A92&lt;'Données projet'!$A$218,$FB$205^A92,IF(A92='Données projet'!$A$218,'Données projet'!$B$218,FE91+FD92-FM91)))</f>
        <v>429.8300000000001</v>
      </c>
      <c r="FF92" s="17">
        <f>FE92*VLOOKUP('Données projet'!$B$16,Paramètres!$A$1:$I$89,3,0)*VLOOKUP('Données projet'!$B$16,Paramètres!$A$1:$I$89,5,0)</f>
        <v>288.32996400000007</v>
      </c>
      <c r="FG92" s="13">
        <f t="shared" si="101"/>
        <v>68.72435499106922</v>
      </c>
      <c r="FH92" s="20">
        <f t="shared" si="76"/>
        <v>621.86960557611235</v>
      </c>
      <c r="FI92" s="59">
        <f t="shared" si="77"/>
        <v>895.89224928763588</v>
      </c>
      <c r="FJ92" s="59">
        <f ca="1">AVERAGE(OFFSET($FI$3,0,0,'Données projet'!$E$16+1,1))-AVERAGE(OFFSET($H$3,0,0,'Données projet'!$E$16+1,1))</f>
        <v>441.20130048888439</v>
      </c>
      <c r="FK92" s="59">
        <f t="shared" si="102"/>
        <v>237.47732532183946</v>
      </c>
      <c r="FL92" s="15">
        <f>IF(ISNA(VLOOKUP(A92,'Données projet'!$A$217:$I$237,3,0)),0,VLOOKUP(A92,'Données projet'!$A$217:$I$237,3,0))</f>
        <v>8</v>
      </c>
      <c r="FM92" s="15">
        <f>IF(ISNA(VLOOKUP(A92,'Données projet'!$A$217:$I$237,4,0)),0,VLOOKUP(A92,'Données projet'!$A$217:$I$237,4,0))</f>
        <v>64.5</v>
      </c>
      <c r="FN92" s="16">
        <f>IF(ISNA(VLOOKUP(A92,'Données projet'!$A$217:$I$237,5,0)),0%,VLOOKUP(A92,'Données projet'!$A$217:$I$237,5,0)*VLOOKUP('Données projet'!$B$16,Paramètres!$A$1:$I$89,7,0))</f>
        <v>0.53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110.92540471635222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110.92540471635222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3.4</v>
      </c>
      <c r="FZ92" s="12">
        <f>IF('Données projet'!$A$244&gt;35,FZ91+FY92-GH91,IF(A92&lt;'Données projet'!$A$244,$FW$205^A92,IF(A92='Données projet'!$A$244,'Données projet'!$B$244,FZ91+FY92-GH91)))</f>
        <v>213.60000000000016</v>
      </c>
      <c r="GA92" s="17">
        <f>FZ92*VLOOKUP('Données projet'!$B$17,Paramètres!$A$1:$I$89,3,0)*VLOOKUP('Données projet'!$B$17,Paramètres!$A$1:$I$89,5,0)</f>
        <v>139.9507200000001</v>
      </c>
      <c r="GB92" s="13">
        <f t="shared" si="103"/>
        <v>36.285715907711953</v>
      </c>
      <c r="GC92" s="20">
        <f t="shared" si="79"/>
        <v>306.94512587259851</v>
      </c>
      <c r="GD92" s="59">
        <f t="shared" si="80"/>
        <v>580.96776958412215</v>
      </c>
      <c r="GE92" s="59">
        <f ca="1">AVERAGE(OFFSET($GD$3,0,0,'Données projet'!$E$17+1,1))-AVERAGE(OFFSET($H$3,0,0,'Données projet'!$E$17+1,1))</f>
        <v>257.66104339896992</v>
      </c>
      <c r="GF92" s="59">
        <f t="shared" si="104"/>
        <v>254.79488636184996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36.071321008075479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36.071321008075479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3.6</v>
      </c>
      <c r="GU92" s="12">
        <f>IF('Données projet'!$A$270&gt;35,GU91+GT92-HC91,IF(A92&lt;'Données projet'!$A$270,$GR$205^A92,IF(A92='Données projet'!$A$270,'Données projet'!$B$270,GU91+GT92-HC91)))</f>
        <v>242.40000000000003</v>
      </c>
      <c r="GV92" s="17">
        <f>GU92*VLOOKUP('Données projet'!$B$18,Paramètres!$A$1:$I$89,3,0)*VLOOKUP('Données projet'!$B$18,Paramètres!$A$1:$I$89,5,0)</f>
        <v>196.63488000000004</v>
      </c>
      <c r="GW92" s="13">
        <f t="shared" si="105"/>
        <v>49.003887420349095</v>
      </c>
      <c r="GX92" s="20">
        <f t="shared" si="82"/>
        <v>427.82085325710801</v>
      </c>
      <c r="GY92" s="59">
        <f t="shared" si="83"/>
        <v>701.8434969686316</v>
      </c>
      <c r="GZ92" s="59">
        <f ca="1">AVERAGE(OFFSET($GY$3,0,0,'Données projet'!$E$18+1,1))-AVERAGE(OFFSET($H$3,0,0,'Données projet'!$E$18+1,1))</f>
        <v>299.98377156721153</v>
      </c>
      <c r="HA92" s="59">
        <f t="shared" si="106"/>
        <v>241.36164657721102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34.011566003112314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34.011566003112314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9.9470000000000027</v>
      </c>
      <c r="N93" s="13">
        <f>IF('Données projet'!$A$36&gt;35,N92+M93-V92,IF(A93&lt;'Données projet'!$A$36,$K$205^A93,IF(A93='Données projet'!$A$36,'Données projet'!$B$36,N92+M93-V92)))</f>
        <v>375.2770000000001</v>
      </c>
      <c r="O93" s="13">
        <f>N93*VLOOKUP('Données projet'!$B$9,Paramètres!$A$1:$I$89,3,0)*VLOOKUP('Données projet'!$B$9,Paramètres!$A$1:$I$89,5,0)</f>
        <v>339.55062960000009</v>
      </c>
      <c r="P93" s="13">
        <f t="shared" si="87"/>
        <v>79.407096506902036</v>
      </c>
      <c r="Q93" s="20">
        <f t="shared" si="54"/>
        <v>729.68470630285447</v>
      </c>
      <c r="R93" s="59">
        <f t="shared" si="55"/>
        <v>1004.0423473070821</v>
      </c>
      <c r="S93" s="59">
        <f ca="1">AVERAGE(OFFSET($R$3,0,0,'Données projet'!$E$9+1,1))-AVERAGE(OFFSET($H$3,0,0,'Données projet'!$E$9+1,1))</f>
        <v>567.42635821507474</v>
      </c>
      <c r="T93" s="59">
        <f t="shared" si="88"/>
        <v>299.04735309930152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119.00968039406574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119.00968039406574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451</v>
      </c>
      <c r="AG93" s="12">
        <f>VLOOKUP(A93,'Données projet'!$A$61:$I$81,9,0)</f>
        <v>9.1999999999999993</v>
      </c>
      <c r="AH93" s="12">
        <f t="array" ref="AH93">INDEX(AG:AG,MIN(IF(ISNUMBER(AG93:AG289),ROW(AG93:AG289),"")))</f>
        <v>9.1999999999999993</v>
      </c>
      <c r="AI93" s="13">
        <f>IF('Données projet'!$A$62&gt;35,AI92+AH93-AQ92,IF(A93&lt;'Données projet'!$A$62,$AF$205^A93,IF(A93='Données projet'!$A$62,'Données projet'!$B$62,AI92+AH93-AQ92)))</f>
        <v>450.99999999999994</v>
      </c>
      <c r="AJ93" s="13">
        <f>AI93*VLOOKUP('Données projet'!$B$10,Paramètres!$A$1:$I$89,3,0)*VLOOKUP('Données projet'!$B$10,Paramètres!$A$1:$I$89,5,0)</f>
        <v>386.95799999999997</v>
      </c>
      <c r="AK93" s="13">
        <f t="shared" si="89"/>
        <v>89.12752051283708</v>
      </c>
      <c r="AL93" s="20">
        <f t="shared" si="58"/>
        <v>829.18228155985787</v>
      </c>
      <c r="AM93" s="59">
        <f t="shared" si="59"/>
        <v>1103.5399225640856</v>
      </c>
      <c r="AN93" s="59">
        <f ca="1">AVERAGE(OFFSET($AM$3,0,0,'Données projet'!$E$10+1,1))-AVERAGE(OFFSET($H$3,0,0,'Données projet'!$E$10+1,1))</f>
        <v>569.97793593332699</v>
      </c>
      <c r="AO93" s="59">
        <f t="shared" si="90"/>
        <v>331.25104323342907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31</v>
      </c>
      <c r="AR93" s="16">
        <f>IF(ISNA(VLOOKUP(A93,'Données projet'!$A$61:$I$81,5,0)),0%,VLOOKUP(A93,'Données projet'!$A$61:$I$81,5,0)*VLOOKUP('Données projet'!$B$10,Paramètres!$A$1:$I$89,7,0))</f>
        <v>0.53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126.41831839331063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126.41831839331063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277.99999999999994</v>
      </c>
      <c r="BE93" s="13">
        <f>BD93*VLOOKUP('Données projet'!$B$11,Paramètres!$A$1:$I$89,3,0)*VLOOKUP('Données projet'!$B$11,Paramètres!$A$1:$I$89,5,0)</f>
        <v>151.78799999999998</v>
      </c>
      <c r="BF93" s="13">
        <f t="shared" si="91"/>
        <v>38.984634390835623</v>
      </c>
      <c r="BG93" s="20">
        <f t="shared" si="61"/>
        <v>332.26233823070532</v>
      </c>
      <c r="BH93" s="59">
        <f t="shared" si="62"/>
        <v>606.619979234933</v>
      </c>
      <c r="BI93" s="59">
        <f ca="1">AVERAGE(OFFSET($BH$3,0,0,'Données projet'!$E$11+1,1))-AVERAGE(OFFSET($H$3,0,0,'Données projet'!$E$11+1,1))</f>
        <v>215.37314197175104</v>
      </c>
      <c r="BJ93" s="59">
        <f t="shared" si="92"/>
        <v>361.17630426655978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11.186319874699747</v>
      </c>
      <c r="BQ93" s="21">
        <f>EXP(-LN(2)/25)*BQ92+(1-EXP(-LN(2)/25))/(LN(2)/25)*Calculateur!BL93*Calculateur!BN93*VLOOKUP('Données projet'!$B$11,Paramètres!$A$1:$I$89,3,0)*0.475*44/12</f>
        <v>18.196455962355973</v>
      </c>
      <c r="BR93" s="21">
        <f>EXP(-LN(2)/2)*BR92+(1-EXP(-LN(2)/2))/(LN(2)/2)*BL93*BO93*VLOOKUP('Données projet'!$B$11,Paramètres!$A$1:$I$89,3,0)*0.475*44/12</f>
        <v>2.3614439712106936E-11</v>
      </c>
      <c r="BS93" s="22">
        <f t="shared" si="63"/>
        <v>29.382775837079333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0.8600000000003547</v>
      </c>
      <c r="BZ93" s="13">
        <f>BY93*VLOOKUP('Données projet'!$B$12,Paramètres!$A$1:$I$89,3,0)*VLOOKUP('Données projet'!$B$12,Paramètres!$A$1:$I$89,5,0)</f>
        <v>0.48074000000019829</v>
      </c>
      <c r="CA93" s="13">
        <f t="shared" si="93"/>
        <v>0.24126147010950588</v>
      </c>
      <c r="CB93" s="20">
        <f t="shared" si="64"/>
        <v>1.2574858937744013</v>
      </c>
      <c r="CC93" s="59">
        <f t="shared" si="65"/>
        <v>275.61512689800207</v>
      </c>
      <c r="CD93" s="59">
        <f ca="1">AVERAGE(OFFSET($CC$3,0,0,'Données projet'!$E$12+1,1))-AVERAGE(OFFSET($H$3,0,0,'Données projet'!$E$12+1,1))</f>
        <v>420.4890915162182</v>
      </c>
      <c r="CE93" s="59">
        <f t="shared" si="94"/>
        <v>553.48432338023565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185.89491735471913</v>
      </c>
      <c r="CL93" s="21">
        <f>EXP(-LN(2)/25)*CL92+(1-EXP(-LN(2)/25))/(LN(2)/25)*Calculateur!CG93*Calculateur!CI93*VLOOKUP('Données projet'!$B$12,Paramètres!$A$1:$I$89,3,0)*0.475*44/12</f>
        <v>9.5814642578630433</v>
      </c>
      <c r="CM93" s="21">
        <f>EXP(-LN(2)/2)*CM92+(1-EXP(-LN(2)/2))/(LN(2)/2)*CG93*CJ93*VLOOKUP('Données projet'!$B$12,Paramètres!$A$1:$I$89,3,0)*0.475*44/12</f>
        <v>6.891046921376252E-10</v>
      </c>
      <c r="CN93" s="22">
        <f t="shared" si="66"/>
        <v>195.47638161327129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367.99999999999972</v>
      </c>
      <c r="CU93" s="17">
        <f>CT93*VLOOKUP('Données projet'!$B$13,Paramètres!$A$1:$I$89,3,0)*VLOOKUP('Données projet'!$B$13,Paramètres!$A$1:$I$89,5,0)</f>
        <v>269.8175999999998</v>
      </c>
      <c r="CV93" s="13">
        <f t="shared" si="95"/>
        <v>64.810557882019467</v>
      </c>
      <c r="CW93" s="20">
        <f t="shared" si="67"/>
        <v>582.81070831118348</v>
      </c>
      <c r="CX93" s="59">
        <f t="shared" si="68"/>
        <v>857.16834931541121</v>
      </c>
      <c r="CY93" s="59">
        <f ca="1">AVERAGE(OFFSET($CX$3,0,0,'Données projet'!$E$13+1,1))-AVERAGE(OFFSET($H$3,0,0,'Données projet'!$E$13+1,1))</f>
        <v>400.48995908576177</v>
      </c>
      <c r="CZ93" s="59">
        <f t="shared" si="96"/>
        <v>384.86917865380076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37.802699572015619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37.802699572015619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367.99999999999972</v>
      </c>
      <c r="DP93" s="17">
        <f>DO93*VLOOKUP('Données projet'!$B$14,Paramètres!$A$1:$I$89,3,0)*VLOOKUP('Données projet'!$B$14,Paramètres!$A$1:$I$89,5,0)</f>
        <v>292.78079999999977</v>
      </c>
      <c r="DQ93" s="13">
        <f t="shared" si="97"/>
        <v>69.660903052386217</v>
      </c>
      <c r="DR93" s="20">
        <f t="shared" si="70"/>
        <v>631.25263281623893</v>
      </c>
      <c r="DS93" s="59">
        <f t="shared" si="71"/>
        <v>905.61027382046655</v>
      </c>
      <c r="DT93" s="59">
        <f ca="1">AVERAGE(OFFSET($DS$3,0,0,'Données projet'!$E$14+1,1))-AVERAGE(OFFSET($H$3,0,0,'Données projet'!$E$14+1,1))</f>
        <v>429.30603040255431</v>
      </c>
      <c r="DU93" s="59">
        <f t="shared" si="98"/>
        <v>412.18613903804726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50.559473994635397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50.559473994635397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210.25641025641013</v>
      </c>
      <c r="EK93" s="17">
        <f>EJ93*VLOOKUP('Données projet'!$B$15,Paramètres!$A$1:$I$89,3,0)*VLOOKUP('Données projet'!$B$15,Paramètres!$A$1:$I$89,5,0)</f>
        <v>163.99999999999991</v>
      </c>
      <c r="EL93" s="13">
        <f t="shared" si="99"/>
        <v>41.743425908362248</v>
      </c>
      <c r="EM93" s="20">
        <f t="shared" si="73"/>
        <v>358.33646679039742</v>
      </c>
      <c r="EN93" s="59">
        <f t="shared" si="74"/>
        <v>632.6941077946251</v>
      </c>
      <c r="EO93" s="59">
        <f ca="1">AVERAGE(OFFSET($EN$3,0,0,'Données projet'!$E$15+1,1))-AVERAGE(OFFSET($H$3,0,0,'Données projet'!$E$15+1,1))</f>
        <v>217.53602321474159</v>
      </c>
      <c r="EP93" s="59">
        <f t="shared" si="100"/>
        <v>215.75909414893025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21.306752898108606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21.306752898108606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9.9470000000000027</v>
      </c>
      <c r="FE93" s="12">
        <f>IF('Données projet'!$A$218&gt;35,FE92+FD93-FM92,IF(A93&lt;'Données projet'!$A$218,$FB$205^A93,IF(A93='Données projet'!$A$218,'Données projet'!$B$218,FE92+FD93-FM92)))</f>
        <v>375.2770000000001</v>
      </c>
      <c r="FF93" s="17">
        <f>FE93*VLOOKUP('Données projet'!$B$16,Paramètres!$A$1:$I$89,3,0)*VLOOKUP('Données projet'!$B$16,Paramètres!$A$1:$I$89,5,0)</f>
        <v>251.73581160000006</v>
      </c>
      <c r="FG93" s="13">
        <f t="shared" si="101"/>
        <v>60.957488966067835</v>
      </c>
      <c r="FH93" s="20">
        <f t="shared" si="76"/>
        <v>544.6074984859016</v>
      </c>
      <c r="FI93" s="59">
        <f t="shared" si="77"/>
        <v>818.96513949012933</v>
      </c>
      <c r="FJ93" s="59">
        <f ca="1">AVERAGE(OFFSET($FI$3,0,0,'Données projet'!$E$16+1,1))-AVERAGE(OFFSET($H$3,0,0,'Données projet'!$E$16+1,1))</f>
        <v>441.20130048888439</v>
      </c>
      <c r="FK93" s="59">
        <f t="shared" si="102"/>
        <v>237.47732532183946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108.75022518768077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108.75022518768077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217</v>
      </c>
      <c r="FX93" s="12">
        <f>VLOOKUP(A93,'Données projet'!$A$243:$I$263,9,0)</f>
        <v>3.4</v>
      </c>
      <c r="FY93" s="12">
        <f t="array" ref="FY93">INDEX(FX:FX,MIN(IF(ISNUMBER(FX93:FX289),ROW(FX93:FX289),"")))</f>
        <v>3.4</v>
      </c>
      <c r="FZ93" s="12">
        <f>IF('Données projet'!$A$244&gt;35,FZ92+FY93-GH92,IF(A93&lt;'Données projet'!$A$244,$FW$205^A93,IF(A93='Données projet'!$A$244,'Données projet'!$B$244,FZ92+FY93-GH92)))</f>
        <v>217.00000000000017</v>
      </c>
      <c r="GA93" s="17">
        <f>FZ93*VLOOKUP('Données projet'!$B$17,Paramètres!$A$1:$I$89,3,0)*VLOOKUP('Données projet'!$B$17,Paramètres!$A$1:$I$89,5,0)</f>
        <v>142.17840000000012</v>
      </c>
      <c r="GB93" s="13">
        <f t="shared" si="103"/>
        <v>36.795597013009385</v>
      </c>
      <c r="GC93" s="20">
        <f t="shared" si="79"/>
        <v>311.71304479765826</v>
      </c>
      <c r="GD93" s="59">
        <f t="shared" si="80"/>
        <v>586.07068580188593</v>
      </c>
      <c r="GE93" s="59">
        <f ca="1">AVERAGE(OFFSET($GD$3,0,0,'Données projet'!$E$17+1,1))-AVERAGE(OFFSET($H$3,0,0,'Données projet'!$E$17+1,1))</f>
        <v>257.66104339896992</v>
      </c>
      <c r="GF93" s="59">
        <f t="shared" si="104"/>
        <v>254.79488636184996</v>
      </c>
      <c r="GG93" s="15">
        <f>IF(ISNA(VLOOKUP(A93,'Données projet'!$A$243:$I$263,3,0)),0,VLOOKUP(A93,'Données projet'!$A$243:$I$263,3,0))</f>
        <v>17</v>
      </c>
      <c r="GH93" s="15">
        <f>IF(ISNA(VLOOKUP(A93,'Données projet'!$A$243:$I$263,4,0)),0,VLOOKUP(A93,'Données projet'!$A$243:$I$263,4,0))</f>
        <v>13</v>
      </c>
      <c r="GI93" s="16">
        <f>IF(ISNA(VLOOKUP(A93,'Données projet'!$A$243:$I$263,5,0)),0%,VLOOKUP(A93,'Données projet'!$A$243:$I$263,5,0)*VLOOKUP('Données projet'!$B$17,Paramètres!$A$1:$I$89,7,0))</f>
        <v>0.43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39.41284484146572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39.41284484146572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246</v>
      </c>
      <c r="GS93" s="12">
        <f>VLOOKUP(A93,'Données projet'!$A$269:$I$289,9,0)</f>
        <v>3.6</v>
      </c>
      <c r="GT93" s="12">
        <f t="array" ref="GT93">INDEX(GS:GS,MIN(IF(ISNUMBER(GS93:GS289),ROW(GS93:GS289),"")))</f>
        <v>3.6</v>
      </c>
      <c r="GU93" s="12">
        <f>IF('Données projet'!$A$270&gt;35,GU92+GT93-HC92,IF(A93&lt;'Données projet'!$A$270,$GR$205^A93,IF(A93='Données projet'!$A$270,'Données projet'!$B$270,GU92+GT93-HC92)))</f>
        <v>246.00000000000003</v>
      </c>
      <c r="GV93" s="17">
        <f>GU93*VLOOKUP('Données projet'!$B$18,Paramètres!$A$1:$I$89,3,0)*VLOOKUP('Données projet'!$B$18,Paramètres!$A$1:$I$89,5,0)</f>
        <v>199.55520000000004</v>
      </c>
      <c r="GW93" s="13">
        <f t="shared" si="105"/>
        <v>49.646401484745567</v>
      </c>
      <c r="GX93" s="20">
        <f t="shared" si="82"/>
        <v>434.02612258593189</v>
      </c>
      <c r="GY93" s="59">
        <f t="shared" si="83"/>
        <v>708.38376359015956</v>
      </c>
      <c r="GZ93" s="59">
        <f ca="1">AVERAGE(OFFSET($GY$3,0,0,'Données projet'!$E$18+1,1))-AVERAGE(OFFSET($H$3,0,0,'Données projet'!$E$18+1,1))</f>
        <v>299.98377156721153</v>
      </c>
      <c r="HA93" s="59">
        <f t="shared" si="106"/>
        <v>241.36164657721102</v>
      </c>
      <c r="HB93" s="15">
        <f>IF(ISNA(VLOOKUP(A93,'Données projet'!$A$269:$I$289,3,0)),0,VLOOKUP(A93,'Données projet'!$A$269:$I$289,3,0))</f>
        <v>15</v>
      </c>
      <c r="HC93" s="15">
        <f>IF(ISNA(VLOOKUP(A93,'Données projet'!$A$269:$I$289,4,0)),0,VLOOKUP(A93,'Données projet'!$A$269:$I$289,4,0))</f>
        <v>12</v>
      </c>
      <c r="HD93" s="16">
        <f>IF(ISNA(VLOOKUP(A93,'Données projet'!$A$269:$I$289,5,0)),0%,VLOOKUP(A93,'Données projet'!$A$269:$I$289,5,0)*VLOOKUP('Données projet'!$B$18,Paramètres!$A$1:$I$89,7,0))</f>
        <v>0.43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37.971889009684133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37.971889009684133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9.9470000000000027</v>
      </c>
      <c r="N94" s="13">
        <f>IF('Données projet'!$A$36&gt;35,N93+M94-V93,IF(A94&lt;'Données projet'!$A$36,$K$205^A94,IF(A94='Données projet'!$A$36,'Données projet'!$B$36,N93+M94-V93)))</f>
        <v>385.2240000000001</v>
      </c>
      <c r="O94" s="13">
        <f>N94*VLOOKUP('Données projet'!$B$9,Paramètres!$A$1:$I$89,3,0)*VLOOKUP('Données projet'!$B$9,Paramètres!$A$1:$I$89,5,0)</f>
        <v>348.55067520000006</v>
      </c>
      <c r="P94" s="13">
        <f t="shared" si="87"/>
        <v>81.264008176199866</v>
      </c>
      <c r="Q94" s="20">
        <f t="shared" si="54"/>
        <v>748.59390688021483</v>
      </c>
      <c r="R94" s="59">
        <f t="shared" si="55"/>
        <v>1023.2807337230599</v>
      </c>
      <c r="S94" s="59">
        <f ca="1">AVERAGE(OFFSET($R$3,0,0,'Données projet'!$E$9+1,1))-AVERAGE(OFFSET($H$3,0,0,'Données projet'!$E$9+1,1))</f>
        <v>567.42635821507474</v>
      </c>
      <c r="T94" s="59">
        <f t="shared" si="88"/>
        <v>299.04735309930152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116.67597315027561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116.67597315027561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</v>
      </c>
      <c r="AI94" s="13">
        <f>IF('Données projet'!$A$62&gt;35,AI93+AH94-AQ93,IF(A94&lt;'Données projet'!$A$62,$AF$205^A94,IF(A94='Données projet'!$A$62,'Données projet'!$B$62,AI93+AH94-AQ93)))</f>
        <v>428.59999999999997</v>
      </c>
      <c r="AJ94" s="13">
        <f>AI94*VLOOKUP('Données projet'!$B$10,Paramètres!$A$1:$I$89,3,0)*VLOOKUP('Données projet'!$B$10,Paramètres!$A$1:$I$89,5,0)</f>
        <v>367.73879999999997</v>
      </c>
      <c r="AK94" s="13">
        <f t="shared" si="89"/>
        <v>85.20453819128241</v>
      </c>
      <c r="AL94" s="20">
        <f t="shared" si="58"/>
        <v>788.87631401648343</v>
      </c>
      <c r="AM94" s="59">
        <f t="shared" si="59"/>
        <v>1063.5631408593285</v>
      </c>
      <c r="AN94" s="59">
        <f ca="1">AVERAGE(OFFSET($AM$3,0,0,'Données projet'!$E$10+1,1))-AVERAGE(OFFSET($H$3,0,0,'Données projet'!$E$10+1,1))</f>
        <v>569.97793593332699</v>
      </c>
      <c r="AO94" s="59">
        <f t="shared" si="90"/>
        <v>331.25104323342907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123.93933227717828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123.93933227717828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277.99999999999994</v>
      </c>
      <c r="BE94" s="13">
        <f>BD94*VLOOKUP('Données projet'!$B$11,Paramètres!$A$1:$I$89,3,0)*VLOOKUP('Données projet'!$B$11,Paramètres!$A$1:$I$89,5,0)</f>
        <v>151.78799999999998</v>
      </c>
      <c r="BF94" s="13">
        <f t="shared" si="91"/>
        <v>38.984634390835623</v>
      </c>
      <c r="BG94" s="20">
        <f t="shared" si="61"/>
        <v>332.26233823070532</v>
      </c>
      <c r="BH94" s="59">
        <f t="shared" si="62"/>
        <v>606.94916507355038</v>
      </c>
      <c r="BI94" s="59">
        <f ca="1">AVERAGE(OFFSET($BH$3,0,0,'Données projet'!$E$11+1,1))-AVERAGE(OFFSET($H$3,0,0,'Données projet'!$E$11+1,1))</f>
        <v>215.37314197175104</v>
      </c>
      <c r="BJ94" s="59">
        <f t="shared" si="92"/>
        <v>361.17630426655978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10.966962964938295</v>
      </c>
      <c r="BQ94" s="21">
        <f>EXP(-LN(2)/25)*BQ93+(1-EXP(-LN(2)/25))/(LN(2)/25)*Calculateur!BL94*Calculateur!BN94*VLOOKUP('Données projet'!$B$11,Paramètres!$A$1:$I$89,3,0)*0.475*44/12</f>
        <v>17.698872917155317</v>
      </c>
      <c r="BR94" s="21">
        <f>EXP(-LN(2)/2)*BR93+(1-EXP(-LN(2)/2))/(LN(2)/2)*BL94*BO94*VLOOKUP('Données projet'!$B$11,Paramètres!$A$1:$I$89,3,0)*0.475*44/12</f>
        <v>1.6697930454351717E-11</v>
      </c>
      <c r="BS94" s="22">
        <f t="shared" si="63"/>
        <v>28.665835882110308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0.8600000000003547</v>
      </c>
      <c r="BZ94" s="13">
        <f>BY94*VLOOKUP('Données projet'!$B$12,Paramètres!$A$1:$I$89,3,0)*VLOOKUP('Données projet'!$B$12,Paramètres!$A$1:$I$89,5,0)</f>
        <v>0.48074000000019829</v>
      </c>
      <c r="CA94" s="13">
        <f t="shared" si="93"/>
        <v>0.24126147010950588</v>
      </c>
      <c r="CB94" s="20">
        <f t="shared" si="64"/>
        <v>1.2574858937744013</v>
      </c>
      <c r="CC94" s="59">
        <f t="shared" si="65"/>
        <v>275.94431273661945</v>
      </c>
      <c r="CD94" s="59">
        <f ca="1">AVERAGE(OFFSET($CC$3,0,0,'Données projet'!$E$12+1,1))-AVERAGE(OFFSET($H$3,0,0,'Données projet'!$E$12+1,1))</f>
        <v>420.4890915162182</v>
      </c>
      <c r="CE94" s="59">
        <f t="shared" si="94"/>
        <v>553.48432338023565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182.24963141009687</v>
      </c>
      <c r="CL94" s="21">
        <f>EXP(-LN(2)/25)*CL93+(1-EXP(-LN(2)/25))/(LN(2)/25)*Calculateur!CG94*Calculateur!CI94*VLOOKUP('Données projet'!$B$12,Paramètres!$A$1:$I$89,3,0)*0.475*44/12</f>
        <v>9.3194586138644713</v>
      </c>
      <c r="CM94" s="21">
        <f>EXP(-LN(2)/2)*CM93+(1-EXP(-LN(2)/2))/(LN(2)/2)*CG94*CJ94*VLOOKUP('Données projet'!$B$12,Paramètres!$A$1:$I$89,3,0)*0.475*44/12</f>
        <v>4.8727060075798292E-10</v>
      </c>
      <c r="CN94" s="22">
        <f t="shared" si="66"/>
        <v>191.5690900244486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367.99999999999972</v>
      </c>
      <c r="CU94" s="17">
        <f>CT94*VLOOKUP('Données projet'!$B$13,Paramètres!$A$1:$I$89,3,0)*VLOOKUP('Données projet'!$B$13,Paramètres!$A$1:$I$89,5,0)</f>
        <v>269.8175999999998</v>
      </c>
      <c r="CV94" s="13">
        <f t="shared" si="95"/>
        <v>64.810557882019467</v>
      </c>
      <c r="CW94" s="20">
        <f t="shared" si="67"/>
        <v>582.81070831118348</v>
      </c>
      <c r="CX94" s="59">
        <f t="shared" si="68"/>
        <v>857.49753515402858</v>
      </c>
      <c r="CY94" s="59">
        <f ca="1">AVERAGE(OFFSET($CX$3,0,0,'Données projet'!$E$13+1,1))-AVERAGE(OFFSET($H$3,0,0,'Données projet'!$E$13+1,1))</f>
        <v>400.48995908576177</v>
      </c>
      <c r="CZ94" s="59">
        <f t="shared" si="96"/>
        <v>384.86917865380076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37.061411690778407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37.061411690778407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367.99999999999972</v>
      </c>
      <c r="DP94" s="17">
        <f>DO94*VLOOKUP('Données projet'!$B$14,Paramètres!$A$1:$I$89,3,0)*VLOOKUP('Données projet'!$B$14,Paramètres!$A$1:$I$89,5,0)</f>
        <v>292.78079999999977</v>
      </c>
      <c r="DQ94" s="13">
        <f t="shared" si="97"/>
        <v>69.660903052386217</v>
      </c>
      <c r="DR94" s="20">
        <f t="shared" si="70"/>
        <v>631.25263281623893</v>
      </c>
      <c r="DS94" s="59">
        <f t="shared" si="71"/>
        <v>905.93945965908392</v>
      </c>
      <c r="DT94" s="59">
        <f ca="1">AVERAGE(OFFSET($DS$3,0,0,'Données projet'!$E$14+1,1))-AVERAGE(OFFSET($H$3,0,0,'Données projet'!$E$14+1,1))</f>
        <v>429.30603040255431</v>
      </c>
      <c r="DU94" s="59">
        <f t="shared" si="98"/>
        <v>412.18613903804726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49.568033547834709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49.568033547834709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210.25641025641013</v>
      </c>
      <c r="EK94" s="17">
        <f>EJ94*VLOOKUP('Données projet'!$B$15,Paramètres!$A$1:$I$89,3,0)*VLOOKUP('Données projet'!$B$15,Paramètres!$A$1:$I$89,5,0)</f>
        <v>163.99999999999991</v>
      </c>
      <c r="EL94" s="13">
        <f t="shared" si="99"/>
        <v>41.743425908362248</v>
      </c>
      <c r="EM94" s="20">
        <f t="shared" si="73"/>
        <v>358.33646679039742</v>
      </c>
      <c r="EN94" s="59">
        <f t="shared" si="74"/>
        <v>633.02329363324247</v>
      </c>
      <c r="EO94" s="59">
        <f ca="1">AVERAGE(OFFSET($EN$3,0,0,'Données projet'!$E$15+1,1))-AVERAGE(OFFSET($H$3,0,0,'Données projet'!$E$15+1,1))</f>
        <v>217.53602321474159</v>
      </c>
      <c r="EP94" s="59">
        <f t="shared" si="100"/>
        <v>215.75909414893025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20.888940469612731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20.888940469612731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9.9470000000000027</v>
      </c>
      <c r="FE94" s="12">
        <f>IF('Données projet'!$A$218&gt;35,FE93+FD94-FM93,IF(A94&lt;'Données projet'!$A$218,$FB$205^A94,IF(A94='Données projet'!$A$218,'Données projet'!$B$218,FE93+FD94-FM93)))</f>
        <v>385.2240000000001</v>
      </c>
      <c r="FF94" s="17">
        <f>FE94*VLOOKUP('Données projet'!$B$16,Paramètres!$A$1:$I$89,3,0)*VLOOKUP('Données projet'!$B$16,Paramètres!$A$1:$I$89,5,0)</f>
        <v>258.40825920000003</v>
      </c>
      <c r="FG94" s="13">
        <f t="shared" si="101"/>
        <v>62.382961972530694</v>
      </c>
      <c r="FH94" s="20">
        <f t="shared" si="76"/>
        <v>558.71137687549106</v>
      </c>
      <c r="FI94" s="59">
        <f t="shared" si="77"/>
        <v>833.39820371833616</v>
      </c>
      <c r="FJ94" s="59">
        <f ca="1">AVERAGE(OFFSET($FI$3,0,0,'Données projet'!$E$16+1,1))-AVERAGE(OFFSET($H$3,0,0,'Données projet'!$E$16+1,1))</f>
        <v>441.20130048888439</v>
      </c>
      <c r="FK94" s="59">
        <f t="shared" si="102"/>
        <v>237.47732532183946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106.61769960283806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106.61769960283806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204.00000000000017</v>
      </c>
      <c r="GA94" s="17">
        <f>FZ94*VLOOKUP('Données projet'!$B$17,Paramètres!$A$1:$I$89,3,0)*VLOOKUP('Données projet'!$B$17,Paramètres!$A$1:$I$89,5,0)</f>
        <v>133.66080000000011</v>
      </c>
      <c r="GB94" s="13">
        <f t="shared" si="103"/>
        <v>34.840890682716783</v>
      </c>
      <c r="GC94" s="20">
        <f t="shared" si="79"/>
        <v>293.4737779390652</v>
      </c>
      <c r="GD94" s="59">
        <f t="shared" si="80"/>
        <v>568.16060478191025</v>
      </c>
      <c r="GE94" s="59">
        <f ca="1">AVERAGE(OFFSET($GD$3,0,0,'Données projet'!$E$17+1,1))-AVERAGE(OFFSET($H$3,0,0,'Données projet'!$E$17+1,1))</f>
        <v>257.66104339896992</v>
      </c>
      <c r="GF94" s="59">
        <f t="shared" si="104"/>
        <v>254.79488636184996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38.63998299358623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38.63998299358623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234.00000000000003</v>
      </c>
      <c r="GV94" s="17">
        <f>GU94*VLOOKUP('Données projet'!$B$18,Paramètres!$A$1:$I$89,3,0)*VLOOKUP('Données projet'!$B$18,Paramètres!$A$1:$I$89,5,0)</f>
        <v>189.82080000000005</v>
      </c>
      <c r="GW94" s="13">
        <f t="shared" si="105"/>
        <v>47.500332100049796</v>
      </c>
      <c r="GX94" s="20">
        <f t="shared" si="82"/>
        <v>413.33430507425345</v>
      </c>
      <c r="GY94" s="59">
        <f t="shared" si="83"/>
        <v>688.0211319170985</v>
      </c>
      <c r="GZ94" s="59">
        <f ca="1">AVERAGE(OFFSET($GY$3,0,0,'Données projet'!$E$18+1,1))-AVERAGE(OFFSET($H$3,0,0,'Données projet'!$E$18+1,1))</f>
        <v>299.98377156721153</v>
      </c>
      <c r="HA94" s="59">
        <f t="shared" si="106"/>
        <v>241.36164657721102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37.22728342676961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37.22728342676961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9.9470000000000027</v>
      </c>
      <c r="N95" s="13">
        <f>IF('Données projet'!$A$36&gt;35,N94+M95-V94,IF(A95&lt;'Données projet'!$A$36,$K$205^A95,IF(A95='Données projet'!$A$36,'Données projet'!$B$36,N94+M95-V94)))</f>
        <v>395.17100000000011</v>
      </c>
      <c r="O95" s="13">
        <f>N95*VLOOKUP('Données projet'!$B$9,Paramètres!$A$1:$I$89,3,0)*VLOOKUP('Données projet'!$B$9,Paramètres!$A$1:$I$89,5,0)</f>
        <v>357.55072080000008</v>
      </c>
      <c r="P95" s="13">
        <f t="shared" si="87"/>
        <v>83.115346428782544</v>
      </c>
      <c r="Q95" s="20">
        <f t="shared" si="54"/>
        <v>767.49340042346296</v>
      </c>
      <c r="R95" s="59">
        <f t="shared" si="55"/>
        <v>1042.5037024665746</v>
      </c>
      <c r="S95" s="59">
        <f ca="1">AVERAGE(OFFSET($R$3,0,0,'Données projet'!$E$9+1,1))-AVERAGE(OFFSET($H$3,0,0,'Données projet'!$E$9+1,1))</f>
        <v>567.42635821507474</v>
      </c>
      <c r="T95" s="59">
        <f t="shared" si="88"/>
        <v>299.04735309930152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114.38802848211533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114.38802848211533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</v>
      </c>
      <c r="AI95" s="13">
        <f>IF('Données projet'!$A$62&gt;35,AI94+AH95-AQ94,IF(A95&lt;'Données projet'!$A$62,$AF$205^A95,IF(A95='Données projet'!$A$62,'Données projet'!$B$62,AI94+AH95-AQ94)))</f>
        <v>437.2</v>
      </c>
      <c r="AJ95" s="13">
        <f>AI95*VLOOKUP('Données projet'!$B$10,Paramètres!$A$1:$I$89,3,0)*VLOOKUP('Données projet'!$B$10,Paramètres!$A$1:$I$89,5,0)</f>
        <v>375.11760000000004</v>
      </c>
      <c r="AK95" s="13">
        <f t="shared" si="89"/>
        <v>86.713440086205196</v>
      </c>
      <c r="AL95" s="20">
        <f t="shared" si="58"/>
        <v>804.35572815014075</v>
      </c>
      <c r="AM95" s="59">
        <f t="shared" si="59"/>
        <v>1079.3660301932525</v>
      </c>
      <c r="AN95" s="59">
        <f ca="1">AVERAGE(OFFSET($AM$3,0,0,'Données projet'!$E$10+1,1))-AVERAGE(OFFSET($H$3,0,0,'Données projet'!$E$10+1,1))</f>
        <v>569.97793593332699</v>
      </c>
      <c r="AO95" s="59">
        <f t="shared" si="90"/>
        <v>331.25104323342907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121.50895756675106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121.50895756675106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277.99999999999994</v>
      </c>
      <c r="BE95" s="13">
        <f>BD95*VLOOKUP('Données projet'!$B$11,Paramètres!$A$1:$I$89,3,0)*VLOOKUP('Données projet'!$B$11,Paramètres!$A$1:$I$89,5,0)</f>
        <v>151.78799999999998</v>
      </c>
      <c r="BF95" s="13">
        <f t="shared" si="91"/>
        <v>38.984634390835623</v>
      </c>
      <c r="BG95" s="20">
        <f t="shared" si="61"/>
        <v>332.26233823070532</v>
      </c>
      <c r="BH95" s="59">
        <f t="shared" si="62"/>
        <v>607.27264027381705</v>
      </c>
      <c r="BI95" s="59">
        <f ca="1">AVERAGE(OFFSET($BH$3,0,0,'Données projet'!$E$11+1,1))-AVERAGE(OFFSET($H$3,0,0,'Données projet'!$E$11+1,1))</f>
        <v>215.37314197175104</v>
      </c>
      <c r="BJ95" s="59">
        <f t="shared" si="92"/>
        <v>361.17630426655978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10.751907510382761</v>
      </c>
      <c r="BQ95" s="21">
        <f>EXP(-LN(2)/25)*BQ94+(1-EXP(-LN(2)/25))/(LN(2)/25)*Calculateur!BL95*Calculateur!BN95*VLOOKUP('Données projet'!$B$11,Paramètres!$A$1:$I$89,3,0)*0.475*44/12</f>
        <v>17.214896306492431</v>
      </c>
      <c r="BR95" s="21">
        <f>EXP(-LN(2)/2)*BR94+(1-EXP(-LN(2)/2))/(LN(2)/2)*BL95*BO95*VLOOKUP('Données projet'!$B$11,Paramètres!$A$1:$I$89,3,0)*0.475*44/12</f>
        <v>1.1807219856053468E-11</v>
      </c>
      <c r="BS95" s="22">
        <f t="shared" si="63"/>
        <v>27.966803816886998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0.8600000000003547</v>
      </c>
      <c r="BZ95" s="13">
        <f>BY95*VLOOKUP('Données projet'!$B$12,Paramètres!$A$1:$I$89,3,0)*VLOOKUP('Données projet'!$B$12,Paramètres!$A$1:$I$89,5,0)</f>
        <v>0.48074000000019829</v>
      </c>
      <c r="CA95" s="13">
        <f t="shared" si="93"/>
        <v>0.24126147010950588</v>
      </c>
      <c r="CB95" s="20">
        <f t="shared" si="64"/>
        <v>1.2574858937744013</v>
      </c>
      <c r="CC95" s="59">
        <f t="shared" si="65"/>
        <v>276.26778793688612</v>
      </c>
      <c r="CD95" s="59">
        <f ca="1">AVERAGE(OFFSET($CC$3,0,0,'Données projet'!$E$12+1,1))-AVERAGE(OFFSET($H$3,0,0,'Données projet'!$E$12+1,1))</f>
        <v>420.4890915162182</v>
      </c>
      <c r="CE95" s="59">
        <f t="shared" si="94"/>
        <v>553.48432338023565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178.67582729944377</v>
      </c>
      <c r="CL95" s="21">
        <f>EXP(-LN(2)/25)*CL94+(1-EXP(-LN(2)/25))/(LN(2)/25)*Calculateur!CG95*Calculateur!CI95*VLOOKUP('Données projet'!$B$12,Paramètres!$A$1:$I$89,3,0)*0.475*44/12</f>
        <v>9.0646175279793191</v>
      </c>
      <c r="CM95" s="21">
        <f>EXP(-LN(2)/2)*CM94+(1-EXP(-LN(2)/2))/(LN(2)/2)*CG95*CJ95*VLOOKUP('Données projet'!$B$12,Paramètres!$A$1:$I$89,3,0)*0.475*44/12</f>
        <v>3.445523460688126E-10</v>
      </c>
      <c r="CN95" s="22">
        <f t="shared" si="66"/>
        <v>187.74044482776765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367.99999999999972</v>
      </c>
      <c r="CU95" s="17">
        <f>CT95*VLOOKUP('Données projet'!$B$13,Paramètres!$A$1:$I$89,3,0)*VLOOKUP('Données projet'!$B$13,Paramètres!$A$1:$I$89,5,0)</f>
        <v>269.8175999999998</v>
      </c>
      <c r="CV95" s="13">
        <f t="shared" si="95"/>
        <v>64.810557882019467</v>
      </c>
      <c r="CW95" s="20">
        <f t="shared" si="67"/>
        <v>582.81070831118348</v>
      </c>
      <c r="CX95" s="59">
        <f t="shared" si="68"/>
        <v>857.82101035429514</v>
      </c>
      <c r="CY95" s="59">
        <f ca="1">AVERAGE(OFFSET($CX$3,0,0,'Données projet'!$E$13+1,1))-AVERAGE(OFFSET($H$3,0,0,'Données projet'!$E$13+1,1))</f>
        <v>400.48995908576177</v>
      </c>
      <c r="CZ95" s="59">
        <f t="shared" si="96"/>
        <v>384.86917865380076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36.334660012751293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36.334660012751293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367.99999999999972</v>
      </c>
      <c r="DP95" s="17">
        <f>DO95*VLOOKUP('Données projet'!$B$14,Paramètres!$A$1:$I$89,3,0)*VLOOKUP('Données projet'!$B$14,Paramètres!$A$1:$I$89,5,0)</f>
        <v>292.78079999999977</v>
      </c>
      <c r="DQ95" s="13">
        <f t="shared" si="97"/>
        <v>69.660903052386217</v>
      </c>
      <c r="DR95" s="20">
        <f t="shared" si="70"/>
        <v>631.25263281623893</v>
      </c>
      <c r="DS95" s="59">
        <f t="shared" si="71"/>
        <v>906.26293485935071</v>
      </c>
      <c r="DT95" s="59">
        <f ca="1">AVERAGE(OFFSET($DS$3,0,0,'Données projet'!$E$14+1,1))-AVERAGE(OFFSET($H$3,0,0,'Données projet'!$E$14+1,1))</f>
        <v>429.30603040255431</v>
      </c>
      <c r="DU95" s="59">
        <f t="shared" si="98"/>
        <v>412.18613903804726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48.59603464347682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48.59603464347682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210.25641025641013</v>
      </c>
      <c r="EK95" s="17">
        <f>EJ95*VLOOKUP('Données projet'!$B$15,Paramètres!$A$1:$I$89,3,0)*VLOOKUP('Données projet'!$B$15,Paramètres!$A$1:$I$89,5,0)</f>
        <v>163.99999999999991</v>
      </c>
      <c r="EL95" s="13">
        <f t="shared" si="99"/>
        <v>41.743425908362248</v>
      </c>
      <c r="EM95" s="20">
        <f t="shared" si="73"/>
        <v>358.33646679039742</v>
      </c>
      <c r="EN95" s="59">
        <f t="shared" si="74"/>
        <v>633.34676883350915</v>
      </c>
      <c r="EO95" s="59">
        <f ca="1">AVERAGE(OFFSET($EN$3,0,0,'Données projet'!$E$15+1,1))-AVERAGE(OFFSET($H$3,0,0,'Données projet'!$E$15+1,1))</f>
        <v>217.53602321474159</v>
      </c>
      <c r="EP95" s="59">
        <f t="shared" si="100"/>
        <v>215.75909414893025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20.479321087999242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20.479321087999242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9.9470000000000027</v>
      </c>
      <c r="FE95" s="12">
        <f>IF('Données projet'!$A$218&gt;35,FE94+FD95-FM94,IF(A95&lt;'Données projet'!$A$218,$FB$205^A95,IF(A95='Données projet'!$A$218,'Données projet'!$B$218,FE94+FD95-FM94)))</f>
        <v>395.17100000000011</v>
      </c>
      <c r="FF95" s="17">
        <f>FE95*VLOOKUP('Données projet'!$B$16,Paramètres!$A$1:$I$89,3,0)*VLOOKUP('Données projet'!$B$16,Paramètres!$A$1:$I$89,5,0)</f>
        <v>265.08070680000009</v>
      </c>
      <c r="FG95" s="13">
        <f t="shared" si="101"/>
        <v>63.804156501340273</v>
      </c>
      <c r="FH95" s="20">
        <f t="shared" si="76"/>
        <v>572.80780358316781</v>
      </c>
      <c r="FI95" s="59">
        <f t="shared" si="77"/>
        <v>847.81810562627948</v>
      </c>
      <c r="FJ95" s="59">
        <f ca="1">AVERAGE(OFFSET($FI$3,0,0,'Données projet'!$E$16+1,1))-AVERAGE(OFFSET($H$3,0,0,'Données projet'!$E$16+1,1))</f>
        <v>441.20130048888439</v>
      </c>
      <c r="FK95" s="59">
        <f t="shared" si="102"/>
        <v>237.47732532183946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104.52699154400194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104.52699154400194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204.00000000000017</v>
      </c>
      <c r="GA95" s="17">
        <f>FZ95*VLOOKUP('Données projet'!$B$17,Paramètres!$A$1:$I$89,3,0)*VLOOKUP('Données projet'!$B$17,Paramètres!$A$1:$I$89,5,0)</f>
        <v>133.66080000000011</v>
      </c>
      <c r="GB95" s="13">
        <f t="shared" si="103"/>
        <v>34.840890682716783</v>
      </c>
      <c r="GC95" s="20">
        <f t="shared" si="79"/>
        <v>293.4737779390652</v>
      </c>
      <c r="GD95" s="59">
        <f t="shared" si="80"/>
        <v>568.48407998217692</v>
      </c>
      <c r="GE95" s="59">
        <f ca="1">AVERAGE(OFFSET($GD$3,0,0,'Données projet'!$E$17+1,1))-AVERAGE(OFFSET($H$3,0,0,'Données projet'!$E$17+1,1))</f>
        <v>257.66104339896992</v>
      </c>
      <c r="GF95" s="59">
        <f t="shared" si="104"/>
        <v>254.79488636184996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37.882276495144474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37.882276495144474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234.00000000000003</v>
      </c>
      <c r="GV95" s="17">
        <f>GU95*VLOOKUP('Données projet'!$B$18,Paramètres!$A$1:$I$89,3,0)*VLOOKUP('Données projet'!$B$18,Paramètres!$A$1:$I$89,5,0)</f>
        <v>189.82080000000005</v>
      </c>
      <c r="GW95" s="13">
        <f t="shared" si="105"/>
        <v>47.500332100049796</v>
      </c>
      <c r="GX95" s="20">
        <f t="shared" si="82"/>
        <v>413.33430507425345</v>
      </c>
      <c r="GY95" s="59">
        <f t="shared" si="83"/>
        <v>688.34460711736517</v>
      </c>
      <c r="GZ95" s="59">
        <f ca="1">AVERAGE(OFFSET($GY$3,0,0,'Données projet'!$E$18+1,1))-AVERAGE(OFFSET($H$3,0,0,'Données projet'!$E$18+1,1))</f>
        <v>299.98377156721153</v>
      </c>
      <c r="HA95" s="59">
        <f t="shared" si="106"/>
        <v>241.36164657721102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36.497279105171479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36.497279105171479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9.9470000000000027</v>
      </c>
      <c r="N96" s="13">
        <f>IF('Données projet'!$A$36&gt;35,N95+M96-V95,IF(A96&lt;'Données projet'!$A$36,$K$205^A96,IF(A96='Données projet'!$A$36,'Données projet'!$B$36,N95+M96-V95)))</f>
        <v>405.11800000000011</v>
      </c>
      <c r="O96" s="13">
        <f>N96*VLOOKUP('Données projet'!$B$9,Paramètres!$A$1:$I$89,3,0)*VLOOKUP('Données projet'!$B$9,Paramètres!$A$1:$I$89,5,0)</f>
        <v>366.5507664000001</v>
      </c>
      <c r="P96" s="13">
        <f t="shared" si="87"/>
        <v>84.961267689272873</v>
      </c>
      <c r="Q96" s="20">
        <f t="shared" si="54"/>
        <v>786.38345937215036</v>
      </c>
      <c r="R96" s="59">
        <f t="shared" si="55"/>
        <v>1061.7116250439863</v>
      </c>
      <c r="S96" s="59">
        <f ca="1">AVERAGE(OFFSET($R$3,0,0,'Données projet'!$E$9+1,1))-AVERAGE(OFFSET($H$3,0,0,'Données projet'!$E$9+1,1))</f>
        <v>567.42635821507474</v>
      </c>
      <c r="T96" s="59">
        <f t="shared" si="88"/>
        <v>299.04735309930152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112.14494901338922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112.14494901338922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</v>
      </c>
      <c r="AI96" s="13">
        <f>IF('Données projet'!$A$62&gt;35,AI95+AH96-AQ95,IF(A96&lt;'Données projet'!$A$62,$AF$205^A96,IF(A96='Données projet'!$A$62,'Données projet'!$B$62,AI95+AH96-AQ95)))</f>
        <v>445.8</v>
      </c>
      <c r="AJ96" s="13">
        <f>AI96*VLOOKUP('Données projet'!$B$10,Paramètres!$A$1:$I$89,3,0)*VLOOKUP('Données projet'!$B$10,Paramètres!$A$1:$I$89,5,0)</f>
        <v>382.49640000000005</v>
      </c>
      <c r="AK96" s="13">
        <f t="shared" si="89"/>
        <v>88.218890823541386</v>
      </c>
      <c r="AL96" s="20">
        <f t="shared" si="58"/>
        <v>819.82913151766786</v>
      </c>
      <c r="AM96" s="59">
        <f t="shared" si="59"/>
        <v>1095.1572971895039</v>
      </c>
      <c r="AN96" s="59">
        <f ca="1">AVERAGE(OFFSET($AM$3,0,0,'Données projet'!$E$10+1,1))-AVERAGE(OFFSET($H$3,0,0,'Données projet'!$E$10+1,1))</f>
        <v>569.97793593332699</v>
      </c>
      <c r="AO96" s="59">
        <f t="shared" si="90"/>
        <v>331.25104323342907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119.12624102201313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119.12624102201313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277.99999999999994</v>
      </c>
      <c r="BE96" s="13">
        <f>BD96*VLOOKUP('Données projet'!$B$11,Paramètres!$A$1:$I$89,3,0)*VLOOKUP('Données projet'!$B$11,Paramètres!$A$1:$I$89,5,0)</f>
        <v>151.78799999999998</v>
      </c>
      <c r="BF96" s="13">
        <f t="shared" si="91"/>
        <v>38.984634390835623</v>
      </c>
      <c r="BG96" s="20">
        <f t="shared" si="61"/>
        <v>332.26233823070532</v>
      </c>
      <c r="BH96" s="59">
        <f t="shared" si="62"/>
        <v>607.59050390254129</v>
      </c>
      <c r="BI96" s="59">
        <f ca="1">AVERAGE(OFFSET($BH$3,0,0,'Données projet'!$E$11+1,1))-AVERAGE(OFFSET($H$3,0,0,'Données projet'!$E$11+1,1))</f>
        <v>215.37314197175104</v>
      </c>
      <c r="BJ96" s="59">
        <f t="shared" si="92"/>
        <v>361.17630426655978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10.541069162120186</v>
      </c>
      <c r="BQ96" s="21">
        <f>EXP(-LN(2)/25)*BQ95+(1-EXP(-LN(2)/25))/(LN(2)/25)*Calculateur!BL96*Calculateur!BN96*VLOOKUP('Données projet'!$B$11,Paramètres!$A$1:$I$89,3,0)*0.475*44/12</f>
        <v>16.744154061699344</v>
      </c>
      <c r="BR96" s="21">
        <f>EXP(-LN(2)/2)*BR95+(1-EXP(-LN(2)/2))/(LN(2)/2)*BL96*BO96*VLOOKUP('Données projet'!$B$11,Paramètres!$A$1:$I$89,3,0)*0.475*44/12</f>
        <v>8.3489652271758584E-12</v>
      </c>
      <c r="BS96" s="22">
        <f t="shared" si="63"/>
        <v>27.285223223827877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0.8600000000003547</v>
      </c>
      <c r="BZ96" s="13">
        <f>BY96*VLOOKUP('Données projet'!$B$12,Paramètres!$A$1:$I$89,3,0)*VLOOKUP('Données projet'!$B$12,Paramètres!$A$1:$I$89,5,0)</f>
        <v>0.48074000000019829</v>
      </c>
      <c r="CA96" s="13">
        <f t="shared" si="93"/>
        <v>0.24126147010950588</v>
      </c>
      <c r="CB96" s="20">
        <f t="shared" si="64"/>
        <v>1.2574858937744013</v>
      </c>
      <c r="CC96" s="59">
        <f t="shared" si="65"/>
        <v>276.58565156561036</v>
      </c>
      <c r="CD96" s="59">
        <f ca="1">AVERAGE(OFFSET($CC$3,0,0,'Données projet'!$E$12+1,1))-AVERAGE(OFFSET($H$3,0,0,'Données projet'!$E$12+1,1))</f>
        <v>420.4890915162182</v>
      </c>
      <c r="CE96" s="59">
        <f t="shared" si="94"/>
        <v>553.48432338023565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175.17210330759531</v>
      </c>
      <c r="CL96" s="21">
        <f>EXP(-LN(2)/25)*CL95+(1-EXP(-LN(2)/25))/(LN(2)/25)*Calculateur!CG96*Calculateur!CI96*VLOOKUP('Données projet'!$B$12,Paramètres!$A$1:$I$89,3,0)*0.475*44/12</f>
        <v>8.8167450849892059</v>
      </c>
      <c r="CM96" s="21">
        <f>EXP(-LN(2)/2)*CM95+(1-EXP(-LN(2)/2))/(LN(2)/2)*CG96*CJ96*VLOOKUP('Données projet'!$B$12,Paramètres!$A$1:$I$89,3,0)*0.475*44/12</f>
        <v>2.4363530037899146E-10</v>
      </c>
      <c r="CN96" s="22">
        <f t="shared" si="66"/>
        <v>183.98884839282815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367.99999999999972</v>
      </c>
      <c r="CU96" s="17">
        <f>CT96*VLOOKUP('Données projet'!$B$13,Paramètres!$A$1:$I$89,3,0)*VLOOKUP('Données projet'!$B$13,Paramètres!$A$1:$I$89,5,0)</f>
        <v>269.8175999999998</v>
      </c>
      <c r="CV96" s="13">
        <f t="shared" si="95"/>
        <v>64.810557882019467</v>
      </c>
      <c r="CW96" s="20">
        <f t="shared" si="67"/>
        <v>582.81070831118348</v>
      </c>
      <c r="CX96" s="59">
        <f t="shared" si="68"/>
        <v>858.13887398301949</v>
      </c>
      <c r="CY96" s="59">
        <f ca="1">AVERAGE(OFFSET($CX$3,0,0,'Données projet'!$E$13+1,1))-AVERAGE(OFFSET($H$3,0,0,'Données projet'!$E$13+1,1))</f>
        <v>400.48995908576177</v>
      </c>
      <c r="CZ96" s="59">
        <f t="shared" si="96"/>
        <v>384.86917865380076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35.622159491855534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35.622159491855534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367.99999999999972</v>
      </c>
      <c r="DP96" s="17">
        <f>DO96*VLOOKUP('Données projet'!$B$14,Paramètres!$A$1:$I$89,3,0)*VLOOKUP('Données projet'!$B$14,Paramètres!$A$1:$I$89,5,0)</f>
        <v>292.78079999999977</v>
      </c>
      <c r="DQ96" s="13">
        <f t="shared" si="97"/>
        <v>69.660903052386217</v>
      </c>
      <c r="DR96" s="20">
        <f t="shared" si="70"/>
        <v>631.25263281623893</v>
      </c>
      <c r="DS96" s="59">
        <f t="shared" si="71"/>
        <v>906.58079848807483</v>
      </c>
      <c r="DT96" s="59">
        <f ca="1">AVERAGE(OFFSET($DS$3,0,0,'Données projet'!$E$14+1,1))-AVERAGE(OFFSET($H$3,0,0,'Données projet'!$E$14+1,1))</f>
        <v>429.30603040255431</v>
      </c>
      <c r="DU96" s="59">
        <f t="shared" si="98"/>
        <v>412.18613903804726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47.643096044772598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47.643096044772598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210.25641025641013</v>
      </c>
      <c r="EK96" s="17">
        <f>EJ96*VLOOKUP('Données projet'!$B$15,Paramètres!$A$1:$I$89,3,0)*VLOOKUP('Données projet'!$B$15,Paramètres!$A$1:$I$89,5,0)</f>
        <v>163.99999999999991</v>
      </c>
      <c r="EL96" s="13">
        <f t="shared" si="99"/>
        <v>41.743425908362248</v>
      </c>
      <c r="EM96" s="20">
        <f t="shared" si="73"/>
        <v>358.33646679039742</v>
      </c>
      <c r="EN96" s="59">
        <f t="shared" si="74"/>
        <v>633.66463246223339</v>
      </c>
      <c r="EO96" s="59">
        <f ca="1">AVERAGE(OFFSET($EN$3,0,0,'Données projet'!$E$15+1,1))-AVERAGE(OFFSET($H$3,0,0,'Données projet'!$E$15+1,1))</f>
        <v>217.53602321474159</v>
      </c>
      <c r="EP96" s="59">
        <f t="shared" si="100"/>
        <v>215.75909414893025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20.077734092616041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20.077734092616041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9.9470000000000027</v>
      </c>
      <c r="FE96" s="12">
        <f>IF('Données projet'!$A$218&gt;35,FE95+FD96-FM95,IF(A96&lt;'Données projet'!$A$218,$FB$205^A96,IF(A96='Données projet'!$A$218,'Données projet'!$B$218,FE95+FD96-FM95)))</f>
        <v>405.11800000000011</v>
      </c>
      <c r="FF96" s="17">
        <f>FE96*VLOOKUP('Données projet'!$B$16,Paramètres!$A$1:$I$89,3,0)*VLOOKUP('Données projet'!$B$16,Paramètres!$A$1:$I$89,5,0)</f>
        <v>271.75315440000008</v>
      </c>
      <c r="FG96" s="13">
        <f t="shared" si="101"/>
        <v>65.221192633102035</v>
      </c>
      <c r="FH96" s="20">
        <f t="shared" si="76"/>
        <v>586.89698774931946</v>
      </c>
      <c r="FI96" s="59">
        <f t="shared" si="77"/>
        <v>862.22515342115548</v>
      </c>
      <c r="FJ96" s="59">
        <f ca="1">AVERAGE(OFFSET($FI$3,0,0,'Données projet'!$E$16+1,1))-AVERAGE(OFFSET($H$3,0,0,'Données projet'!$E$16+1,1))</f>
        <v>441.20130048888439</v>
      </c>
      <c r="FK96" s="59">
        <f t="shared" si="102"/>
        <v>237.47732532183946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102.47728099499361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102.47728099499361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204.00000000000017</v>
      </c>
      <c r="GA96" s="17">
        <f>FZ96*VLOOKUP('Données projet'!$B$17,Paramètres!$A$1:$I$89,3,0)*VLOOKUP('Données projet'!$B$17,Paramètres!$A$1:$I$89,5,0)</f>
        <v>133.66080000000011</v>
      </c>
      <c r="GB96" s="13">
        <f t="shared" si="103"/>
        <v>34.840890682716783</v>
      </c>
      <c r="GC96" s="20">
        <f t="shared" si="79"/>
        <v>293.4737779390652</v>
      </c>
      <c r="GD96" s="59">
        <f t="shared" si="80"/>
        <v>568.80194361090116</v>
      </c>
      <c r="GE96" s="59">
        <f ca="1">AVERAGE(OFFSET($GD$3,0,0,'Données projet'!$E$17+1,1))-AVERAGE(OFFSET($H$3,0,0,'Données projet'!$E$17+1,1))</f>
        <v>257.66104339896992</v>
      </c>
      <c r="GF96" s="59">
        <f t="shared" si="104"/>
        <v>254.79488636184996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37.139428158981836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37.139428158981836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234.00000000000003</v>
      </c>
      <c r="GV96" s="17">
        <f>GU96*VLOOKUP('Données projet'!$B$18,Paramètres!$A$1:$I$89,3,0)*VLOOKUP('Données projet'!$B$18,Paramètres!$A$1:$I$89,5,0)</f>
        <v>189.82080000000005</v>
      </c>
      <c r="GW96" s="13">
        <f t="shared" si="105"/>
        <v>47.500332100049796</v>
      </c>
      <c r="GX96" s="20">
        <f t="shared" si="82"/>
        <v>413.33430507425345</v>
      </c>
      <c r="GY96" s="59">
        <f t="shared" si="83"/>
        <v>688.66247074608941</v>
      </c>
      <c r="GZ96" s="59">
        <f ca="1">AVERAGE(OFFSET($GY$3,0,0,'Données projet'!$E$18+1,1))-AVERAGE(OFFSET($H$3,0,0,'Données projet'!$E$18+1,1))</f>
        <v>299.98377156721153</v>
      </c>
      <c r="HA96" s="59">
        <f t="shared" si="106"/>
        <v>241.36164657721102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35.781589723061217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35.781589723061217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9.9470000000000027</v>
      </c>
      <c r="N97" s="13">
        <f>IF('Données projet'!$A$36&gt;35,N96+M97-V96,IF(A97&lt;'Données projet'!$A$36,$K$205^A97,IF(A97='Données projet'!$A$36,'Données projet'!$B$36,N96+M97-V96)))</f>
        <v>415.06500000000011</v>
      </c>
      <c r="O97" s="13">
        <f>N97*VLOOKUP('Données projet'!$B$9,Paramètres!$A$1:$I$89,3,0)*VLOOKUP('Données projet'!$B$9,Paramètres!$A$1:$I$89,5,0)</f>
        <v>375.55081200000006</v>
      </c>
      <c r="P97" s="13">
        <f t="shared" si="87"/>
        <v>86.801920262883286</v>
      </c>
      <c r="Q97" s="20">
        <f t="shared" si="54"/>
        <v>805.26434202452174</v>
      </c>
      <c r="R97" s="59">
        <f t="shared" si="55"/>
        <v>1080.9048571017602</v>
      </c>
      <c r="S97" s="59">
        <f ca="1">AVERAGE(OFFSET($R$3,0,0,'Données projet'!$E$9+1,1))-AVERAGE(OFFSET($H$3,0,0,'Données projet'!$E$9+1,1))</f>
        <v>567.42635821507474</v>
      </c>
      <c r="T97" s="59">
        <f t="shared" si="88"/>
        <v>299.04735309930152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109.94585496490146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109.94585496490146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8.6</v>
      </c>
      <c r="AI97" s="13">
        <f>IF('Données projet'!$A$62&gt;35,AI96+AH97-AQ96,IF(A97&lt;'Données projet'!$A$62,$AF$205^A97,IF(A97='Données projet'!$A$62,'Données projet'!$B$62,AI96+AH97-AQ96)))</f>
        <v>454.40000000000003</v>
      </c>
      <c r="AJ97" s="13">
        <f>AI97*VLOOKUP('Données projet'!$B$10,Paramètres!$A$1:$I$89,3,0)*VLOOKUP('Données projet'!$B$10,Paramètres!$A$1:$I$89,5,0)</f>
        <v>389.87520000000006</v>
      </c>
      <c r="AK97" s="13">
        <f t="shared" si="89"/>
        <v>89.720964655579479</v>
      </c>
      <c r="AL97" s="20">
        <f t="shared" si="58"/>
        <v>835.29665344180091</v>
      </c>
      <c r="AM97" s="59">
        <f t="shared" si="59"/>
        <v>1110.9371685190395</v>
      </c>
      <c r="AN97" s="59">
        <f ca="1">AVERAGE(OFFSET($AM$3,0,0,'Données projet'!$E$10+1,1))-AVERAGE(OFFSET($H$3,0,0,'Données projet'!$E$10+1,1))</f>
        <v>569.97793593332699</v>
      </c>
      <c r="AO97" s="59">
        <f t="shared" si="90"/>
        <v>331.25104323342907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116.79024809540391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116.79024809540391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277.99999999999994</v>
      </c>
      <c r="BE97" s="13">
        <f>BD97*VLOOKUP('Données projet'!$B$11,Paramètres!$A$1:$I$89,3,0)*VLOOKUP('Données projet'!$B$11,Paramètres!$A$1:$I$89,5,0)</f>
        <v>151.78799999999998</v>
      </c>
      <c r="BF97" s="13">
        <f t="shared" si="91"/>
        <v>38.984634390835623</v>
      </c>
      <c r="BG97" s="20">
        <f t="shared" si="61"/>
        <v>332.26233823070532</v>
      </c>
      <c r="BH97" s="59">
        <f t="shared" si="62"/>
        <v>607.90285330794381</v>
      </c>
      <c r="BI97" s="59">
        <f ca="1">AVERAGE(OFFSET($BH$3,0,0,'Données projet'!$E$11+1,1))-AVERAGE(OFFSET($H$3,0,0,'Données projet'!$E$11+1,1))</f>
        <v>215.37314197175104</v>
      </c>
      <c r="BJ97" s="59">
        <f t="shared" si="92"/>
        <v>361.17630426655978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10.334365225268346</v>
      </c>
      <c r="BQ97" s="21">
        <f>EXP(-LN(2)/25)*BQ96+(1-EXP(-LN(2)/25))/(LN(2)/25)*Calculateur!BL97*Calculateur!BN97*VLOOKUP('Données projet'!$B$11,Paramètres!$A$1:$I$89,3,0)*0.475*44/12</f>
        <v>16.286284288345382</v>
      </c>
      <c r="BR97" s="21">
        <f>EXP(-LN(2)/2)*BR96+(1-EXP(-LN(2)/2))/(LN(2)/2)*BL97*BO97*VLOOKUP('Données projet'!$B$11,Paramètres!$A$1:$I$89,3,0)*0.475*44/12</f>
        <v>5.9036099280267339E-12</v>
      </c>
      <c r="BS97" s="22">
        <f t="shared" si="63"/>
        <v>26.620649513619632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0.8600000000003547</v>
      </c>
      <c r="BZ97" s="13">
        <f>BY97*VLOOKUP('Données projet'!$B$12,Paramètres!$A$1:$I$89,3,0)*VLOOKUP('Données projet'!$B$12,Paramètres!$A$1:$I$89,5,0)</f>
        <v>0.48074000000019829</v>
      </c>
      <c r="CA97" s="13">
        <f t="shared" si="93"/>
        <v>0.24126147010950588</v>
      </c>
      <c r="CB97" s="20">
        <f t="shared" si="64"/>
        <v>1.2574858937744013</v>
      </c>
      <c r="CC97" s="59">
        <f t="shared" si="65"/>
        <v>276.89800097101289</v>
      </c>
      <c r="CD97" s="59">
        <f ca="1">AVERAGE(OFFSET($CC$3,0,0,'Données projet'!$E$12+1,1))-AVERAGE(OFFSET($H$3,0,0,'Données projet'!$E$12+1,1))</f>
        <v>420.4890915162182</v>
      </c>
      <c r="CE97" s="59">
        <f t="shared" si="94"/>
        <v>553.48432338023565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171.73708520616637</v>
      </c>
      <c r="CL97" s="21">
        <f>EXP(-LN(2)/25)*CL96+(1-EXP(-LN(2)/25))/(LN(2)/25)*Calculateur!CG97*Calculateur!CI97*VLOOKUP('Données projet'!$B$12,Paramètres!$A$1:$I$89,3,0)*0.475*44/12</f>
        <v>8.5756507269877034</v>
      </c>
      <c r="CM97" s="21">
        <f>EXP(-LN(2)/2)*CM96+(1-EXP(-LN(2)/2))/(LN(2)/2)*CG97*CJ97*VLOOKUP('Données projet'!$B$12,Paramètres!$A$1:$I$89,3,0)*0.475*44/12</f>
        <v>1.722761730344063E-10</v>
      </c>
      <c r="CN97" s="22">
        <f t="shared" si="66"/>
        <v>180.31273593332634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367.99999999999972</v>
      </c>
      <c r="CU97" s="17">
        <f>CT97*VLOOKUP('Données projet'!$B$13,Paramètres!$A$1:$I$89,3,0)*VLOOKUP('Données projet'!$B$13,Paramètres!$A$1:$I$89,5,0)</f>
        <v>269.8175999999998</v>
      </c>
      <c r="CV97" s="13">
        <f t="shared" si="95"/>
        <v>64.810557882019467</v>
      </c>
      <c r="CW97" s="20">
        <f t="shared" si="67"/>
        <v>582.81070831118348</v>
      </c>
      <c r="CX97" s="59">
        <f t="shared" si="68"/>
        <v>858.45122338842202</v>
      </c>
      <c r="CY97" s="59">
        <f ca="1">AVERAGE(OFFSET($CX$3,0,0,'Données projet'!$E$13+1,1))-AVERAGE(OFFSET($H$3,0,0,'Données projet'!$E$13+1,1))</f>
        <v>400.48995908576177</v>
      </c>
      <c r="CZ97" s="59">
        <f t="shared" si="96"/>
        <v>384.86917865380076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34.923630671592136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34.923630671592136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367.99999999999972</v>
      </c>
      <c r="DP97" s="17">
        <f>DO97*VLOOKUP('Données projet'!$B$14,Paramètres!$A$1:$I$89,3,0)*VLOOKUP('Données projet'!$B$14,Paramètres!$A$1:$I$89,5,0)</f>
        <v>292.78079999999977</v>
      </c>
      <c r="DQ97" s="13">
        <f t="shared" si="97"/>
        <v>69.660903052386217</v>
      </c>
      <c r="DR97" s="20">
        <f t="shared" si="70"/>
        <v>631.25263281623893</v>
      </c>
      <c r="DS97" s="59">
        <f t="shared" si="71"/>
        <v>906.89314789347736</v>
      </c>
      <c r="DT97" s="59">
        <f ca="1">AVERAGE(OFFSET($DS$3,0,0,'Données projet'!$E$14+1,1))-AVERAGE(OFFSET($H$3,0,0,'Données projet'!$E$14+1,1))</f>
        <v>429.30603040255431</v>
      </c>
      <c r="DU97" s="59">
        <f t="shared" si="98"/>
        <v>412.18613903804726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46.708843990753813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46.708843990753813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210.25641025641013</v>
      </c>
      <c r="EK97" s="17">
        <f>EJ97*VLOOKUP('Données projet'!$B$15,Paramètres!$A$1:$I$89,3,0)*VLOOKUP('Données projet'!$B$15,Paramètres!$A$1:$I$89,5,0)</f>
        <v>163.99999999999991</v>
      </c>
      <c r="EL97" s="13">
        <f t="shared" si="99"/>
        <v>41.743425908362248</v>
      </c>
      <c r="EM97" s="20">
        <f t="shared" si="73"/>
        <v>358.33646679039742</v>
      </c>
      <c r="EN97" s="59">
        <f t="shared" si="74"/>
        <v>633.97698186763591</v>
      </c>
      <c r="EO97" s="59">
        <f ca="1">AVERAGE(OFFSET($EN$3,0,0,'Données projet'!$E$15+1,1))-AVERAGE(OFFSET($H$3,0,0,'Données projet'!$E$15+1,1))</f>
        <v>217.53602321474159</v>
      </c>
      <c r="EP97" s="59">
        <f t="shared" si="100"/>
        <v>215.75909414893025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19.684021973268425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19.684021973268425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9.9470000000000027</v>
      </c>
      <c r="FE97" s="12">
        <f>IF('Données projet'!$A$218&gt;35,FE96+FD97-FM96,IF(A97&lt;'Données projet'!$A$218,$FB$205^A97,IF(A97='Données projet'!$A$218,'Données projet'!$B$218,FE96+FD97-FM96)))</f>
        <v>415.06500000000011</v>
      </c>
      <c r="FF97" s="17">
        <f>FE97*VLOOKUP('Données projet'!$B$16,Paramètres!$A$1:$I$89,3,0)*VLOOKUP('Données projet'!$B$16,Paramètres!$A$1:$I$89,5,0)</f>
        <v>278.42560200000008</v>
      </c>
      <c r="FG97" s="13">
        <f t="shared" si="101"/>
        <v>66.634184215491203</v>
      </c>
      <c r="FH97" s="20">
        <f t="shared" si="76"/>
        <v>600.97912765864726</v>
      </c>
      <c r="FI97" s="59">
        <f t="shared" si="77"/>
        <v>876.61964273588569</v>
      </c>
      <c r="FJ97" s="59">
        <f ca="1">AVERAGE(OFFSET($FI$3,0,0,'Données projet'!$E$16+1,1))-AVERAGE(OFFSET($H$3,0,0,'Données projet'!$E$16+1,1))</f>
        <v>441.20130048888439</v>
      </c>
      <c r="FK97" s="59">
        <f t="shared" si="102"/>
        <v>237.47732532183946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100.46776401965134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100.46776401965134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204.00000000000017</v>
      </c>
      <c r="GA97" s="17">
        <f>FZ97*VLOOKUP('Données projet'!$B$17,Paramètres!$A$1:$I$89,3,0)*VLOOKUP('Données projet'!$B$17,Paramètres!$A$1:$I$89,5,0)</f>
        <v>133.66080000000011</v>
      </c>
      <c r="GB97" s="13">
        <f t="shared" si="103"/>
        <v>34.840890682716783</v>
      </c>
      <c r="GC97" s="20">
        <f t="shared" si="79"/>
        <v>293.4737779390652</v>
      </c>
      <c r="GD97" s="59">
        <f t="shared" si="80"/>
        <v>569.11429301630369</v>
      </c>
      <c r="GE97" s="59">
        <f ca="1">AVERAGE(OFFSET($GD$3,0,0,'Données projet'!$E$17+1,1))-AVERAGE(OFFSET($H$3,0,0,'Données projet'!$E$17+1,1))</f>
        <v>257.66104339896992</v>
      </c>
      <c r="GF97" s="59">
        <f t="shared" si="104"/>
        <v>254.79488636184996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36.411146625598597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36.411146625598597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234.00000000000003</v>
      </c>
      <c r="GV97" s="17">
        <f>GU97*VLOOKUP('Données projet'!$B$18,Paramètres!$A$1:$I$89,3,0)*VLOOKUP('Données projet'!$B$18,Paramètres!$A$1:$I$89,5,0)</f>
        <v>189.82080000000005</v>
      </c>
      <c r="GW97" s="13">
        <f t="shared" si="105"/>
        <v>47.500332100049796</v>
      </c>
      <c r="GX97" s="20">
        <f t="shared" si="82"/>
        <v>413.33430507425345</v>
      </c>
      <c r="GY97" s="59">
        <f t="shared" si="83"/>
        <v>688.97482015149194</v>
      </c>
      <c r="GZ97" s="59">
        <f ca="1">AVERAGE(OFFSET($GY$3,0,0,'Données projet'!$E$18+1,1))-AVERAGE(OFFSET($H$3,0,0,'Données projet'!$E$18+1,1))</f>
        <v>299.98377156721153</v>
      </c>
      <c r="HA97" s="59">
        <f t="shared" si="106"/>
        <v>241.36164657721102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35.079934573206714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35.079934573206714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9.9470000000000027</v>
      </c>
      <c r="N98" s="13">
        <f>IF('Données projet'!$A$36&gt;35,N97+M98-V97,IF(A98&lt;'Données projet'!$A$36,$K$205^A98,IF(A98='Données projet'!$A$36,'Données projet'!$B$36,N97+M98-V97)))</f>
        <v>425.01200000000011</v>
      </c>
      <c r="O98" s="13">
        <f>N98*VLOOKUP('Données projet'!$B$9,Paramètres!$A$1:$I$89,3,0)*VLOOKUP('Données projet'!$B$9,Paramètres!$A$1:$I$89,5,0)</f>
        <v>384.55085760000009</v>
      </c>
      <c r="P98" s="13">
        <f t="shared" si="87"/>
        <v>88.637444941196293</v>
      </c>
      <c r="Q98" s="20">
        <f t="shared" si="54"/>
        <v>824.13629359258357</v>
      </c>
      <c r="R98" s="59">
        <f t="shared" si="55"/>
        <v>1100.0837395113494</v>
      </c>
      <c r="S98" s="59">
        <f ca="1">AVERAGE(OFFSET($R$3,0,0,'Données projet'!$E$9+1,1))-AVERAGE(OFFSET($H$3,0,0,'Données projet'!$E$9+1,1))</f>
        <v>567.42635821507474</v>
      </c>
      <c r="T98" s="59">
        <f t="shared" si="88"/>
        <v>299.04735309930152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107.78988380938961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107.78988380938961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463</v>
      </c>
      <c r="AG98" s="12">
        <f>VLOOKUP(A98,'Données projet'!$A$61:$I$81,9,0)</f>
        <v>8.6</v>
      </c>
      <c r="AH98" s="12">
        <f t="array" ref="AH98">INDEX(AG:AG,MIN(IF(ISNUMBER(AG98:AG294),ROW(AG98:AG294),"")))</f>
        <v>8.6</v>
      </c>
      <c r="AI98" s="13">
        <f>IF('Données projet'!$A$62&gt;35,AI97+AH98-AQ97,IF(A98&lt;'Données projet'!$A$62,$AF$205^A98,IF(A98='Données projet'!$A$62,'Données projet'!$B$62,AI97+AH98-AQ97)))</f>
        <v>463.00000000000006</v>
      </c>
      <c r="AJ98" s="13">
        <f>AI98*VLOOKUP('Données projet'!$B$10,Paramètres!$A$1:$I$89,3,0)*VLOOKUP('Données projet'!$B$10,Paramètres!$A$1:$I$89,5,0)</f>
        <v>397.25400000000013</v>
      </c>
      <c r="AK98" s="13">
        <f t="shared" si="89"/>
        <v>91.219732863167494</v>
      </c>
      <c r="AL98" s="20">
        <f t="shared" si="58"/>
        <v>850.75841807001689</v>
      </c>
      <c r="AM98" s="59">
        <f t="shared" si="59"/>
        <v>1126.7058639887828</v>
      </c>
      <c r="AN98" s="59">
        <f ca="1">AVERAGE(OFFSET($AM$3,0,0,'Données projet'!$E$10+1,1))-AVERAGE(OFFSET($H$3,0,0,'Données projet'!$E$10+1,1))</f>
        <v>569.97793593332699</v>
      </c>
      <c r="AO98" s="59">
        <f t="shared" si="90"/>
        <v>331.25104323342907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30</v>
      </c>
      <c r="AR98" s="16">
        <f>IF(ISNA(VLOOKUP(A98,'Données projet'!$A$61:$I$81,5,0)),0%,VLOOKUP(A98,'Données projet'!$A$61:$I$81,5,0)*VLOOKUP('Données projet'!$B$10,Paramètres!$A$1:$I$89,7,0))</f>
        <v>0.53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129.58111057693492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129.58111057693492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277.99999999999994</v>
      </c>
      <c r="BE98" s="13">
        <f>BD98*VLOOKUP('Données projet'!$B$11,Paramètres!$A$1:$I$89,3,0)*VLOOKUP('Données projet'!$B$11,Paramètres!$A$1:$I$89,5,0)</f>
        <v>151.78799999999998</v>
      </c>
      <c r="BF98" s="13">
        <f t="shared" si="91"/>
        <v>38.984634390835623</v>
      </c>
      <c r="BG98" s="20">
        <f t="shared" si="61"/>
        <v>332.26233823070532</v>
      </c>
      <c r="BH98" s="59">
        <f t="shared" si="62"/>
        <v>608.20978414947126</v>
      </c>
      <c r="BI98" s="59">
        <f ca="1">AVERAGE(OFFSET($BH$3,0,0,'Données projet'!$E$11+1,1))-AVERAGE(OFFSET($H$3,0,0,'Données projet'!$E$11+1,1))</f>
        <v>215.37314197175104</v>
      </c>
      <c r="BJ98" s="59">
        <f t="shared" si="92"/>
        <v>361.17630426655978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10.131714626541218</v>
      </c>
      <c r="BQ98" s="21">
        <f>EXP(-LN(2)/25)*BQ97+(1-EXP(-LN(2)/25))/(LN(2)/25)*Calculateur!BL98*Calculateur!BN98*VLOOKUP('Données projet'!$B$11,Paramètres!$A$1:$I$89,3,0)*0.475*44/12</f>
        <v>15.840934988022109</v>
      </c>
      <c r="BR98" s="21">
        <f>EXP(-LN(2)/2)*BR97+(1-EXP(-LN(2)/2))/(LN(2)/2)*BL98*BO98*VLOOKUP('Données projet'!$B$11,Paramètres!$A$1:$I$89,3,0)*0.475*44/12</f>
        <v>4.1744826135879292E-12</v>
      </c>
      <c r="BS98" s="22">
        <f t="shared" si="63"/>
        <v>25.972649614567501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0.8600000000003547</v>
      </c>
      <c r="BZ98" s="13">
        <f>BY98*VLOOKUP('Données projet'!$B$12,Paramètres!$A$1:$I$89,3,0)*VLOOKUP('Données projet'!$B$12,Paramètres!$A$1:$I$89,5,0)</f>
        <v>0.48074000000019829</v>
      </c>
      <c r="CA98" s="13">
        <f t="shared" si="93"/>
        <v>0.24126147010950588</v>
      </c>
      <c r="CB98" s="20">
        <f t="shared" si="64"/>
        <v>1.2574858937744013</v>
      </c>
      <c r="CC98" s="59">
        <f t="shared" si="65"/>
        <v>277.20493181254034</v>
      </c>
      <c r="CD98" s="59">
        <f ca="1">AVERAGE(OFFSET($CC$3,0,0,'Données projet'!$E$12+1,1))-AVERAGE(OFFSET($H$3,0,0,'Données projet'!$E$12+1,1))</f>
        <v>420.4890915162182</v>
      </c>
      <c r="CE98" s="59">
        <f t="shared" si="94"/>
        <v>553.48432338023565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168.36942571455228</v>
      </c>
      <c r="CL98" s="21">
        <f>EXP(-LN(2)/25)*CL97+(1-EXP(-LN(2)/25))/(LN(2)/25)*Calculateur!CG98*Calculateur!CI98*VLOOKUP('Données projet'!$B$12,Paramètres!$A$1:$I$89,3,0)*0.475*44/12</f>
        <v>8.3411491068843535</v>
      </c>
      <c r="CM98" s="21">
        <f>EXP(-LN(2)/2)*CM97+(1-EXP(-LN(2)/2))/(LN(2)/2)*CG98*CJ98*VLOOKUP('Données projet'!$B$12,Paramètres!$A$1:$I$89,3,0)*0.475*44/12</f>
        <v>1.2181765018949573E-10</v>
      </c>
      <c r="CN98" s="22">
        <f t="shared" si="66"/>
        <v>176.71057482155845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367.99999999999972</v>
      </c>
      <c r="CU98" s="17">
        <f>CT98*VLOOKUP('Données projet'!$B$13,Paramètres!$A$1:$I$89,3,0)*VLOOKUP('Données projet'!$B$13,Paramètres!$A$1:$I$89,5,0)</f>
        <v>269.8175999999998</v>
      </c>
      <c r="CV98" s="13">
        <f t="shared" si="95"/>
        <v>64.810557882019467</v>
      </c>
      <c r="CW98" s="20">
        <f t="shared" si="67"/>
        <v>582.81070831118348</v>
      </c>
      <c r="CX98" s="59">
        <f t="shared" si="68"/>
        <v>858.75815422994947</v>
      </c>
      <c r="CY98" s="59">
        <f ca="1">AVERAGE(OFFSET($CX$3,0,0,'Données projet'!$E$13+1,1))-AVERAGE(OFFSET($H$3,0,0,'Données projet'!$E$13+1,1))</f>
        <v>400.48995908576177</v>
      </c>
      <c r="CZ98" s="59">
        <f t="shared" si="96"/>
        <v>384.86917865380076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34.238799575433596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34.238799575433596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367.99999999999972</v>
      </c>
      <c r="DP98" s="17">
        <f>DO98*VLOOKUP('Données projet'!$B$14,Paramètres!$A$1:$I$89,3,0)*VLOOKUP('Données projet'!$B$14,Paramètres!$A$1:$I$89,5,0)</f>
        <v>292.78079999999977</v>
      </c>
      <c r="DQ98" s="13">
        <f t="shared" si="97"/>
        <v>69.660903052386217</v>
      </c>
      <c r="DR98" s="20">
        <f t="shared" si="70"/>
        <v>631.25263281623893</v>
      </c>
      <c r="DS98" s="59">
        <f t="shared" si="71"/>
        <v>907.20007873500481</v>
      </c>
      <c r="DT98" s="59">
        <f ca="1">AVERAGE(OFFSET($DS$3,0,0,'Données projet'!$E$14+1,1))-AVERAGE(OFFSET($H$3,0,0,'Données projet'!$E$14+1,1))</f>
        <v>429.30603040255431</v>
      </c>
      <c r="DU98" s="59">
        <f t="shared" si="98"/>
        <v>412.18613903804726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45.79291204967685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45.79291204967685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210.25641025641013</v>
      </c>
      <c r="EK98" s="17">
        <f>EJ98*VLOOKUP('Données projet'!$B$15,Paramètres!$A$1:$I$89,3,0)*VLOOKUP('Données projet'!$B$15,Paramètres!$A$1:$I$89,5,0)</f>
        <v>163.99999999999991</v>
      </c>
      <c r="EL98" s="13">
        <f t="shared" si="99"/>
        <v>41.743425908362248</v>
      </c>
      <c r="EM98" s="20">
        <f t="shared" si="73"/>
        <v>358.33646679039742</v>
      </c>
      <c r="EN98" s="59">
        <f t="shared" si="74"/>
        <v>634.28391270916336</v>
      </c>
      <c r="EO98" s="59">
        <f ca="1">AVERAGE(OFFSET($EN$3,0,0,'Données projet'!$E$15+1,1))-AVERAGE(OFFSET($H$3,0,0,'Données projet'!$E$15+1,1))</f>
        <v>217.53602321474159</v>
      </c>
      <c r="EP98" s="59">
        <f t="shared" si="100"/>
        <v>215.75909414893025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19.298030308440534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19.298030308440534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9.9470000000000027</v>
      </c>
      <c r="FE98" s="12">
        <f>IF('Données projet'!$A$218&gt;35,FE97+FD98-FM97,IF(A98&lt;'Données projet'!$A$218,$FB$205^A98,IF(A98='Données projet'!$A$218,'Données projet'!$B$218,FE97+FD98-FM97)))</f>
        <v>425.01200000000011</v>
      </c>
      <c r="FF98" s="17">
        <f>FE98*VLOOKUP('Données projet'!$B$16,Paramètres!$A$1:$I$89,3,0)*VLOOKUP('Données projet'!$B$16,Paramètres!$A$1:$I$89,5,0)</f>
        <v>285.09804960000008</v>
      </c>
      <c r="FG98" s="13">
        <f t="shared" si="101"/>
        <v>68.043239328285679</v>
      </c>
      <c r="FH98" s="20">
        <f t="shared" si="76"/>
        <v>615.0544115500976</v>
      </c>
      <c r="FI98" s="59">
        <f t="shared" si="77"/>
        <v>891.00185746886359</v>
      </c>
      <c r="FJ98" s="59">
        <f ca="1">AVERAGE(OFFSET($FI$3,0,0,'Données projet'!$E$16+1,1))-AVERAGE(OFFSET($H$3,0,0,'Données projet'!$E$16+1,1))</f>
        <v>441.20130048888439</v>
      </c>
      <c r="FK98" s="59">
        <f t="shared" si="102"/>
        <v>237.47732532183946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98.497652446511196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98.497652446511196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204.00000000000017</v>
      </c>
      <c r="GA98" s="17">
        <f>FZ98*VLOOKUP('Données projet'!$B$17,Paramètres!$A$1:$I$89,3,0)*VLOOKUP('Données projet'!$B$17,Paramètres!$A$1:$I$89,5,0)</f>
        <v>133.66080000000011</v>
      </c>
      <c r="GB98" s="13">
        <f t="shared" si="103"/>
        <v>34.840890682716783</v>
      </c>
      <c r="GC98" s="20">
        <f t="shared" si="79"/>
        <v>293.4737779390652</v>
      </c>
      <c r="GD98" s="59">
        <f t="shared" si="80"/>
        <v>569.42122385783114</v>
      </c>
      <c r="GE98" s="59">
        <f ca="1">AVERAGE(OFFSET($GD$3,0,0,'Données projet'!$E$17+1,1))-AVERAGE(OFFSET($H$3,0,0,'Données projet'!$E$17+1,1))</f>
        <v>257.66104339896992</v>
      </c>
      <c r="GF98" s="59">
        <f t="shared" si="104"/>
        <v>254.79488636184996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35.697146248877132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35.697146248877132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234.00000000000003</v>
      </c>
      <c r="GV98" s="17">
        <f>GU98*VLOOKUP('Données projet'!$B$18,Paramètres!$A$1:$I$89,3,0)*VLOOKUP('Données projet'!$B$18,Paramètres!$A$1:$I$89,5,0)</f>
        <v>189.82080000000005</v>
      </c>
      <c r="GW98" s="13">
        <f t="shared" si="105"/>
        <v>47.500332100049796</v>
      </c>
      <c r="GX98" s="20">
        <f t="shared" si="82"/>
        <v>413.33430507425345</v>
      </c>
      <c r="GY98" s="59">
        <f t="shared" si="83"/>
        <v>689.28175099301939</v>
      </c>
      <c r="GZ98" s="59">
        <f ca="1">AVERAGE(OFFSET($GY$3,0,0,'Données projet'!$E$18+1,1))-AVERAGE(OFFSET($H$3,0,0,'Données projet'!$E$18+1,1))</f>
        <v>299.98377156721153</v>
      </c>
      <c r="HA98" s="59">
        <f t="shared" si="106"/>
        <v>241.36164657721102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34.392038452873479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34.392038452873479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9.9470000000000027</v>
      </c>
      <c r="N99" s="13">
        <f>IF('Données projet'!$A$36&gt;35,N98+M99-V98,IF(A99&lt;'Données projet'!$A$36,$K$205^A99,IF(A99='Données projet'!$A$36,'Données projet'!$B$36,N98+M99-V98)))</f>
        <v>434.95900000000012</v>
      </c>
      <c r="O99" s="13">
        <f>N99*VLOOKUP('Données projet'!$B$9,Paramètres!$A$1:$I$89,3,0)*VLOOKUP('Données projet'!$B$9,Paramètres!$A$1:$I$89,5,0)</f>
        <v>393.55090320000011</v>
      </c>
      <c r="P99" s="13">
        <f t="shared" si="87"/>
        <v>90.467975549637174</v>
      </c>
      <c r="Q99" s="20">
        <f t="shared" ref="Q99:Q130" si="107">(O99+P99)*0.475*44/12</f>
        <v>842.99954715561819</v>
      </c>
      <c r="R99" s="59">
        <f t="shared" si="55"/>
        <v>1119.2485993520056</v>
      </c>
      <c r="S99" s="59">
        <f ca="1">AVERAGE(OFFSET($R$3,0,0,'Données projet'!$E$9+1,1))-AVERAGE(OFFSET($H$3,0,0,'Données projet'!$E$9+1,1))</f>
        <v>567.42635821507474</v>
      </c>
      <c r="T99" s="59">
        <f t="shared" si="88"/>
        <v>299.04735309930152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105.67618993322479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105.67618993322479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8.1999999999999993</v>
      </c>
      <c r="AI99" s="13">
        <f>IF('Données projet'!$A$62&gt;35,AI98+AH99-AQ98,IF(A99&lt;'Données projet'!$A$62,$AF$205^A99,IF(A99='Données projet'!$A$62,'Données projet'!$B$62,AI98+AH99-AQ98)))</f>
        <v>441.20000000000005</v>
      </c>
      <c r="AJ99" s="13">
        <f>AI99*VLOOKUP('Données projet'!$B$10,Paramètres!$A$1:$I$89,3,0)*VLOOKUP('Données projet'!$B$10,Paramètres!$A$1:$I$89,5,0)</f>
        <v>378.54960000000011</v>
      </c>
      <c r="AK99" s="13">
        <f t="shared" si="89"/>
        <v>87.414074444191471</v>
      </c>
      <c r="AL99" s="20">
        <f t="shared" si="58"/>
        <v>811.55339965696703</v>
      </c>
      <c r="AM99" s="59">
        <f t="shared" si="59"/>
        <v>1087.8024518533543</v>
      </c>
      <c r="AN99" s="59">
        <f ca="1">AVERAGE(OFFSET($AM$3,0,0,'Données projet'!$E$10+1,1))-AVERAGE(OFFSET($H$3,0,0,'Données projet'!$E$10+1,1))</f>
        <v>569.97793593332699</v>
      </c>
      <c r="AO99" s="59">
        <f t="shared" si="90"/>
        <v>331.25104323342907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127.04010403519446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127.04010403519446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277.99999999999994</v>
      </c>
      <c r="BE99" s="13">
        <f>BD99*VLOOKUP('Données projet'!$B$11,Paramètres!$A$1:$I$89,3,0)*VLOOKUP('Données projet'!$B$11,Paramètres!$A$1:$I$89,5,0)</f>
        <v>151.78799999999998</v>
      </c>
      <c r="BF99" s="13">
        <f t="shared" si="91"/>
        <v>38.984634390835623</v>
      </c>
      <c r="BG99" s="20">
        <f t="shared" si="61"/>
        <v>332.26233823070532</v>
      </c>
      <c r="BH99" s="59">
        <f t="shared" si="62"/>
        <v>608.51139042709269</v>
      </c>
      <c r="BI99" s="59">
        <f ca="1">AVERAGE(OFFSET($BH$3,0,0,'Données projet'!$E$11+1,1))-AVERAGE(OFFSET($H$3,0,0,'Données projet'!$E$11+1,1))</f>
        <v>215.37314197175104</v>
      </c>
      <c r="BJ99" s="59">
        <f t="shared" si="92"/>
        <v>361.17630426655978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9.9330378824504688</v>
      </c>
      <c r="BQ99" s="21">
        <f>EXP(-LN(2)/25)*BQ98+(1-EXP(-LN(2)/25))/(LN(2)/25)*Calculateur!BL99*Calculateur!BN99*VLOOKUP('Données projet'!$B$11,Paramètres!$A$1:$I$89,3,0)*0.475*44/12</f>
        <v>15.407763787736078</v>
      </c>
      <c r="BR99" s="21">
        <f>EXP(-LN(2)/2)*BR98+(1-EXP(-LN(2)/2))/(LN(2)/2)*BL99*BO99*VLOOKUP('Données projet'!$B$11,Paramètres!$A$1:$I$89,3,0)*0.475*44/12</f>
        <v>2.951804964013367E-12</v>
      </c>
      <c r="BS99" s="22">
        <f t="shared" si="63"/>
        <v>25.340801670189499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0.8600000000003547</v>
      </c>
      <c r="BZ99" s="13">
        <f>BY99*VLOOKUP('Données projet'!$B$12,Paramètres!$A$1:$I$89,3,0)*VLOOKUP('Données projet'!$B$12,Paramètres!$A$1:$I$89,5,0)</f>
        <v>0.48074000000019829</v>
      </c>
      <c r="CA99" s="13">
        <f t="shared" si="93"/>
        <v>0.24126147010950588</v>
      </c>
      <c r="CB99" s="20">
        <f t="shared" si="64"/>
        <v>1.2574858937744013</v>
      </c>
      <c r="CC99" s="59">
        <f t="shared" si="65"/>
        <v>277.50653809016183</v>
      </c>
      <c r="CD99" s="59">
        <f ca="1">AVERAGE(OFFSET($CC$3,0,0,'Données projet'!$E$12+1,1))-AVERAGE(OFFSET($H$3,0,0,'Données projet'!$E$12+1,1))</f>
        <v>420.4890915162182</v>
      </c>
      <c r="CE99" s="59">
        <f t="shared" si="94"/>
        <v>553.48432338023565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165.06780397149927</v>
      </c>
      <c r="CL99" s="21">
        <f>EXP(-LN(2)/25)*CL98+(1-EXP(-LN(2)/25))/(LN(2)/25)*Calculateur!CG99*Calculateur!CI99*VLOOKUP('Données projet'!$B$12,Paramètres!$A$1:$I$89,3,0)*0.475*44/12</f>
        <v>8.1130599459146335</v>
      </c>
      <c r="CM99" s="21">
        <f>EXP(-LN(2)/2)*CM98+(1-EXP(-LN(2)/2))/(LN(2)/2)*CG99*CJ99*VLOOKUP('Données projet'!$B$12,Paramètres!$A$1:$I$89,3,0)*0.475*44/12</f>
        <v>8.613808651720315E-11</v>
      </c>
      <c r="CN99" s="22">
        <f t="shared" si="66"/>
        <v>173.18086391750006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367.99999999999972</v>
      </c>
      <c r="CU99" s="17">
        <f>CT99*VLOOKUP('Données projet'!$B$13,Paramètres!$A$1:$I$89,3,0)*VLOOKUP('Données projet'!$B$13,Paramètres!$A$1:$I$89,5,0)</f>
        <v>269.8175999999998</v>
      </c>
      <c r="CV99" s="13">
        <f t="shared" si="95"/>
        <v>64.810557882019467</v>
      </c>
      <c r="CW99" s="20">
        <f t="shared" si="67"/>
        <v>582.81070831118348</v>
      </c>
      <c r="CX99" s="59">
        <f t="shared" si="68"/>
        <v>859.0597605075709</v>
      </c>
      <c r="CY99" s="59">
        <f ca="1">AVERAGE(OFFSET($CX$3,0,0,'Données projet'!$E$13+1,1))-AVERAGE(OFFSET($H$3,0,0,'Données projet'!$E$13+1,1))</f>
        <v>400.48995908576177</v>
      </c>
      <c r="CZ99" s="59">
        <f t="shared" si="96"/>
        <v>384.86917865380076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33.567397599365002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33.567397599365002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367.99999999999972</v>
      </c>
      <c r="DP99" s="17">
        <f>DO99*VLOOKUP('Données projet'!$B$14,Paramètres!$A$1:$I$89,3,0)*VLOOKUP('Données projet'!$B$14,Paramètres!$A$1:$I$89,5,0)</f>
        <v>292.78079999999977</v>
      </c>
      <c r="DQ99" s="13">
        <f t="shared" si="97"/>
        <v>69.660903052386217</v>
      </c>
      <c r="DR99" s="20">
        <f t="shared" si="70"/>
        <v>631.25263281623893</v>
      </c>
      <c r="DS99" s="59">
        <f t="shared" si="71"/>
        <v>907.50168501262635</v>
      </c>
      <c r="DT99" s="59">
        <f ca="1">AVERAGE(OFFSET($DS$3,0,0,'Données projet'!$E$14+1,1))-AVERAGE(OFFSET($H$3,0,0,'Données projet'!$E$14+1,1))</f>
        <v>429.30603040255431</v>
      </c>
      <c r="DU99" s="59">
        <f t="shared" si="98"/>
        <v>412.18613903804726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44.89494097530109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44.89494097530109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210.25641025641013</v>
      </c>
      <c r="EK99" s="17">
        <f>EJ99*VLOOKUP('Données projet'!$B$15,Paramètres!$A$1:$I$89,3,0)*VLOOKUP('Données projet'!$B$15,Paramètres!$A$1:$I$89,5,0)</f>
        <v>163.99999999999991</v>
      </c>
      <c r="EL99" s="13">
        <f t="shared" si="99"/>
        <v>41.743425908362248</v>
      </c>
      <c r="EM99" s="20">
        <f t="shared" si="73"/>
        <v>358.33646679039742</v>
      </c>
      <c r="EN99" s="59">
        <f t="shared" si="74"/>
        <v>634.58551898678479</v>
      </c>
      <c r="EO99" s="59">
        <f ca="1">AVERAGE(OFFSET($EN$3,0,0,'Données projet'!$E$15+1,1))-AVERAGE(OFFSET($H$3,0,0,'Données projet'!$E$15+1,1))</f>
        <v>217.53602321474159</v>
      </c>
      <c r="EP99" s="59">
        <f t="shared" si="100"/>
        <v>215.75909414893025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18.91960770472825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18.91960770472825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9.9470000000000027</v>
      </c>
      <c r="FE99" s="12">
        <f>IF('Données projet'!$A$218&gt;35,FE98+FD99-FM98,IF(A99&lt;'Données projet'!$A$218,$FB$205^A99,IF(A99='Données projet'!$A$218,'Données projet'!$B$218,FE98+FD99-FM98)))</f>
        <v>434.95900000000012</v>
      </c>
      <c r="FF99" s="17">
        <f>FE99*VLOOKUP('Données projet'!$B$16,Paramètres!$A$1:$I$89,3,0)*VLOOKUP('Données projet'!$B$16,Paramètres!$A$1:$I$89,5,0)</f>
        <v>291.77049720000008</v>
      </c>
      <c r="FG99" s="13">
        <f t="shared" si="101"/>
        <v>69.448460703636997</v>
      </c>
      <c r="FH99" s="20">
        <f t="shared" si="76"/>
        <v>629.12301834883453</v>
      </c>
      <c r="FI99" s="59">
        <f t="shared" si="77"/>
        <v>905.37207054522196</v>
      </c>
      <c r="FJ99" s="59">
        <f ca="1">AVERAGE(OFFSET($FI$3,0,0,'Données projet'!$E$16+1,1))-AVERAGE(OFFSET($H$3,0,0,'Données projet'!$E$16+1,1))</f>
        <v>441.20130048888439</v>
      </c>
      <c r="FK99" s="59">
        <f t="shared" si="102"/>
        <v>237.47732532183946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96.566173559670929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96.566173559670929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204.00000000000017</v>
      </c>
      <c r="GA99" s="17">
        <f>FZ99*VLOOKUP('Données projet'!$B$17,Paramètres!$A$1:$I$89,3,0)*VLOOKUP('Données projet'!$B$17,Paramètres!$A$1:$I$89,5,0)</f>
        <v>133.66080000000011</v>
      </c>
      <c r="GB99" s="13">
        <f t="shared" si="103"/>
        <v>34.840890682716783</v>
      </c>
      <c r="GC99" s="20">
        <f t="shared" si="79"/>
        <v>293.4737779390652</v>
      </c>
      <c r="GD99" s="59">
        <f t="shared" si="80"/>
        <v>569.72283013545257</v>
      </c>
      <c r="GE99" s="59">
        <f ca="1">AVERAGE(OFFSET($GD$3,0,0,'Données projet'!$E$17+1,1))-AVERAGE(OFFSET($H$3,0,0,'Données projet'!$E$17+1,1))</f>
        <v>257.66104339896992</v>
      </c>
      <c r="GF99" s="59">
        <f t="shared" si="104"/>
        <v>254.79488636184996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34.997146984045948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34.997146984045948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234.00000000000003</v>
      </c>
      <c r="GV99" s="17">
        <f>GU99*VLOOKUP('Données projet'!$B$18,Paramètres!$A$1:$I$89,3,0)*VLOOKUP('Données projet'!$B$18,Paramètres!$A$1:$I$89,5,0)</f>
        <v>189.82080000000005</v>
      </c>
      <c r="GW99" s="13">
        <f t="shared" si="105"/>
        <v>47.500332100049796</v>
      </c>
      <c r="GX99" s="20">
        <f t="shared" si="82"/>
        <v>413.33430507425345</v>
      </c>
      <c r="GY99" s="59">
        <f t="shared" si="83"/>
        <v>689.58335727064082</v>
      </c>
      <c r="GZ99" s="59">
        <f ca="1">AVERAGE(OFFSET($GY$3,0,0,'Données projet'!$E$18+1,1))-AVERAGE(OFFSET($H$3,0,0,'Données projet'!$E$18+1,1))</f>
        <v>299.98377156721153</v>
      </c>
      <c r="HA99" s="59">
        <f t="shared" si="106"/>
        <v>241.36164657721102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33.717631555884772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33.717631555884772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9.9470000000000027</v>
      </c>
      <c r="N100" s="13">
        <f>IF('Données projet'!$A$36&gt;35,N99+M100-V99,IF(A100&lt;'Données projet'!$A$36,$K$205^A100,IF(A100='Données projet'!$A$36,'Données projet'!$B$36,N99+M100-V99)))</f>
        <v>444.90600000000012</v>
      </c>
      <c r="O100" s="13">
        <f>N100*VLOOKUP('Données projet'!$B$9,Paramètres!$A$1:$I$89,3,0)*VLOOKUP('Données projet'!$B$9,Paramètres!$A$1:$I$89,5,0)</f>
        <v>402.55094880000007</v>
      </c>
      <c r="P100" s="13">
        <f t="shared" si="87"/>
        <v>92.293639443453927</v>
      </c>
      <c r="Q100" s="20">
        <f t="shared" si="107"/>
        <v>861.85432452401562</v>
      </c>
      <c r="R100" s="59">
        <f t="shared" si="55"/>
        <v>1138.3997508033985</v>
      </c>
      <c r="S100" s="59">
        <f ca="1">AVERAGE(OFFSET($R$3,0,0,'Données projet'!$E$9+1,1))-AVERAGE(OFFSET($H$3,0,0,'Données projet'!$E$9+1,1))</f>
        <v>567.42635821507474</v>
      </c>
      <c r="T100" s="59">
        <f t="shared" si="88"/>
        <v>299.04735309930152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103.6039443047456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103.6039443047456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8.1999999999999993</v>
      </c>
      <c r="AI100" s="13">
        <f>IF('Données projet'!$A$62&gt;35,AI99+AH100-AQ99,IF(A100&lt;'Données projet'!$A$62,$AF$205^A100,IF(A100='Données projet'!$A$62,'Données projet'!$B$62,AI99+AH100-AQ99)))</f>
        <v>449.40000000000003</v>
      </c>
      <c r="AJ100" s="13">
        <f>AI100*VLOOKUP('Données projet'!$B$10,Paramètres!$A$1:$I$89,3,0)*VLOOKUP('Données projet'!$B$10,Paramètres!$A$1:$I$89,5,0)</f>
        <v>385.5852000000001</v>
      </c>
      <c r="AK100" s="13">
        <f t="shared" si="89"/>
        <v>88.84807267555091</v>
      </c>
      <c r="AL100" s="20">
        <f t="shared" si="58"/>
        <v>826.30461657658464</v>
      </c>
      <c r="AM100" s="59">
        <f t="shared" si="59"/>
        <v>1102.8500428559673</v>
      </c>
      <c r="AN100" s="59">
        <f ca="1">AVERAGE(OFFSET($AM$3,0,0,'Données projet'!$E$10+1,1))-AVERAGE(OFFSET($H$3,0,0,'Données projet'!$E$10+1,1))</f>
        <v>569.97793593332699</v>
      </c>
      <c r="AO100" s="59">
        <f t="shared" si="90"/>
        <v>331.25104323342907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124.54892508187658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124.54892508187658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277.99999999999994</v>
      </c>
      <c r="BE100" s="13">
        <f>BD100*VLOOKUP('Données projet'!$B$11,Paramètres!$A$1:$I$89,3,0)*VLOOKUP('Données projet'!$B$11,Paramètres!$A$1:$I$89,5,0)</f>
        <v>151.78799999999998</v>
      </c>
      <c r="BF100" s="13">
        <f t="shared" si="91"/>
        <v>38.984634390835623</v>
      </c>
      <c r="BG100" s="20">
        <f t="shared" si="61"/>
        <v>332.26233823070532</v>
      </c>
      <c r="BH100" s="59">
        <f t="shared" si="62"/>
        <v>608.80776451008819</v>
      </c>
      <c r="BI100" s="59">
        <f ca="1">AVERAGE(OFFSET($BH$3,0,0,'Données projet'!$E$11+1,1))-AVERAGE(OFFSET($H$3,0,0,'Données projet'!$E$11+1,1))</f>
        <v>215.37314197175104</v>
      </c>
      <c r="BJ100" s="59">
        <f t="shared" si="92"/>
        <v>361.17630426655978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9.7382570681304905</v>
      </c>
      <c r="BQ100" s="21">
        <f>EXP(-LN(2)/25)*BQ99+(1-EXP(-LN(2)/25))/(LN(2)/25)*Calculateur!BL100*Calculateur!BN100*VLOOKUP('Données projet'!$B$11,Paramètres!$A$1:$I$89,3,0)*0.475*44/12</f>
        <v>14.986437676701353</v>
      </c>
      <c r="BR100" s="21">
        <f>EXP(-LN(2)/2)*BR99+(1-EXP(-LN(2)/2))/(LN(2)/2)*BL100*BO100*VLOOKUP('Données projet'!$B$11,Paramètres!$A$1:$I$89,3,0)*0.475*44/12</f>
        <v>2.0872413067939646E-12</v>
      </c>
      <c r="BS100" s="22">
        <f t="shared" si="63"/>
        <v>24.724694744833933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0.8600000000003547</v>
      </c>
      <c r="BZ100" s="13">
        <f>BY100*VLOOKUP('Données projet'!$B$12,Paramètres!$A$1:$I$89,3,0)*VLOOKUP('Données projet'!$B$12,Paramètres!$A$1:$I$89,5,0)</f>
        <v>0.48074000000019829</v>
      </c>
      <c r="CA100" s="13">
        <f t="shared" si="93"/>
        <v>0.24126147010950588</v>
      </c>
      <c r="CB100" s="20">
        <f t="shared" si="64"/>
        <v>1.2574858937744013</v>
      </c>
      <c r="CC100" s="59">
        <f t="shared" si="65"/>
        <v>277.80291217315721</v>
      </c>
      <c r="CD100" s="59">
        <f ca="1">AVERAGE(OFFSET($CC$3,0,0,'Données projet'!$E$12+1,1))-AVERAGE(OFFSET($H$3,0,0,'Données projet'!$E$12+1,1))</f>
        <v>420.4890915162182</v>
      </c>
      <c r="CE100" s="59">
        <f t="shared" si="94"/>
        <v>553.48432338023565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161.83092501703712</v>
      </c>
      <c r="CL100" s="21">
        <f>EXP(-LN(2)/25)*CL99+(1-EXP(-LN(2)/25))/(LN(2)/25)*Calculateur!CG100*Calculateur!CI100*VLOOKUP('Données projet'!$B$12,Paramètres!$A$1:$I$89,3,0)*0.475*44/12</f>
        <v>7.8912078950463176</v>
      </c>
      <c r="CM100" s="21">
        <f>EXP(-LN(2)/2)*CM99+(1-EXP(-LN(2)/2))/(LN(2)/2)*CG100*CJ100*VLOOKUP('Données projet'!$B$12,Paramètres!$A$1:$I$89,3,0)*0.475*44/12</f>
        <v>6.0908825094747865E-11</v>
      </c>
      <c r="CN100" s="22">
        <f t="shared" si="66"/>
        <v>169.72213291214433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367.99999999999972</v>
      </c>
      <c r="CU100" s="17">
        <f>CT100*VLOOKUP('Données projet'!$B$13,Paramètres!$A$1:$I$89,3,0)*VLOOKUP('Données projet'!$B$13,Paramètres!$A$1:$I$89,5,0)</f>
        <v>269.8175999999998</v>
      </c>
      <c r="CV100" s="13">
        <f t="shared" si="95"/>
        <v>64.810557882019467</v>
      </c>
      <c r="CW100" s="20">
        <f t="shared" si="67"/>
        <v>582.81070831118348</v>
      </c>
      <c r="CX100" s="59">
        <f t="shared" si="68"/>
        <v>859.35613459056628</v>
      </c>
      <c r="CY100" s="59">
        <f ca="1">AVERAGE(OFFSET($CX$3,0,0,'Données projet'!$E$13+1,1))-AVERAGE(OFFSET($H$3,0,0,'Données projet'!$E$13+1,1))</f>
        <v>400.48995908576177</v>
      </c>
      <c r="CZ100" s="59">
        <f t="shared" si="96"/>
        <v>384.86917865380076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32.909161406532341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32.909161406532341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367.99999999999972</v>
      </c>
      <c r="DP100" s="17">
        <f>DO100*VLOOKUP('Données projet'!$B$14,Paramètres!$A$1:$I$89,3,0)*VLOOKUP('Données projet'!$B$14,Paramètres!$A$1:$I$89,5,0)</f>
        <v>292.78079999999977</v>
      </c>
      <c r="DQ100" s="13">
        <f t="shared" si="97"/>
        <v>69.660903052386217</v>
      </c>
      <c r="DR100" s="20">
        <f t="shared" si="70"/>
        <v>631.25263281623893</v>
      </c>
      <c r="DS100" s="59">
        <f t="shared" si="71"/>
        <v>907.79805909562174</v>
      </c>
      <c r="DT100" s="59">
        <f ca="1">AVERAGE(OFFSET($DS$3,0,0,'Données projet'!$E$14+1,1))-AVERAGE(OFFSET($H$3,0,0,'Données projet'!$E$14+1,1))</f>
        <v>429.30603040255431</v>
      </c>
      <c r="DU100" s="59">
        <f t="shared" si="98"/>
        <v>412.18613903804726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44.014578565985566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44.014578565985566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210.25641025641013</v>
      </c>
      <c r="EK100" s="17">
        <f>EJ100*VLOOKUP('Données projet'!$B$15,Paramètres!$A$1:$I$89,3,0)*VLOOKUP('Données projet'!$B$15,Paramètres!$A$1:$I$89,5,0)</f>
        <v>163.99999999999991</v>
      </c>
      <c r="EL100" s="13">
        <f t="shared" si="99"/>
        <v>41.743425908362248</v>
      </c>
      <c r="EM100" s="20">
        <f t="shared" si="73"/>
        <v>358.33646679039742</v>
      </c>
      <c r="EN100" s="59">
        <f t="shared" si="74"/>
        <v>634.88189306978029</v>
      </c>
      <c r="EO100" s="59">
        <f ca="1">AVERAGE(OFFSET($EN$3,0,0,'Données projet'!$E$15+1,1))-AVERAGE(OFFSET($H$3,0,0,'Données projet'!$E$15+1,1))</f>
        <v>217.53602321474159</v>
      </c>
      <c r="EP100" s="59">
        <f t="shared" si="100"/>
        <v>215.75909414893025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18.548605737459766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18.548605737459766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9.9470000000000027</v>
      </c>
      <c r="FE100" s="12">
        <f>IF('Données projet'!$A$218&gt;35,FE99+FD100-FM99,IF(A100&lt;'Données projet'!$A$218,$FB$205^A100,IF(A100='Données projet'!$A$218,'Données projet'!$B$218,FE99+FD100-FM99)))</f>
        <v>444.90600000000012</v>
      </c>
      <c r="FF100" s="17">
        <f>FE100*VLOOKUP('Données projet'!$B$16,Paramètres!$A$1:$I$89,3,0)*VLOOKUP('Données projet'!$B$16,Paramètres!$A$1:$I$89,5,0)</f>
        <v>298.44294480000008</v>
      </c>
      <c r="FG100" s="13">
        <f t="shared" si="101"/>
        <v>70.849946106813846</v>
      </c>
      <c r="FH100" s="20">
        <f t="shared" si="76"/>
        <v>643.18511832936758</v>
      </c>
      <c r="FI100" s="59">
        <f t="shared" si="77"/>
        <v>919.73054460875039</v>
      </c>
      <c r="FJ100" s="59">
        <f ca="1">AVERAGE(OFFSET($FI$3,0,0,'Données projet'!$E$16+1,1))-AVERAGE(OFFSET($H$3,0,0,'Données projet'!$E$16+1,1))</f>
        <v>441.20130048888439</v>
      </c>
      <c r="FK100" s="59">
        <f t="shared" si="102"/>
        <v>237.47732532183946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94.672569795715802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94.672569795715802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204.00000000000017</v>
      </c>
      <c r="GA100" s="17">
        <f>FZ100*VLOOKUP('Données projet'!$B$17,Paramètres!$A$1:$I$89,3,0)*VLOOKUP('Données projet'!$B$17,Paramètres!$A$1:$I$89,5,0)</f>
        <v>133.66080000000011</v>
      </c>
      <c r="GB100" s="13">
        <f t="shared" si="103"/>
        <v>34.840890682716783</v>
      </c>
      <c r="GC100" s="20">
        <f t="shared" si="79"/>
        <v>293.4737779390652</v>
      </c>
      <c r="GD100" s="59">
        <f t="shared" si="80"/>
        <v>570.01920421844807</v>
      </c>
      <c r="GE100" s="59">
        <f ca="1">AVERAGE(OFFSET($GD$3,0,0,'Données projet'!$E$17+1,1))-AVERAGE(OFFSET($H$3,0,0,'Données projet'!$E$17+1,1))</f>
        <v>257.66104339896992</v>
      </c>
      <c r="GF100" s="59">
        <f t="shared" si="104"/>
        <v>254.79488636184996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34.310874277840711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34.310874277840711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234.00000000000003</v>
      </c>
      <c r="GV100" s="17">
        <f>GU100*VLOOKUP('Données projet'!$B$18,Paramètres!$A$1:$I$89,3,0)*VLOOKUP('Données projet'!$B$18,Paramètres!$A$1:$I$89,5,0)</f>
        <v>189.82080000000005</v>
      </c>
      <c r="GW100" s="13">
        <f t="shared" si="105"/>
        <v>47.500332100049796</v>
      </c>
      <c r="GX100" s="20">
        <f t="shared" si="82"/>
        <v>413.33430507425345</v>
      </c>
      <c r="GY100" s="59">
        <f t="shared" si="83"/>
        <v>689.87973135363632</v>
      </c>
      <c r="GZ100" s="59">
        <f ca="1">AVERAGE(OFFSET($GY$3,0,0,'Données projet'!$E$18+1,1))-AVERAGE(OFFSET($H$3,0,0,'Données projet'!$E$18+1,1))</f>
        <v>299.98377156721153</v>
      </c>
      <c r="HA100" s="59">
        <f t="shared" si="106"/>
        <v>241.36164657721102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33.056449366798425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33.056449366798425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9.9470000000000027</v>
      </c>
      <c r="N101" s="13">
        <f>IF('Données projet'!$A$36&gt;35,N100+M101-V100,IF(A101&lt;'Données projet'!$A$36,$K$205^A101,IF(A101='Données projet'!$A$36,'Données projet'!$B$36,N100+M101-V100)))</f>
        <v>454.85300000000012</v>
      </c>
      <c r="O101" s="13">
        <f>N101*VLOOKUP('Données projet'!$B$9,Paramètres!$A$1:$I$89,3,0)*VLOOKUP('Données projet'!$B$9,Paramètres!$A$1:$I$89,5,0)</f>
        <v>411.55099440000004</v>
      </c>
      <c r="P101" s="13">
        <f t="shared" si="87"/>
        <v>94.11455795809178</v>
      </c>
      <c r="Q101" s="20">
        <f t="shared" si="107"/>
        <v>880.70083702367663</v>
      </c>
      <c r="R101" s="59">
        <f t="shared" si="55"/>
        <v>1157.537495958308</v>
      </c>
      <c r="S101" s="59">
        <f ca="1">AVERAGE(OFFSET($R$3,0,0,'Données projet'!$E$9+1,1))-AVERAGE(OFFSET($H$3,0,0,'Données projet'!$E$9+1,1))</f>
        <v>567.42635821507474</v>
      </c>
      <c r="T101" s="59">
        <f t="shared" si="88"/>
        <v>299.04735309930152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101.57233414909585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101.57233414909585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8.1999999999999993</v>
      </c>
      <c r="AI101" s="13">
        <f>IF('Données projet'!$A$62&gt;35,AI100+AH101-AQ100,IF(A101&lt;'Données projet'!$A$62,$AF$205^A101,IF(A101='Données projet'!$A$62,'Données projet'!$B$62,AI100+AH101-AQ100)))</f>
        <v>457.6</v>
      </c>
      <c r="AJ101" s="13">
        <f>AI101*VLOOKUP('Données projet'!$B$10,Paramètres!$A$1:$I$89,3,0)*VLOOKUP('Données projet'!$B$10,Paramètres!$A$1:$I$89,5,0)</f>
        <v>392.62080000000009</v>
      </c>
      <c r="AK101" s="13">
        <f t="shared" si="89"/>
        <v>90.279028293744005</v>
      </c>
      <c r="AL101" s="20">
        <f t="shared" si="58"/>
        <v>841.0505342782709</v>
      </c>
      <c r="AM101" s="59">
        <f t="shared" si="59"/>
        <v>1117.8871932129023</v>
      </c>
      <c r="AN101" s="59">
        <f ca="1">AVERAGE(OFFSET($AM$3,0,0,'Données projet'!$E$10+1,1))-AVERAGE(OFFSET($H$3,0,0,'Données projet'!$E$10+1,1))</f>
        <v>569.97793593332699</v>
      </c>
      <c r="AO101" s="59">
        <f t="shared" si="90"/>
        <v>331.25104323342907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122.10659662836413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122.10659662836413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277.99999999999994</v>
      </c>
      <c r="BE101" s="13">
        <f>BD101*VLOOKUP('Données projet'!$B$11,Paramètres!$A$1:$I$89,3,0)*VLOOKUP('Données projet'!$B$11,Paramètres!$A$1:$I$89,5,0)</f>
        <v>151.78799999999998</v>
      </c>
      <c r="BF101" s="13">
        <f t="shared" si="91"/>
        <v>38.984634390835623</v>
      </c>
      <c r="BG101" s="20">
        <f t="shared" si="61"/>
        <v>332.26233823070532</v>
      </c>
      <c r="BH101" s="59">
        <f t="shared" si="62"/>
        <v>609.09899716533664</v>
      </c>
      <c r="BI101" s="59">
        <f ca="1">AVERAGE(OFFSET($BH$3,0,0,'Données projet'!$E$11+1,1))-AVERAGE(OFFSET($H$3,0,0,'Données projet'!$E$11+1,1))</f>
        <v>215.37314197175104</v>
      </c>
      <c r="BJ101" s="59">
        <f t="shared" si="92"/>
        <v>361.17630426655978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9.547295786774761</v>
      </c>
      <c r="BQ101" s="21">
        <f>EXP(-LN(2)/25)*BQ100+(1-EXP(-LN(2)/25))/(LN(2)/25)*Calculateur!BL101*Calculateur!BN101*VLOOKUP('Données projet'!$B$11,Paramètres!$A$1:$I$89,3,0)*0.475*44/12</f>
        <v>14.576632750329448</v>
      </c>
      <c r="BR101" s="21">
        <f>EXP(-LN(2)/2)*BR100+(1-EXP(-LN(2)/2))/(LN(2)/2)*BL101*BO101*VLOOKUP('Données projet'!$B$11,Paramètres!$A$1:$I$89,3,0)*0.475*44/12</f>
        <v>1.4759024820066835E-12</v>
      </c>
      <c r="BS101" s="22">
        <f t="shared" si="63"/>
        <v>24.123928537105684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0.8600000000003547</v>
      </c>
      <c r="BZ101" s="13">
        <f>BY101*VLOOKUP('Données projet'!$B$12,Paramètres!$A$1:$I$89,3,0)*VLOOKUP('Données projet'!$B$12,Paramètres!$A$1:$I$89,5,0)</f>
        <v>0.48074000000019829</v>
      </c>
      <c r="CA101" s="13">
        <f t="shared" si="93"/>
        <v>0.24126147010950588</v>
      </c>
      <c r="CB101" s="20">
        <f t="shared" si="64"/>
        <v>1.2574858937744013</v>
      </c>
      <c r="CC101" s="59">
        <f t="shared" si="65"/>
        <v>278.09414482840577</v>
      </c>
      <c r="CD101" s="59">
        <f ca="1">AVERAGE(OFFSET($CC$3,0,0,'Données projet'!$E$12+1,1))-AVERAGE(OFFSET($H$3,0,0,'Données projet'!$E$12+1,1))</f>
        <v>420.4890915162182</v>
      </c>
      <c r="CE101" s="59">
        <f t="shared" si="94"/>
        <v>553.48432338023565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158.65751928457075</v>
      </c>
      <c r="CL101" s="21">
        <f>EXP(-LN(2)/25)*CL100+(1-EXP(-LN(2)/25))/(LN(2)/25)*Calculateur!CG101*Calculateur!CI101*VLOOKUP('Données projet'!$B$12,Paramètres!$A$1:$I$89,3,0)*0.475*44/12</f>
        <v>7.6754224001756883</v>
      </c>
      <c r="CM101" s="21">
        <f>EXP(-LN(2)/2)*CM100+(1-EXP(-LN(2)/2))/(LN(2)/2)*CG101*CJ101*VLOOKUP('Données projet'!$B$12,Paramètres!$A$1:$I$89,3,0)*0.475*44/12</f>
        <v>4.3069043258601575E-11</v>
      </c>
      <c r="CN101" s="22">
        <f t="shared" si="66"/>
        <v>166.33294168478949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367.99999999999972</v>
      </c>
      <c r="CU101" s="17">
        <f>CT101*VLOOKUP('Données projet'!$B$13,Paramètres!$A$1:$I$89,3,0)*VLOOKUP('Données projet'!$B$13,Paramètres!$A$1:$I$89,5,0)</f>
        <v>269.8175999999998</v>
      </c>
      <c r="CV101" s="13">
        <f t="shared" si="95"/>
        <v>64.810557882019467</v>
      </c>
      <c r="CW101" s="20">
        <f t="shared" si="67"/>
        <v>582.81070831118348</v>
      </c>
      <c r="CX101" s="59">
        <f t="shared" si="68"/>
        <v>859.64736724581485</v>
      </c>
      <c r="CY101" s="59">
        <f ca="1">AVERAGE(OFFSET($CX$3,0,0,'Données projet'!$E$13+1,1))-AVERAGE(OFFSET($H$3,0,0,'Données projet'!$E$13+1,1))</f>
        <v>400.48995908576177</v>
      </c>
      <c r="CZ101" s="59">
        <f t="shared" si="96"/>
        <v>384.86917865380076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32.263832823956697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32.263832823956697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367.99999999999972</v>
      </c>
      <c r="DP101" s="17">
        <f>DO101*VLOOKUP('Données projet'!$B$14,Paramètres!$A$1:$I$89,3,0)*VLOOKUP('Données projet'!$B$14,Paramètres!$A$1:$I$89,5,0)</f>
        <v>292.78079999999977</v>
      </c>
      <c r="DQ101" s="13">
        <f t="shared" si="97"/>
        <v>69.660903052386217</v>
      </c>
      <c r="DR101" s="20">
        <f t="shared" si="70"/>
        <v>631.25263281623893</v>
      </c>
      <c r="DS101" s="59">
        <f t="shared" si="71"/>
        <v>908.0892917508703</v>
      </c>
      <c r="DT101" s="59">
        <f ca="1">AVERAGE(OFFSET($DS$3,0,0,'Données projet'!$E$14+1,1))-AVERAGE(OFFSET($H$3,0,0,'Données projet'!$E$14+1,1))</f>
        <v>429.30603040255431</v>
      </c>
      <c r="DU101" s="59">
        <f t="shared" si="98"/>
        <v>412.18613903804726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43.15147952654867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43.15147952654867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210.25641025641013</v>
      </c>
      <c r="EK101" s="17">
        <f>EJ101*VLOOKUP('Données projet'!$B$15,Paramètres!$A$1:$I$89,3,0)*VLOOKUP('Données projet'!$B$15,Paramètres!$A$1:$I$89,5,0)</f>
        <v>163.99999999999991</v>
      </c>
      <c r="EL101" s="13">
        <f t="shared" si="99"/>
        <v>41.743425908362248</v>
      </c>
      <c r="EM101" s="20">
        <f t="shared" si="73"/>
        <v>358.33646679039742</v>
      </c>
      <c r="EN101" s="59">
        <f t="shared" si="74"/>
        <v>635.17312572502874</v>
      </c>
      <c r="EO101" s="59">
        <f ca="1">AVERAGE(OFFSET($EN$3,0,0,'Données projet'!$E$15+1,1))-AVERAGE(OFFSET($H$3,0,0,'Données projet'!$E$15+1,1))</f>
        <v>217.53602321474159</v>
      </c>
      <c r="EP101" s="59">
        <f t="shared" si="100"/>
        <v>215.75909414893025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18.184878892480562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18.184878892480562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9.9470000000000027</v>
      </c>
      <c r="FE101" s="12">
        <f>IF('Données projet'!$A$218&gt;35,FE100+FD101-FM100,IF(A101&lt;'Données projet'!$A$218,$FB$205^A101,IF(A101='Données projet'!$A$218,'Données projet'!$B$218,FE100+FD101-FM100)))</f>
        <v>454.85300000000012</v>
      </c>
      <c r="FF101" s="17">
        <f>FE101*VLOOKUP('Données projet'!$B$16,Paramètres!$A$1:$I$89,3,0)*VLOOKUP('Données projet'!$B$16,Paramètres!$A$1:$I$89,5,0)</f>
        <v>305.11539240000008</v>
      </c>
      <c r="FG101" s="13">
        <f t="shared" si="101"/>
        <v>72.247788681935546</v>
      </c>
      <c r="FH101" s="20">
        <f t="shared" si="76"/>
        <v>657.24087371770452</v>
      </c>
      <c r="FI101" s="59">
        <f t="shared" si="77"/>
        <v>934.07753265233589</v>
      </c>
      <c r="FJ101" s="59">
        <f ca="1">AVERAGE(OFFSET($FI$3,0,0,'Données projet'!$E$16+1,1))-AVERAGE(OFFSET($H$3,0,0,'Données projet'!$E$16+1,1))</f>
        <v>441.20130048888439</v>
      </c>
      <c r="FK101" s="59">
        <f t="shared" si="102"/>
        <v>237.47732532183946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92.816098446587588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92.816098446587588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204.00000000000017</v>
      </c>
      <c r="GA101" s="17">
        <f>FZ101*VLOOKUP('Données projet'!$B$17,Paramètres!$A$1:$I$89,3,0)*VLOOKUP('Données projet'!$B$17,Paramètres!$A$1:$I$89,5,0)</f>
        <v>133.66080000000011</v>
      </c>
      <c r="GB101" s="13">
        <f t="shared" si="103"/>
        <v>34.840890682716783</v>
      </c>
      <c r="GC101" s="20">
        <f t="shared" si="79"/>
        <v>293.4737779390652</v>
      </c>
      <c r="GD101" s="59">
        <f t="shared" si="80"/>
        <v>570.31043687369652</v>
      </c>
      <c r="GE101" s="59">
        <f ca="1">AVERAGE(OFFSET($GD$3,0,0,'Données projet'!$E$17+1,1))-AVERAGE(OFFSET($H$3,0,0,'Données projet'!$E$17+1,1))</f>
        <v>257.66104339896992</v>
      </c>
      <c r="GF101" s="59">
        <f t="shared" si="104"/>
        <v>254.79488636184996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33.638058960819137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33.638058960819137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234.00000000000003</v>
      </c>
      <c r="GV101" s="17">
        <f>GU101*VLOOKUP('Données projet'!$B$18,Paramètres!$A$1:$I$89,3,0)*VLOOKUP('Données projet'!$B$18,Paramètres!$A$1:$I$89,5,0)</f>
        <v>189.82080000000005</v>
      </c>
      <c r="GW101" s="13">
        <f t="shared" si="105"/>
        <v>47.500332100049796</v>
      </c>
      <c r="GX101" s="20">
        <f t="shared" si="82"/>
        <v>413.33430507425345</v>
      </c>
      <c r="GY101" s="59">
        <f t="shared" si="83"/>
        <v>690.17096400888477</v>
      </c>
      <c r="GZ101" s="59">
        <f ca="1">AVERAGE(OFFSET($GY$3,0,0,'Données projet'!$E$18+1,1))-AVERAGE(OFFSET($H$3,0,0,'Données projet'!$E$18+1,1))</f>
        <v>299.98377156721153</v>
      </c>
      <c r="HA101" s="59">
        <f t="shared" si="106"/>
        <v>241.36164657721102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32.408232557158748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32.408232557158748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464.8</v>
      </c>
      <c r="L102" s="12">
        <f>VLOOKUP(A102,'Données projet'!$A$35:$I$55,9,0)</f>
        <v>9.9470000000000027</v>
      </c>
      <c r="M102" s="12">
        <f t="array" ref="M102">INDEX(L:L,MIN(IF(ISNUMBER(L102:L298),ROW(L102:L298),"")))</f>
        <v>9.9470000000000027</v>
      </c>
      <c r="N102" s="13">
        <f>IF('Données projet'!$A$36&gt;35,N101+M102-V101,IF(A102&lt;'Données projet'!$A$36,$K$205^A102,IF(A102='Données projet'!$A$36,'Données projet'!$B$36,N101+M102-V101)))</f>
        <v>464.80000000000013</v>
      </c>
      <c r="O102" s="13">
        <f>N102*VLOOKUP('Données projet'!$B$9,Paramètres!$A$1:$I$89,3,0)*VLOOKUP('Données projet'!$B$9,Paramètres!$A$1:$I$89,5,0)</f>
        <v>420.55104000000011</v>
      </c>
      <c r="P102" s="13">
        <f t="shared" si="87"/>
        <v>95.930846819060008</v>
      </c>
      <c r="Q102" s="20">
        <f t="shared" si="107"/>
        <v>899.53928620986301</v>
      </c>
      <c r="R102" s="59">
        <f t="shared" si="55"/>
        <v>1176.6621255642731</v>
      </c>
      <c r="S102" s="59">
        <f ca="1">AVERAGE(OFFSET($R$3,0,0,'Données projet'!$E$9+1,1))-AVERAGE(OFFSET($H$3,0,0,'Données projet'!$E$9+1,1))</f>
        <v>567.42635821507474</v>
      </c>
      <c r="T102" s="59">
        <f t="shared" si="88"/>
        <v>299.04735309930152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62.94</v>
      </c>
      <c r="W102" s="16">
        <f>IF(ISNA(VLOOKUP(A102,'Données projet'!$A$35:$I$55,5,0)),0%,VLOOKUP(A102,'Données projet'!$A$35:$I$55,5,0)*VLOOKUP('Données projet'!$B$9,Paramètres!$A$1:$I$89,7,0))</f>
        <v>0.43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126.65097655355829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126.65097655355829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8.1999999999999993</v>
      </c>
      <c r="AI102" s="13">
        <f>IF('Données projet'!$A$62&gt;35,AI101+AH102-AQ101,IF(A102&lt;'Données projet'!$A$62,$AF$205^A102,IF(A102='Données projet'!$A$62,'Données projet'!$B$62,AI101+AH102-AQ101)))</f>
        <v>465.8</v>
      </c>
      <c r="AJ102" s="13">
        <f>AI102*VLOOKUP('Données projet'!$B$10,Paramètres!$A$1:$I$89,3,0)*VLOOKUP('Données projet'!$B$10,Paramètres!$A$1:$I$89,5,0)</f>
        <v>399.65640000000008</v>
      </c>
      <c r="AK102" s="13">
        <f t="shared" si="89"/>
        <v>91.707002110648844</v>
      </c>
      <c r="AL102" s="20">
        <f t="shared" si="58"/>
        <v>855.79125867604671</v>
      </c>
      <c r="AM102" s="59">
        <f t="shared" si="59"/>
        <v>1132.9140980304569</v>
      </c>
      <c r="AN102" s="59">
        <f ca="1">AVERAGE(OFFSET($AM$3,0,0,'Données projet'!$E$10+1,1))-AVERAGE(OFFSET($H$3,0,0,'Données projet'!$E$10+1,1))</f>
        <v>569.97793593332699</v>
      </c>
      <c r="AO102" s="59">
        <f t="shared" si="90"/>
        <v>331.25104323342907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119.7121607461518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119.7121607461518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277.99999999999994</v>
      </c>
      <c r="BE102" s="13">
        <f>BD102*VLOOKUP('Données projet'!$B$11,Paramètres!$A$1:$I$89,3,0)*VLOOKUP('Données projet'!$B$11,Paramètres!$A$1:$I$89,5,0)</f>
        <v>151.78799999999998</v>
      </c>
      <c r="BF102" s="13">
        <f t="shared" si="91"/>
        <v>38.984634390835623</v>
      </c>
      <c r="BG102" s="20">
        <f t="shared" si="61"/>
        <v>332.26233823070532</v>
      </c>
      <c r="BH102" s="59">
        <f t="shared" si="62"/>
        <v>609.38517758511546</v>
      </c>
      <c r="BI102" s="59">
        <f ca="1">AVERAGE(OFFSET($BH$3,0,0,'Données projet'!$E$11+1,1))-AVERAGE(OFFSET($H$3,0,0,'Données projet'!$E$11+1,1))</f>
        <v>215.37314197175104</v>
      </c>
      <c r="BJ102" s="59">
        <f t="shared" si="92"/>
        <v>361.17630426655978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9.3600791396715373</v>
      </c>
      <c r="BQ102" s="21">
        <f>EXP(-LN(2)/25)*BQ101+(1-EXP(-LN(2)/25))/(LN(2)/25)*Calculateur!BL102*Calculateur!BN102*VLOOKUP('Données projet'!$B$11,Paramètres!$A$1:$I$89,3,0)*0.475*44/12</f>
        <v>14.178033961219889</v>
      </c>
      <c r="BR102" s="21">
        <f>EXP(-LN(2)/2)*BR101+(1-EXP(-LN(2)/2))/(LN(2)/2)*BL102*BO102*VLOOKUP('Données projet'!$B$11,Paramètres!$A$1:$I$89,3,0)*0.475*44/12</f>
        <v>1.0436206533969823E-12</v>
      </c>
      <c r="BS102" s="22">
        <f t="shared" si="63"/>
        <v>23.53811310089247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0.8600000000003547</v>
      </c>
      <c r="BZ102" s="13">
        <f>BY102*VLOOKUP('Données projet'!$B$12,Paramètres!$A$1:$I$89,3,0)*VLOOKUP('Données projet'!$B$12,Paramètres!$A$1:$I$89,5,0)</f>
        <v>0.48074000000019829</v>
      </c>
      <c r="CA102" s="13">
        <f t="shared" si="93"/>
        <v>0.24126147010950588</v>
      </c>
      <c r="CB102" s="20">
        <f t="shared" si="64"/>
        <v>1.2574858937744013</v>
      </c>
      <c r="CC102" s="59">
        <f t="shared" si="65"/>
        <v>278.38032524818453</v>
      </c>
      <c r="CD102" s="59">
        <f ca="1">AVERAGE(OFFSET($CC$3,0,0,'Données projet'!$E$12+1,1))-AVERAGE(OFFSET($H$3,0,0,'Données projet'!$E$12+1,1))</f>
        <v>420.4890915162182</v>
      </c>
      <c r="CE102" s="59">
        <f t="shared" si="94"/>
        <v>553.48432338023565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155.5463421029317</v>
      </c>
      <c r="CL102" s="21">
        <f>EXP(-LN(2)/25)*CL101+(1-EXP(-LN(2)/25))/(LN(2)/25)*Calculateur!CG102*Calculateur!CI102*VLOOKUP('Données projet'!$B$12,Paramètres!$A$1:$I$89,3,0)*0.475*44/12</f>
        <v>7.4655375710099623</v>
      </c>
      <c r="CM102" s="21">
        <f>EXP(-LN(2)/2)*CM101+(1-EXP(-LN(2)/2))/(LN(2)/2)*CG102*CJ102*VLOOKUP('Données projet'!$B$12,Paramètres!$A$1:$I$89,3,0)*0.475*44/12</f>
        <v>3.0454412547373933E-11</v>
      </c>
      <c r="CN102" s="22">
        <f t="shared" si="66"/>
        <v>163.01187967397215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367.99999999999972</v>
      </c>
      <c r="CU102" s="17">
        <f>CT102*VLOOKUP('Données projet'!$B$13,Paramètres!$A$1:$I$89,3,0)*VLOOKUP('Données projet'!$B$13,Paramètres!$A$1:$I$89,5,0)</f>
        <v>269.8175999999998</v>
      </c>
      <c r="CV102" s="13">
        <f t="shared" si="95"/>
        <v>64.810557882019467</v>
      </c>
      <c r="CW102" s="20">
        <f t="shared" si="67"/>
        <v>582.81070831118348</v>
      </c>
      <c r="CX102" s="59">
        <f t="shared" si="68"/>
        <v>859.93354766559355</v>
      </c>
      <c r="CY102" s="59">
        <f ca="1">AVERAGE(OFFSET($CX$3,0,0,'Données projet'!$E$13+1,1))-AVERAGE(OFFSET($H$3,0,0,'Données projet'!$E$13+1,1))</f>
        <v>400.48995908576177</v>
      </c>
      <c r="CZ102" s="59">
        <f t="shared" si="96"/>
        <v>384.86917865380076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31.63115874127379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31.63115874127379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367.99999999999972</v>
      </c>
      <c r="DP102" s="17">
        <f>DO102*VLOOKUP('Données projet'!$B$14,Paramètres!$A$1:$I$89,3,0)*VLOOKUP('Données projet'!$B$14,Paramètres!$A$1:$I$89,5,0)</f>
        <v>292.78079999999977</v>
      </c>
      <c r="DQ102" s="13">
        <f t="shared" si="97"/>
        <v>69.660903052386217</v>
      </c>
      <c r="DR102" s="20">
        <f t="shared" si="70"/>
        <v>631.25263281623893</v>
      </c>
      <c r="DS102" s="59">
        <f t="shared" si="71"/>
        <v>908.37547217064912</v>
      </c>
      <c r="DT102" s="59">
        <f ca="1">AVERAGE(OFFSET($DS$3,0,0,'Données projet'!$E$14+1,1))-AVERAGE(OFFSET($H$3,0,0,'Données projet'!$E$14+1,1))</f>
        <v>429.30603040255431</v>
      </c>
      <c r="DU102" s="59">
        <f t="shared" si="98"/>
        <v>412.18613903804726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42.305305332836696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42.305305332836696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210.25641025641013</v>
      </c>
      <c r="EK102" s="17">
        <f>EJ102*VLOOKUP('Données projet'!$B$15,Paramètres!$A$1:$I$89,3,0)*VLOOKUP('Données projet'!$B$15,Paramètres!$A$1:$I$89,5,0)</f>
        <v>163.99999999999991</v>
      </c>
      <c r="EL102" s="13">
        <f t="shared" si="99"/>
        <v>41.743425908362248</v>
      </c>
      <c r="EM102" s="20">
        <f t="shared" si="73"/>
        <v>358.33646679039742</v>
      </c>
      <c r="EN102" s="59">
        <f t="shared" si="74"/>
        <v>635.45930614480756</v>
      </c>
      <c r="EO102" s="59">
        <f ca="1">AVERAGE(OFFSET($EN$3,0,0,'Données projet'!$E$15+1,1))-AVERAGE(OFFSET($H$3,0,0,'Données projet'!$E$15+1,1))</f>
        <v>217.53602321474159</v>
      </c>
      <c r="EP102" s="59">
        <f t="shared" si="100"/>
        <v>215.75909414893025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17.828284509079928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17.828284509079928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>
        <f>VLOOKUP(A102,'Données projet'!$A$217:$I$237,2,0)</f>
        <v>464.8</v>
      </c>
      <c r="FC102" s="12">
        <f>VLOOKUP(A102,'Données projet'!$A$217:$I$237,9,0)</f>
        <v>9.9470000000000027</v>
      </c>
      <c r="FD102" s="12">
        <f t="array" ref="FD102">INDEX(FC:FC,MIN(IF(ISNUMBER(FC102:FC298),ROW(FC102:FC298),"")))</f>
        <v>9.9470000000000027</v>
      </c>
      <c r="FE102" s="12">
        <f>IF('Données projet'!$A$218&gt;35,FE101+FD102-FM101,IF(A102&lt;'Données projet'!$A$218,$FB$205^A102,IF(A102='Données projet'!$A$218,'Données projet'!$B$218,FE101+FD102-FM101)))</f>
        <v>464.80000000000013</v>
      </c>
      <c r="FF102" s="17">
        <f>FE102*VLOOKUP('Données projet'!$B$16,Paramètres!$A$1:$I$89,3,0)*VLOOKUP('Données projet'!$B$16,Paramètres!$A$1:$I$89,5,0)</f>
        <v>311.78784000000013</v>
      </c>
      <c r="FG102" s="13">
        <f t="shared" si="101"/>
        <v>73.642077266609391</v>
      </c>
      <c r="FH102" s="20">
        <f t="shared" si="76"/>
        <v>671.29043923934501</v>
      </c>
      <c r="FI102" s="59">
        <f t="shared" si="77"/>
        <v>948.41327859375519</v>
      </c>
      <c r="FJ102" s="59">
        <f ca="1">AVERAGE(OFFSET($FI$3,0,0,'Données projet'!$E$16+1,1))-AVERAGE(OFFSET($H$3,0,0,'Données projet'!$E$16+1,1))</f>
        <v>441.20130048888439</v>
      </c>
      <c r="FK102" s="59">
        <f t="shared" si="102"/>
        <v>237.47732532183946</v>
      </c>
      <c r="FL102" s="15">
        <f>IF(ISNA(VLOOKUP(A102,'Données projet'!$A$217:$I$237,3,0)),0,VLOOKUP(A102,'Données projet'!$A$217:$I$237,3,0))</f>
        <v>9</v>
      </c>
      <c r="FM102" s="15">
        <f>IF(ISNA(VLOOKUP(A102,'Données projet'!$A$217:$I$237,4,0)),0,VLOOKUP(A102,'Données projet'!$A$217:$I$237,4,0))</f>
        <v>62.94</v>
      </c>
      <c r="FN102" s="16">
        <f>IF(ISNA(VLOOKUP(A102,'Données projet'!$A$217:$I$237,5,0)),0%,VLOOKUP(A102,'Données projet'!$A$217:$I$237,5,0)*VLOOKUP('Données projet'!$B$16,Paramètres!$A$1:$I$89,7,0))</f>
        <v>0.53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115.73278891963086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115.73278891963086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204.00000000000017</v>
      </c>
      <c r="GA102" s="17">
        <f>FZ102*VLOOKUP('Données projet'!$B$17,Paramètres!$A$1:$I$89,3,0)*VLOOKUP('Données projet'!$B$17,Paramètres!$A$1:$I$89,5,0)</f>
        <v>133.66080000000011</v>
      </c>
      <c r="GB102" s="13">
        <f t="shared" si="103"/>
        <v>34.840890682716783</v>
      </c>
      <c r="GC102" s="20">
        <f t="shared" si="79"/>
        <v>293.4737779390652</v>
      </c>
      <c r="GD102" s="59">
        <f t="shared" si="80"/>
        <v>570.59661729347533</v>
      </c>
      <c r="GE102" s="59">
        <f ca="1">AVERAGE(OFFSET($GD$3,0,0,'Données projet'!$E$17+1,1))-AVERAGE(OFFSET($H$3,0,0,'Données projet'!$E$17+1,1))</f>
        <v>257.66104339896992</v>
      </c>
      <c r="GF102" s="59">
        <f t="shared" si="104"/>
        <v>254.79488636184996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32.978437141787538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32.978437141787538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234.00000000000003</v>
      </c>
      <c r="GV102" s="17">
        <f>GU102*VLOOKUP('Données projet'!$B$18,Paramètres!$A$1:$I$89,3,0)*VLOOKUP('Données projet'!$B$18,Paramètres!$A$1:$I$89,5,0)</f>
        <v>189.82080000000005</v>
      </c>
      <c r="GW102" s="13">
        <f t="shared" si="105"/>
        <v>47.500332100049796</v>
      </c>
      <c r="GX102" s="20">
        <f t="shared" si="82"/>
        <v>413.33430507425345</v>
      </c>
      <c r="GY102" s="59">
        <f t="shared" si="83"/>
        <v>690.45714442866358</v>
      </c>
      <c r="GZ102" s="59">
        <f ca="1">AVERAGE(OFFSET($GY$3,0,0,'Données projet'!$E$18+1,1))-AVERAGE(OFFSET($H$3,0,0,'Données projet'!$E$18+1,1))</f>
        <v>299.98377156721153</v>
      </c>
      <c r="HA102" s="59">
        <f t="shared" si="106"/>
        <v>241.36164657721102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31.772726883782887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31.772726883782887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9.7110000000000021</v>
      </c>
      <c r="N103" s="13">
        <f>IF('Données projet'!$A$36&gt;35,N102+M103-V102,IF(A103&lt;'Données projet'!$A$36,$K$205^A103,IF(A103='Données projet'!$A$36,'Données projet'!$B$36,N102+M103-V102)))</f>
        <v>411.57100000000014</v>
      </c>
      <c r="O103" s="13">
        <f>N103*VLOOKUP('Données projet'!$B$9,Paramètres!$A$1:$I$89,3,0)*VLOOKUP('Données projet'!$B$9,Paramètres!$A$1:$I$89,5,0)</f>
        <v>372.3894408000001</v>
      </c>
      <c r="P103" s="13">
        <f t="shared" si="87"/>
        <v>86.155960872174461</v>
      </c>
      <c r="Q103" s="20">
        <f t="shared" si="107"/>
        <v>798.63324124570397</v>
      </c>
      <c r="R103" s="59">
        <f t="shared" si="55"/>
        <v>1076.0372964294131</v>
      </c>
      <c r="S103" s="59">
        <f ca="1">AVERAGE(OFFSET($R$3,0,0,'Données projet'!$E$9+1,1))-AVERAGE(OFFSET($H$3,0,0,'Données projet'!$E$9+1,1))</f>
        <v>567.42635821507474</v>
      </c>
      <c r="T103" s="59">
        <f t="shared" si="88"/>
        <v>299.04735309930152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124.16742815281096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124.16742815281096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474</v>
      </c>
      <c r="AG103" s="12">
        <f>VLOOKUP(A103,'Données projet'!$A$61:$I$81,9,0)</f>
        <v>8.1999999999999993</v>
      </c>
      <c r="AH103" s="12">
        <f t="array" ref="AH103">INDEX(AG:AG,MIN(IF(ISNUMBER(AG103:AG299),ROW(AG103:AG299),"")))</f>
        <v>8.1999999999999993</v>
      </c>
      <c r="AI103" s="13">
        <f>IF('Données projet'!$A$62&gt;35,AI102+AH103-AQ102,IF(A103&lt;'Données projet'!$A$62,$AF$205^A103,IF(A103='Données projet'!$A$62,'Données projet'!$B$62,AI102+AH103-AQ102)))</f>
        <v>474</v>
      </c>
      <c r="AJ103" s="13">
        <f>AI103*VLOOKUP('Données projet'!$B$10,Paramètres!$A$1:$I$89,3,0)*VLOOKUP('Données projet'!$B$10,Paramètres!$A$1:$I$89,5,0)</f>
        <v>406.69200000000006</v>
      </c>
      <c r="AK103" s="13">
        <f t="shared" si="89"/>
        <v>93.132052674423107</v>
      </c>
      <c r="AL103" s="20">
        <f t="shared" si="58"/>
        <v>870.52689174128693</v>
      </c>
      <c r="AM103" s="59">
        <f t="shared" si="59"/>
        <v>1147.9309469249961</v>
      </c>
      <c r="AN103" s="59">
        <f ca="1">AVERAGE(OFFSET($AM$3,0,0,'Données projet'!$E$10+1,1))-AVERAGE(OFFSET($H$3,0,0,'Données projet'!$E$10+1,1))</f>
        <v>569.97793593332699</v>
      </c>
      <c r="AO103" s="59">
        <f t="shared" si="90"/>
        <v>331.25104323342907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29</v>
      </c>
      <c r="AR103" s="16">
        <f>IF(ISNA(VLOOKUP(A103,'Données projet'!$A$61:$I$81,5,0)),0%,VLOOKUP(A103,'Données projet'!$A$61:$I$81,5,0)*VLOOKUP('Données projet'!$B$10,Paramètres!$A$1:$I$89,7,0))</f>
        <v>0.53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131.94302470240356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131.94302470240356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277.99999999999994</v>
      </c>
      <c r="BE103" s="13">
        <f>BD103*VLOOKUP('Données projet'!$B$11,Paramètres!$A$1:$I$89,3,0)*VLOOKUP('Données projet'!$B$11,Paramètres!$A$1:$I$89,5,0)</f>
        <v>151.78799999999998</v>
      </c>
      <c r="BF103" s="13">
        <f t="shared" si="91"/>
        <v>38.984634390835623</v>
      </c>
      <c r="BG103" s="20">
        <f t="shared" si="61"/>
        <v>332.26233823070532</v>
      </c>
      <c r="BH103" s="59">
        <f t="shared" si="62"/>
        <v>609.66639341441453</v>
      </c>
      <c r="BI103" s="59">
        <f ca="1">AVERAGE(OFFSET($BH$3,0,0,'Données projet'!$E$11+1,1))-AVERAGE(OFFSET($H$3,0,0,'Données projet'!$E$11+1,1))</f>
        <v>215.37314197175104</v>
      </c>
      <c r="BJ103" s="59">
        <f t="shared" si="92"/>
        <v>361.17630426655978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9.1765336968271285</v>
      </c>
      <c r="BQ103" s="21">
        <f>EXP(-LN(2)/25)*BQ102+(1-EXP(-LN(2)/25))/(LN(2)/25)*Calculateur!BL103*Calculateur!BN103*VLOOKUP('Données projet'!$B$11,Paramètres!$A$1:$I$89,3,0)*0.475*44/12</f>
        <v>13.790334876959928</v>
      </c>
      <c r="BR103" s="21">
        <f>EXP(-LN(2)/2)*BR102+(1-EXP(-LN(2)/2))/(LN(2)/2)*BL103*BO103*VLOOKUP('Données projet'!$B$11,Paramètres!$A$1:$I$89,3,0)*0.475*44/12</f>
        <v>7.3795124100334174E-13</v>
      </c>
      <c r="BS103" s="22">
        <f t="shared" si="63"/>
        <v>22.966868573787796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0.8600000000003547</v>
      </c>
      <c r="BZ103" s="13">
        <f>BY103*VLOOKUP('Données projet'!$B$12,Paramètres!$A$1:$I$89,3,0)*VLOOKUP('Données projet'!$B$12,Paramètres!$A$1:$I$89,5,0)</f>
        <v>0.48074000000019829</v>
      </c>
      <c r="CA103" s="13">
        <f t="shared" si="93"/>
        <v>0.24126147010950588</v>
      </c>
      <c r="CB103" s="20">
        <f t="shared" si="64"/>
        <v>1.2574858937744013</v>
      </c>
      <c r="CC103" s="59">
        <f t="shared" si="65"/>
        <v>278.66154107748361</v>
      </c>
      <c r="CD103" s="59">
        <f ca="1">AVERAGE(OFFSET($CC$3,0,0,'Données projet'!$E$12+1,1))-AVERAGE(OFFSET($H$3,0,0,'Données projet'!$E$12+1,1))</f>
        <v>420.4890915162182</v>
      </c>
      <c r="CE103" s="59">
        <f t="shared" si="94"/>
        <v>553.48432338023565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152.49617320819388</v>
      </c>
      <c r="CL103" s="21">
        <f>EXP(-LN(2)/25)*CL102+(1-EXP(-LN(2)/25))/(LN(2)/25)*Calculateur!CG103*Calculateur!CI103*VLOOKUP('Données projet'!$B$12,Paramètres!$A$1:$I$89,3,0)*0.475*44/12</f>
        <v>7.2613920535351371</v>
      </c>
      <c r="CM103" s="21">
        <f>EXP(-LN(2)/2)*CM102+(1-EXP(-LN(2)/2))/(LN(2)/2)*CG103*CJ103*VLOOKUP('Données projet'!$B$12,Paramètres!$A$1:$I$89,3,0)*0.475*44/12</f>
        <v>2.1534521629300787E-11</v>
      </c>
      <c r="CN103" s="22">
        <f t="shared" si="66"/>
        <v>159.75756526175056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367.99999999999972</v>
      </c>
      <c r="CU103" s="17">
        <f>CT103*VLOOKUP('Données projet'!$B$13,Paramètres!$A$1:$I$89,3,0)*VLOOKUP('Données projet'!$B$13,Paramètres!$A$1:$I$89,5,0)</f>
        <v>269.8175999999998</v>
      </c>
      <c r="CV103" s="13">
        <f t="shared" si="95"/>
        <v>64.810557882019467</v>
      </c>
      <c r="CW103" s="20">
        <f t="shared" si="67"/>
        <v>582.81070831118348</v>
      </c>
      <c r="CX103" s="59">
        <f t="shared" si="68"/>
        <v>860.21476349489262</v>
      </c>
      <c r="CY103" s="59">
        <f ca="1">AVERAGE(OFFSET($CX$3,0,0,'Données projet'!$E$13+1,1))-AVERAGE(OFFSET($H$3,0,0,'Données projet'!$E$13+1,1))</f>
        <v>400.48995908576177</v>
      </c>
      <c r="CZ103" s="59">
        <f t="shared" si="96"/>
        <v>384.86917865380076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31.010891011459208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31.010891011459208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367.99999999999972</v>
      </c>
      <c r="DP103" s="17">
        <f>DO103*VLOOKUP('Données projet'!$B$14,Paramètres!$A$1:$I$89,3,0)*VLOOKUP('Données projet'!$B$14,Paramètres!$A$1:$I$89,5,0)</f>
        <v>292.78079999999977</v>
      </c>
      <c r="DQ103" s="13">
        <f t="shared" si="97"/>
        <v>69.660903052386217</v>
      </c>
      <c r="DR103" s="20">
        <f t="shared" si="70"/>
        <v>631.25263281623893</v>
      </c>
      <c r="DS103" s="59">
        <f t="shared" si="71"/>
        <v>908.65668799994819</v>
      </c>
      <c r="DT103" s="59">
        <f ca="1">AVERAGE(OFFSET($DS$3,0,0,'Données projet'!$E$14+1,1))-AVERAGE(OFFSET($H$3,0,0,'Données projet'!$E$14+1,1))</f>
        <v>429.30603040255431</v>
      </c>
      <c r="DU103" s="59">
        <f t="shared" si="98"/>
        <v>412.18613903804726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41.47572409894812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41.47572409894812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210.25641025641013</v>
      </c>
      <c r="EK103" s="17">
        <f>EJ103*VLOOKUP('Données projet'!$B$15,Paramètres!$A$1:$I$89,3,0)*VLOOKUP('Données projet'!$B$15,Paramètres!$A$1:$I$89,5,0)</f>
        <v>163.99999999999991</v>
      </c>
      <c r="EL103" s="13">
        <f t="shared" si="99"/>
        <v>41.743425908362248</v>
      </c>
      <c r="EM103" s="20">
        <f t="shared" si="73"/>
        <v>358.33646679039742</v>
      </c>
      <c r="EN103" s="59">
        <f t="shared" si="74"/>
        <v>635.74052197410663</v>
      </c>
      <c r="EO103" s="59">
        <f ca="1">AVERAGE(OFFSET($EN$3,0,0,'Données projet'!$E$15+1,1))-AVERAGE(OFFSET($H$3,0,0,'Données projet'!$E$15+1,1))</f>
        <v>217.53602321474159</v>
      </c>
      <c r="EP103" s="59">
        <f t="shared" si="100"/>
        <v>215.75909414893025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17.478682724036684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17.478682724036684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9.7110000000000021</v>
      </c>
      <c r="FE103" s="12">
        <f>IF('Données projet'!$A$218&gt;35,FE102+FD103-FM102,IF(A103&lt;'Données projet'!$A$218,$FB$205^A103,IF(A103='Données projet'!$A$218,'Données projet'!$B$218,FE102+FD103-FM102)))</f>
        <v>411.57100000000014</v>
      </c>
      <c r="FF103" s="17">
        <f>FE103*VLOOKUP('Données projet'!$B$16,Paramètres!$A$1:$I$89,3,0)*VLOOKUP('Données projet'!$B$16,Paramètres!$A$1:$I$89,5,0)</f>
        <v>276.0818268000001</v>
      </c>
      <c r="FG103" s="13">
        <f t="shared" si="101"/>
        <v>66.138308353461298</v>
      </c>
      <c r="FH103" s="20">
        <f t="shared" si="76"/>
        <v>596.03340205894528</v>
      </c>
      <c r="FI103" s="59">
        <f t="shared" si="77"/>
        <v>873.43745724265455</v>
      </c>
      <c r="FJ103" s="59">
        <f ca="1">AVERAGE(OFFSET($FI$3,0,0,'Données projet'!$E$16+1,1))-AVERAGE(OFFSET($H$3,0,0,'Données projet'!$E$16+1,1))</f>
        <v>441.20130048888439</v>
      </c>
      <c r="FK103" s="59">
        <f t="shared" si="102"/>
        <v>237.47732532183946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113.46333951894796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113.46333951894796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204.00000000000017</v>
      </c>
      <c r="GA103" s="17">
        <f>FZ103*VLOOKUP('Données projet'!$B$17,Paramètres!$A$1:$I$89,3,0)*VLOOKUP('Données projet'!$B$17,Paramètres!$A$1:$I$89,5,0)</f>
        <v>133.66080000000011</v>
      </c>
      <c r="GB103" s="13">
        <f t="shared" si="103"/>
        <v>34.840890682716783</v>
      </c>
      <c r="GC103" s="20">
        <f t="shared" si="79"/>
        <v>293.4737779390652</v>
      </c>
      <c r="GD103" s="59">
        <f t="shared" si="80"/>
        <v>570.8778331227744</v>
      </c>
      <c r="GE103" s="59">
        <f ca="1">AVERAGE(OFFSET($GD$3,0,0,'Données projet'!$E$17+1,1))-AVERAGE(OFFSET($H$3,0,0,'Données projet'!$E$17+1,1))</f>
        <v>257.66104339896992</v>
      </c>
      <c r="GF103" s="59">
        <f t="shared" si="104"/>
        <v>254.79488636184996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32.331750104297562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32.331750104297562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234.00000000000003</v>
      </c>
      <c r="GV103" s="17">
        <f>GU103*VLOOKUP('Données projet'!$B$18,Paramètres!$A$1:$I$89,3,0)*VLOOKUP('Données projet'!$B$18,Paramètres!$A$1:$I$89,5,0)</f>
        <v>189.82080000000005</v>
      </c>
      <c r="GW103" s="13">
        <f t="shared" si="105"/>
        <v>47.500332100049796</v>
      </c>
      <c r="GX103" s="20">
        <f t="shared" si="82"/>
        <v>413.33430507425345</v>
      </c>
      <c r="GY103" s="59">
        <f t="shared" si="83"/>
        <v>690.73836025796265</v>
      </c>
      <c r="GZ103" s="59">
        <f ca="1">AVERAGE(OFFSET($GY$3,0,0,'Données projet'!$E$18+1,1))-AVERAGE(OFFSET($H$3,0,0,'Données projet'!$E$18+1,1))</f>
        <v>299.98377156721153</v>
      </c>
      <c r="HA103" s="59">
        <f t="shared" si="106"/>
        <v>241.36164657721102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31.149683089041741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31.149683089041741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9.7110000000000021</v>
      </c>
      <c r="N104" s="13">
        <f>IF('Données projet'!$A$36&gt;35,N103+M104-V103,IF(A104&lt;'Données projet'!$A$36,$K$205^A104,IF(A104='Données projet'!$A$36,'Données projet'!$B$36,N103+M104-V103)))</f>
        <v>421.28200000000015</v>
      </c>
      <c r="O104" s="13">
        <f>N104*VLOOKUP('Données projet'!$B$9,Paramètres!$A$1:$I$89,3,0)*VLOOKUP('Données projet'!$B$9,Paramètres!$A$1:$I$89,5,0)</f>
        <v>381.17595360000013</v>
      </c>
      <c r="P104" s="13">
        <f t="shared" si="87"/>
        <v>87.949738529484478</v>
      </c>
      <c r="Q104" s="20">
        <f t="shared" si="107"/>
        <v>817.06058045885231</v>
      </c>
      <c r="R104" s="59">
        <f t="shared" si="55"/>
        <v>1094.7409730059267</v>
      </c>
      <c r="S104" s="59">
        <f ca="1">AVERAGE(OFFSET($R$3,0,0,'Données projet'!$E$9+1,1))-AVERAGE(OFFSET($H$3,0,0,'Données projet'!$E$9+1,1))</f>
        <v>567.42635821507474</v>
      </c>
      <c r="T104" s="59">
        <f t="shared" si="88"/>
        <v>299.04735309930152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121.73258062138733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121.73258062138733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7.8</v>
      </c>
      <c r="AI104" s="13">
        <f>IF('Données projet'!$A$62&gt;35,AI103+AH104-AQ103,IF(A104&lt;'Données projet'!$A$62,$AF$205^A104,IF(A104='Données projet'!$A$62,'Données projet'!$B$62,AI103+AH104-AQ103)))</f>
        <v>452.8</v>
      </c>
      <c r="AJ104" s="13">
        <f>AI104*VLOOKUP('Données projet'!$B$10,Paramètres!$A$1:$I$89,3,0)*VLOOKUP('Données projet'!$B$10,Paramètres!$A$1:$I$89,5,0)</f>
        <v>388.50240000000002</v>
      </c>
      <c r="AK104" s="13">
        <f t="shared" si="89"/>
        <v>89.441761444345047</v>
      </c>
      <c r="AL104" s="20">
        <f t="shared" si="58"/>
        <v>832.41941451556761</v>
      </c>
      <c r="AM104" s="59">
        <f t="shared" si="59"/>
        <v>1110.099807062642</v>
      </c>
      <c r="AN104" s="59">
        <f ca="1">AVERAGE(OFFSET($AM$3,0,0,'Données projet'!$E$10+1,1))-AVERAGE(OFFSET($H$3,0,0,'Données projet'!$E$10+1,1))</f>
        <v>569.97793593332699</v>
      </c>
      <c r="AO104" s="59">
        <f t="shared" si="90"/>
        <v>331.25104323342907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129.35570246528803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129.35570246528803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277.99999999999994</v>
      </c>
      <c r="BE104" s="13">
        <f>BD104*VLOOKUP('Données projet'!$B$11,Paramètres!$A$1:$I$89,3,0)*VLOOKUP('Données projet'!$B$11,Paramètres!$A$1:$I$89,5,0)</f>
        <v>151.78799999999998</v>
      </c>
      <c r="BF104" s="13">
        <f t="shared" si="91"/>
        <v>38.984634390835623</v>
      </c>
      <c r="BG104" s="20">
        <f t="shared" si="61"/>
        <v>332.26233823070532</v>
      </c>
      <c r="BH104" s="59">
        <f t="shared" si="62"/>
        <v>609.94273077777973</v>
      </c>
      <c r="BI104" s="59">
        <f ca="1">AVERAGE(OFFSET($BH$3,0,0,'Données projet'!$E$11+1,1))-AVERAGE(OFFSET($H$3,0,0,'Données projet'!$E$11+1,1))</f>
        <v>215.37314197175104</v>
      </c>
      <c r="BJ104" s="59">
        <f t="shared" si="92"/>
        <v>361.17630426655978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8.9965874681652327</v>
      </c>
      <c r="BQ104" s="21">
        <f>EXP(-LN(2)/25)*BQ103+(1-EXP(-LN(2)/25))/(LN(2)/25)*Calculateur!BL104*Calculateur!BN104*VLOOKUP('Données projet'!$B$11,Paramètres!$A$1:$I$89,3,0)*0.475*44/12</f>
        <v>13.413237444547265</v>
      </c>
      <c r="BR104" s="21">
        <f>EXP(-LN(2)/2)*BR103+(1-EXP(-LN(2)/2))/(LN(2)/2)*BL104*BO104*VLOOKUP('Données projet'!$B$11,Paramètres!$A$1:$I$89,3,0)*0.475*44/12</f>
        <v>5.2181032669849115E-13</v>
      </c>
      <c r="BS104" s="22">
        <f t="shared" si="63"/>
        <v>22.40982491271302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0.8600000000003547</v>
      </c>
      <c r="BZ104" s="13">
        <f>BY104*VLOOKUP('Données projet'!$B$12,Paramètres!$A$1:$I$89,3,0)*VLOOKUP('Données projet'!$B$12,Paramètres!$A$1:$I$89,5,0)</f>
        <v>0.48074000000019829</v>
      </c>
      <c r="CA104" s="13">
        <f t="shared" si="93"/>
        <v>0.24126147010950588</v>
      </c>
      <c r="CB104" s="20">
        <f t="shared" si="64"/>
        <v>1.2574858937744013</v>
      </c>
      <c r="CC104" s="59">
        <f t="shared" si="65"/>
        <v>278.93787844084881</v>
      </c>
      <c r="CD104" s="59">
        <f ca="1">AVERAGE(OFFSET($CC$3,0,0,'Données projet'!$E$12+1,1))-AVERAGE(OFFSET($H$3,0,0,'Données projet'!$E$12+1,1))</f>
        <v>420.4890915162182</v>
      </c>
      <c r="CE104" s="59">
        <f t="shared" si="94"/>
        <v>553.48432338023565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149.50581626506255</v>
      </c>
      <c r="CL104" s="21">
        <f>EXP(-LN(2)/25)*CL103+(1-EXP(-LN(2)/25))/(LN(2)/25)*Calculateur!CG104*Calculateur!CI104*VLOOKUP('Données projet'!$B$12,Paramètres!$A$1:$I$89,3,0)*0.475*44/12</f>
        <v>7.062828905971207</v>
      </c>
      <c r="CM104" s="21">
        <f>EXP(-LN(2)/2)*CM103+(1-EXP(-LN(2)/2))/(LN(2)/2)*CG104*CJ104*VLOOKUP('Données projet'!$B$12,Paramètres!$A$1:$I$89,3,0)*0.475*44/12</f>
        <v>1.5227206273686966E-11</v>
      </c>
      <c r="CN104" s="22">
        <f t="shared" si="66"/>
        <v>156.56864517104898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367.99999999999972</v>
      </c>
      <c r="CU104" s="17">
        <f>CT104*VLOOKUP('Données projet'!$B$13,Paramètres!$A$1:$I$89,3,0)*VLOOKUP('Données projet'!$B$13,Paramètres!$A$1:$I$89,5,0)</f>
        <v>269.8175999999998</v>
      </c>
      <c r="CV104" s="13">
        <f t="shared" si="95"/>
        <v>64.810557882019467</v>
      </c>
      <c r="CW104" s="20">
        <f t="shared" si="67"/>
        <v>582.81070831118348</v>
      </c>
      <c r="CX104" s="59">
        <f t="shared" si="68"/>
        <v>860.49110085825782</v>
      </c>
      <c r="CY104" s="59">
        <f ca="1">AVERAGE(OFFSET($CX$3,0,0,'Données projet'!$E$13+1,1))-AVERAGE(OFFSET($H$3,0,0,'Données projet'!$E$13+1,1))</f>
        <v>400.48995908576177</v>
      </c>
      <c r="CZ104" s="59">
        <f t="shared" si="96"/>
        <v>384.86917865380076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30.402786353500332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30.402786353500332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367.99999999999972</v>
      </c>
      <c r="DP104" s="17">
        <f>DO104*VLOOKUP('Données projet'!$B$14,Paramètres!$A$1:$I$89,3,0)*VLOOKUP('Données projet'!$B$14,Paramètres!$A$1:$I$89,5,0)</f>
        <v>292.78079999999977</v>
      </c>
      <c r="DQ104" s="13">
        <f t="shared" si="97"/>
        <v>69.660903052386217</v>
      </c>
      <c r="DR104" s="20">
        <f t="shared" si="70"/>
        <v>631.25263281623893</v>
      </c>
      <c r="DS104" s="59">
        <f t="shared" si="71"/>
        <v>908.93302536331339</v>
      </c>
      <c r="DT104" s="59">
        <f ca="1">AVERAGE(OFFSET($DS$3,0,0,'Données projet'!$E$14+1,1))-AVERAGE(OFFSET($H$3,0,0,'Données projet'!$E$14+1,1))</f>
        <v>429.30603040255431</v>
      </c>
      <c r="DU104" s="59">
        <f t="shared" si="98"/>
        <v>412.18613903804726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40.662410447061511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40.662410447061511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210.25641025641013</v>
      </c>
      <c r="EK104" s="17">
        <f>EJ104*VLOOKUP('Données projet'!$B$15,Paramètres!$A$1:$I$89,3,0)*VLOOKUP('Données projet'!$B$15,Paramètres!$A$1:$I$89,5,0)</f>
        <v>163.99999999999991</v>
      </c>
      <c r="EL104" s="13">
        <f t="shared" si="99"/>
        <v>41.743425908362248</v>
      </c>
      <c r="EM104" s="20">
        <f t="shared" si="73"/>
        <v>358.33646679039742</v>
      </c>
      <c r="EN104" s="59">
        <f t="shared" si="74"/>
        <v>636.01685933747183</v>
      </c>
      <c r="EO104" s="59">
        <f ca="1">AVERAGE(OFFSET($EN$3,0,0,'Données projet'!$E$15+1,1))-AVERAGE(OFFSET($H$3,0,0,'Données projet'!$E$15+1,1))</f>
        <v>217.53602321474159</v>
      </c>
      <c r="EP104" s="59">
        <f t="shared" si="100"/>
        <v>215.75909414893025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17.135936416762107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17.135936416762107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9.7110000000000021</v>
      </c>
      <c r="FE104" s="12">
        <f>IF('Données projet'!$A$218&gt;35,FE103+FD104-FM103,IF(A104&lt;'Données projet'!$A$218,$FB$205^A104,IF(A104='Données projet'!$A$218,'Données projet'!$B$218,FE103+FD104-FM103)))</f>
        <v>421.28200000000015</v>
      </c>
      <c r="FF104" s="17">
        <f>FE104*VLOOKUP('Données projet'!$B$16,Paramètres!$A$1:$I$89,3,0)*VLOOKUP('Données projet'!$B$16,Paramètres!$A$1:$I$89,5,0)</f>
        <v>282.59596560000011</v>
      </c>
      <c r="FG104" s="13">
        <f t="shared" si="101"/>
        <v>67.515316033669649</v>
      </c>
      <c r="FH104" s="20">
        <f t="shared" si="76"/>
        <v>609.77714884530803</v>
      </c>
      <c r="FI104" s="59">
        <f t="shared" si="77"/>
        <v>887.45754139238238</v>
      </c>
      <c r="FJ104" s="59">
        <f ca="1">AVERAGE(OFFSET($FI$3,0,0,'Données projet'!$E$16+1,1))-AVERAGE(OFFSET($H$3,0,0,'Données projet'!$E$16+1,1))</f>
        <v>441.20130048888439</v>
      </c>
      <c r="FK104" s="59">
        <f t="shared" si="102"/>
        <v>237.47732532183946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111.23839263678499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111.23839263678499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204.00000000000017</v>
      </c>
      <c r="GA104" s="17">
        <f>FZ104*VLOOKUP('Données projet'!$B$17,Paramètres!$A$1:$I$89,3,0)*VLOOKUP('Données projet'!$B$17,Paramètres!$A$1:$I$89,5,0)</f>
        <v>133.66080000000011</v>
      </c>
      <c r="GB104" s="13">
        <f t="shared" si="103"/>
        <v>34.840890682716783</v>
      </c>
      <c r="GC104" s="20">
        <f t="shared" si="79"/>
        <v>293.4737779390652</v>
      </c>
      <c r="GD104" s="59">
        <f t="shared" si="80"/>
        <v>571.15417048613961</v>
      </c>
      <c r="GE104" s="59">
        <f ca="1">AVERAGE(OFFSET($GD$3,0,0,'Données projet'!$E$17+1,1))-AVERAGE(OFFSET($H$3,0,0,'Données projet'!$E$17+1,1))</f>
        <v>257.66104339896992</v>
      </c>
      <c r="GF104" s="59">
        <f t="shared" si="104"/>
        <v>254.79488636184996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31.697744205172622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31.697744205172622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234.00000000000003</v>
      </c>
      <c r="GV104" s="17">
        <f>GU104*VLOOKUP('Données projet'!$B$18,Paramètres!$A$1:$I$89,3,0)*VLOOKUP('Données projet'!$B$18,Paramètres!$A$1:$I$89,5,0)</f>
        <v>189.82080000000005</v>
      </c>
      <c r="GW104" s="13">
        <f t="shared" si="105"/>
        <v>47.500332100049796</v>
      </c>
      <c r="GX104" s="20">
        <f t="shared" si="82"/>
        <v>413.33430507425345</v>
      </c>
      <c r="GY104" s="59">
        <f t="shared" si="83"/>
        <v>691.01469762132785</v>
      </c>
      <c r="GZ104" s="59">
        <f ca="1">AVERAGE(OFFSET($GY$3,0,0,'Données projet'!$E$18+1,1))-AVERAGE(OFFSET($H$3,0,0,'Données projet'!$E$18+1,1))</f>
        <v>299.98377156721153</v>
      </c>
      <c r="HA104" s="59">
        <f t="shared" si="106"/>
        <v>241.36164657721102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30.53885680309628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30.53885680309628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9.7110000000000021</v>
      </c>
      <c r="N105" s="13">
        <f>IF('Données projet'!$A$36&gt;35,N104+M105-V104,IF(A105&lt;'Données projet'!$A$36,$K$205^A105,IF(A105='Données projet'!$A$36,'Données projet'!$B$36,N104+M105-V104)))</f>
        <v>430.99300000000017</v>
      </c>
      <c r="O105" s="13">
        <f>N105*VLOOKUP('Données projet'!$B$9,Paramètres!$A$1:$I$89,3,0)*VLOOKUP('Données projet'!$B$9,Paramètres!$A$1:$I$89,5,0)</f>
        <v>389.9624664000001</v>
      </c>
      <c r="P105" s="13">
        <f t="shared" si="87"/>
        <v>89.738709223725238</v>
      </c>
      <c r="Q105" s="20">
        <f t="shared" si="107"/>
        <v>835.47954754465491</v>
      </c>
      <c r="R105" s="59">
        <f t="shared" si="55"/>
        <v>1113.4314836196379</v>
      </c>
      <c r="S105" s="59">
        <f ca="1">AVERAGE(OFFSET($R$3,0,0,'Données projet'!$E$9+1,1))-AVERAGE(OFFSET($H$3,0,0,'Données projet'!$E$9+1,1))</f>
        <v>567.42635821507474</v>
      </c>
      <c r="T105" s="59">
        <f t="shared" si="88"/>
        <v>299.04735309930152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119.34547896494456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119.34547896494456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7.8</v>
      </c>
      <c r="AI105" s="13">
        <f>IF('Données projet'!$A$62&gt;35,AI104+AH105-AQ104,IF(A105&lt;'Données projet'!$A$62,$AF$205^A105,IF(A105='Données projet'!$A$62,'Données projet'!$B$62,AI104+AH105-AQ104)))</f>
        <v>460.6</v>
      </c>
      <c r="AJ105" s="13">
        <f>AI105*VLOOKUP('Données projet'!$B$10,Paramètres!$A$1:$I$89,3,0)*VLOOKUP('Données projet'!$B$10,Paramètres!$A$1:$I$89,5,0)</f>
        <v>395.1948000000001</v>
      </c>
      <c r="AK105" s="13">
        <f t="shared" si="89"/>
        <v>90.801800495271991</v>
      </c>
      <c r="AL105" s="20">
        <f t="shared" si="58"/>
        <v>846.4440791959322</v>
      </c>
      <c r="AM105" s="59">
        <f t="shared" si="59"/>
        <v>1124.3960152709151</v>
      </c>
      <c r="AN105" s="59">
        <f ca="1">AVERAGE(OFFSET($AM$3,0,0,'Données projet'!$E$10+1,1))-AVERAGE(OFFSET($H$3,0,0,'Données projet'!$E$10+1,1))</f>
        <v>569.97793593332699</v>
      </c>
      <c r="AO105" s="59">
        <f t="shared" si="90"/>
        <v>331.25104323342907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126.81911603913159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126.81911603913159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277.99999999999994</v>
      </c>
      <c r="BE105" s="13">
        <f>BD105*VLOOKUP('Données projet'!$B$11,Paramètres!$A$1:$I$89,3,0)*VLOOKUP('Données projet'!$B$11,Paramètres!$A$1:$I$89,5,0)</f>
        <v>151.78799999999998</v>
      </c>
      <c r="BF105" s="13">
        <f t="shared" si="91"/>
        <v>38.984634390835623</v>
      </c>
      <c r="BG105" s="20">
        <f t="shared" si="61"/>
        <v>332.26233823070532</v>
      </c>
      <c r="BH105" s="59">
        <f t="shared" si="62"/>
        <v>610.21427430568826</v>
      </c>
      <c r="BI105" s="59">
        <f ca="1">AVERAGE(OFFSET($BH$3,0,0,'Données projet'!$E$11+1,1))-AVERAGE(OFFSET($H$3,0,0,'Données projet'!$E$11+1,1))</f>
        <v>215.37314197175104</v>
      </c>
      <c r="BJ105" s="59">
        <f t="shared" si="92"/>
        <v>361.17630426655978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8.8201698752910342</v>
      </c>
      <c r="BQ105" s="21">
        <f>EXP(-LN(2)/25)*BQ104+(1-EXP(-LN(2)/25))/(LN(2)/25)*Calculateur!BL105*Calculateur!BN105*VLOOKUP('Données projet'!$B$11,Paramètres!$A$1:$I$89,3,0)*0.475*44/12</f>
        <v>13.04645176125462</v>
      </c>
      <c r="BR105" s="21">
        <f>EXP(-LN(2)/2)*BR104+(1-EXP(-LN(2)/2))/(LN(2)/2)*BL105*BO105*VLOOKUP('Données projet'!$B$11,Paramètres!$A$1:$I$89,3,0)*0.475*44/12</f>
        <v>3.6897562050167087E-13</v>
      </c>
      <c r="BS105" s="22">
        <f t="shared" si="63"/>
        <v>21.866621636546022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0.8600000000003547</v>
      </c>
      <c r="BZ105" s="13">
        <f>BY105*VLOOKUP('Données projet'!$B$12,Paramètres!$A$1:$I$89,3,0)*VLOOKUP('Données projet'!$B$12,Paramètres!$A$1:$I$89,5,0)</f>
        <v>0.48074000000019829</v>
      </c>
      <c r="CA105" s="13">
        <f t="shared" si="93"/>
        <v>0.24126147010950588</v>
      </c>
      <c r="CB105" s="20">
        <f t="shared" si="64"/>
        <v>1.2574858937744013</v>
      </c>
      <c r="CC105" s="59">
        <f t="shared" si="65"/>
        <v>279.20942196875734</v>
      </c>
      <c r="CD105" s="59">
        <f ca="1">AVERAGE(OFFSET($CC$3,0,0,'Données projet'!$E$12+1,1))-AVERAGE(OFFSET($H$3,0,0,'Données projet'!$E$12+1,1))</f>
        <v>420.4890915162182</v>
      </c>
      <c r="CE105" s="59">
        <f t="shared" si="94"/>
        <v>553.48432338023565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146.57409839764838</v>
      </c>
      <c r="CL105" s="21">
        <f>EXP(-LN(2)/25)*CL104+(1-EXP(-LN(2)/25))/(LN(2)/25)*Calculateur!CG105*Calculateur!CI105*VLOOKUP('Données projet'!$B$12,Paramètres!$A$1:$I$89,3,0)*0.475*44/12</f>
        <v>6.8696954781193948</v>
      </c>
      <c r="CM105" s="21">
        <f>EXP(-LN(2)/2)*CM104+(1-EXP(-LN(2)/2))/(LN(2)/2)*CG105*CJ105*VLOOKUP('Données projet'!$B$12,Paramètres!$A$1:$I$89,3,0)*0.475*44/12</f>
        <v>1.0767260814650394E-11</v>
      </c>
      <c r="CN105" s="22">
        <f t="shared" si="66"/>
        <v>153.44379387577854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367.99999999999972</v>
      </c>
      <c r="CU105" s="17">
        <f>CT105*VLOOKUP('Données projet'!$B$13,Paramètres!$A$1:$I$89,3,0)*VLOOKUP('Données projet'!$B$13,Paramètres!$A$1:$I$89,5,0)</f>
        <v>269.8175999999998</v>
      </c>
      <c r="CV105" s="13">
        <f t="shared" si="95"/>
        <v>64.810557882019467</v>
      </c>
      <c r="CW105" s="20">
        <f t="shared" si="67"/>
        <v>582.81070831118348</v>
      </c>
      <c r="CX105" s="59">
        <f t="shared" si="68"/>
        <v>860.76264438616636</v>
      </c>
      <c r="CY105" s="59">
        <f ca="1">AVERAGE(OFFSET($CX$3,0,0,'Données projet'!$E$13+1,1))-AVERAGE(OFFSET($H$3,0,0,'Données projet'!$E$13+1,1))</f>
        <v>400.48995908576177</v>
      </c>
      <c r="CZ105" s="59">
        <f t="shared" si="96"/>
        <v>384.86917865380076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29.80660625697681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29.80660625697681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367.99999999999972</v>
      </c>
      <c r="DP105" s="17">
        <f>DO105*VLOOKUP('Données projet'!$B$14,Paramètres!$A$1:$I$89,3,0)*VLOOKUP('Données projet'!$B$14,Paramètres!$A$1:$I$89,5,0)</f>
        <v>292.78079999999977</v>
      </c>
      <c r="DQ105" s="13">
        <f t="shared" si="97"/>
        <v>69.660903052386217</v>
      </c>
      <c r="DR105" s="20">
        <f t="shared" si="70"/>
        <v>631.25263281623893</v>
      </c>
      <c r="DS105" s="59">
        <f t="shared" si="71"/>
        <v>909.20456889122192</v>
      </c>
      <c r="DT105" s="59">
        <f ca="1">AVERAGE(OFFSET($DS$3,0,0,'Données projet'!$E$14+1,1))-AVERAGE(OFFSET($H$3,0,0,'Données projet'!$E$14+1,1))</f>
        <v>429.30603040255431</v>
      </c>
      <c r="DU105" s="59">
        <f t="shared" si="98"/>
        <v>412.18613903804726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39.865045379816053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39.865045379816053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210.25641025641013</v>
      </c>
      <c r="EK105" s="17">
        <f>EJ105*VLOOKUP('Données projet'!$B$15,Paramètres!$A$1:$I$89,3,0)*VLOOKUP('Données projet'!$B$15,Paramètres!$A$1:$I$89,5,0)</f>
        <v>163.99999999999991</v>
      </c>
      <c r="EL105" s="13">
        <f t="shared" si="99"/>
        <v>41.743425908362248</v>
      </c>
      <c r="EM105" s="20">
        <f t="shared" si="73"/>
        <v>358.33646679039742</v>
      </c>
      <c r="EN105" s="59">
        <f t="shared" si="74"/>
        <v>636.28840286538036</v>
      </c>
      <c r="EO105" s="59">
        <f ca="1">AVERAGE(OFFSET($EN$3,0,0,'Données projet'!$E$15+1,1))-AVERAGE(OFFSET($H$3,0,0,'Données projet'!$E$15+1,1))</f>
        <v>217.53602321474159</v>
      </c>
      <c r="EP105" s="59">
        <f t="shared" si="100"/>
        <v>215.75909414893025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16.799911155518579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16.799911155518579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9.7110000000000021</v>
      </c>
      <c r="FE105" s="12">
        <f>IF('Données projet'!$A$218&gt;35,FE104+FD105-FM104,IF(A105&lt;'Données projet'!$A$218,$FB$205^A105,IF(A105='Données projet'!$A$218,'Données projet'!$B$218,FE104+FD105-FM104)))</f>
        <v>430.99300000000017</v>
      </c>
      <c r="FF105" s="17">
        <f>FE105*VLOOKUP('Données projet'!$B$16,Paramètres!$A$1:$I$89,3,0)*VLOOKUP('Données projet'!$B$16,Paramètres!$A$1:$I$89,5,0)</f>
        <v>289.11010440000013</v>
      </c>
      <c r="FG105" s="13">
        <f t="shared" si="101"/>
        <v>68.888633610459792</v>
      </c>
      <c r="FH105" s="20">
        <f t="shared" si="76"/>
        <v>623.51446870155098</v>
      </c>
      <c r="FI105" s="59">
        <f t="shared" si="77"/>
        <v>901.46640477653386</v>
      </c>
      <c r="FJ105" s="59">
        <f ca="1">AVERAGE(OFFSET($FI$3,0,0,'Données projet'!$E$16+1,1))-AVERAGE(OFFSET($H$3,0,0,'Données projet'!$E$16+1,1))</f>
        <v>441.20130048888439</v>
      </c>
      <c r="FK105" s="59">
        <f t="shared" si="102"/>
        <v>237.47732532183946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109.05707560589764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109.05707560589764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204.00000000000017</v>
      </c>
      <c r="GA105" s="17">
        <f>FZ105*VLOOKUP('Données projet'!$B$17,Paramètres!$A$1:$I$89,3,0)*VLOOKUP('Données projet'!$B$17,Paramètres!$A$1:$I$89,5,0)</f>
        <v>133.66080000000011</v>
      </c>
      <c r="GB105" s="13">
        <f t="shared" si="103"/>
        <v>34.840890682716783</v>
      </c>
      <c r="GC105" s="20">
        <f t="shared" si="79"/>
        <v>293.4737779390652</v>
      </c>
      <c r="GD105" s="59">
        <f t="shared" si="80"/>
        <v>571.42571401404814</v>
      </c>
      <c r="GE105" s="59">
        <f ca="1">AVERAGE(OFFSET($GD$3,0,0,'Données projet'!$E$17+1,1))-AVERAGE(OFFSET($H$3,0,0,'Données projet'!$E$17+1,1))</f>
        <v>257.66104339896992</v>
      </c>
      <c r="GF105" s="59">
        <f t="shared" si="104"/>
        <v>254.79488636184996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31.076170775024107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31.076170775024107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234.00000000000003</v>
      </c>
      <c r="GV105" s="17">
        <f>GU105*VLOOKUP('Données projet'!$B$18,Paramètres!$A$1:$I$89,3,0)*VLOOKUP('Données projet'!$B$18,Paramètres!$A$1:$I$89,5,0)</f>
        <v>189.82080000000005</v>
      </c>
      <c r="GW105" s="13">
        <f t="shared" si="105"/>
        <v>47.500332100049796</v>
      </c>
      <c r="GX105" s="20">
        <f t="shared" si="82"/>
        <v>413.33430507425345</v>
      </c>
      <c r="GY105" s="59">
        <f t="shared" si="83"/>
        <v>691.28624114923639</v>
      </c>
      <c r="GZ105" s="59">
        <f ca="1">AVERAGE(OFFSET($GY$3,0,0,'Données projet'!$E$18+1,1))-AVERAGE(OFFSET($H$3,0,0,'Données projet'!$E$18+1,1))</f>
        <v>299.98377156721153</v>
      </c>
      <c r="HA105" s="59">
        <f t="shared" si="106"/>
        <v>241.36164657721102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29.940008448050961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29.940008448050961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9.7110000000000021</v>
      </c>
      <c r="N106" s="13">
        <f>IF('Données projet'!$A$36&gt;35,N105+M106-V105,IF(A106&lt;'Données projet'!$A$36,$K$205^A106,IF(A106='Données projet'!$A$36,'Données projet'!$B$36,N105+M106-V105)))</f>
        <v>440.70400000000018</v>
      </c>
      <c r="O106" s="13">
        <f>N106*VLOOKUP('Données projet'!$B$9,Paramètres!$A$1:$I$89,3,0)*VLOOKUP('Données projet'!$B$9,Paramètres!$A$1:$I$89,5,0)</f>
        <v>398.74897920000012</v>
      </c>
      <c r="P106" s="13">
        <f t="shared" si="87"/>
        <v>91.522993733283613</v>
      </c>
      <c r="Q106" s="20">
        <f t="shared" si="107"/>
        <v>853.89035285880254</v>
      </c>
      <c r="R106" s="59">
        <f t="shared" si="55"/>
        <v>1132.1091217885653</v>
      </c>
      <c r="S106" s="59">
        <f ca="1">AVERAGE(OFFSET($R$3,0,0,'Données projet'!$E$9+1,1))-AVERAGE(OFFSET($H$3,0,0,'Données projet'!$E$9+1,1))</f>
        <v>567.42635821507474</v>
      </c>
      <c r="T106" s="59">
        <f t="shared" si="88"/>
        <v>299.04735309930152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117.0051869159964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117.0051869159964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7.8</v>
      </c>
      <c r="AI106" s="13">
        <f>IF('Données projet'!$A$62&gt;35,AI105+AH106-AQ105,IF(A106&lt;'Données projet'!$A$62,$AF$205^A106,IF(A106='Données projet'!$A$62,'Données projet'!$B$62,AI105+AH106-AQ105)))</f>
        <v>468.40000000000003</v>
      </c>
      <c r="AJ106" s="13">
        <f>AI106*VLOOKUP('Données projet'!$B$10,Paramètres!$A$1:$I$89,3,0)*VLOOKUP('Données projet'!$B$10,Paramètres!$A$1:$I$89,5,0)</f>
        <v>401.88720000000012</v>
      </c>
      <c r="AK106" s="13">
        <f t="shared" si="89"/>
        <v>92.159161185828268</v>
      </c>
      <c r="AL106" s="20">
        <f t="shared" si="58"/>
        <v>860.46407906531783</v>
      </c>
      <c r="AM106" s="59">
        <f t="shared" si="59"/>
        <v>1138.6828479950805</v>
      </c>
      <c r="AN106" s="59">
        <f ca="1">AVERAGE(OFFSET($AM$3,0,0,'Données projet'!$E$10+1,1))-AVERAGE(OFFSET($H$3,0,0,'Données projet'!$E$10+1,1))</f>
        <v>569.97793593332699</v>
      </c>
      <c r="AO106" s="59">
        <f t="shared" si="90"/>
        <v>331.25104323342907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124.33227052562712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124.33227052562712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277.99999999999994</v>
      </c>
      <c r="BE106" s="13">
        <f>BD106*VLOOKUP('Données projet'!$B$11,Paramètres!$A$1:$I$89,3,0)*VLOOKUP('Données projet'!$B$11,Paramètres!$A$1:$I$89,5,0)</f>
        <v>151.78799999999998</v>
      </c>
      <c r="BF106" s="13">
        <f t="shared" si="91"/>
        <v>38.984634390835623</v>
      </c>
      <c r="BG106" s="20">
        <f t="shared" si="61"/>
        <v>332.26233823070532</v>
      </c>
      <c r="BH106" s="59">
        <f t="shared" si="62"/>
        <v>610.48110716046801</v>
      </c>
      <c r="BI106" s="59">
        <f ca="1">AVERAGE(OFFSET($BH$3,0,0,'Données projet'!$E$11+1,1))-AVERAGE(OFFSET($H$3,0,0,'Données projet'!$E$11+1,1))</f>
        <v>215.37314197175104</v>
      </c>
      <c r="BJ106" s="59">
        <f t="shared" si="92"/>
        <v>361.17630426655978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8.6472117238089918</v>
      </c>
      <c r="BQ106" s="21">
        <f>EXP(-LN(2)/25)*BQ105+(1-EXP(-LN(2)/25))/(LN(2)/25)*Calculateur!BL106*Calculateur!BN106*VLOOKUP('Données projet'!$B$11,Paramètres!$A$1:$I$89,3,0)*0.475*44/12</f>
        <v>12.689695851760032</v>
      </c>
      <c r="BR106" s="21">
        <f>EXP(-LN(2)/2)*BR105+(1-EXP(-LN(2)/2))/(LN(2)/2)*BL106*BO106*VLOOKUP('Données projet'!$B$11,Paramètres!$A$1:$I$89,3,0)*0.475*44/12</f>
        <v>2.6090516334924558E-13</v>
      </c>
      <c r="BS106" s="22">
        <f t="shared" si="63"/>
        <v>21.336907575569281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0.8600000000003547</v>
      </c>
      <c r="BZ106" s="13">
        <f>BY106*VLOOKUP('Données projet'!$B$12,Paramètres!$A$1:$I$89,3,0)*VLOOKUP('Données projet'!$B$12,Paramètres!$A$1:$I$89,5,0)</f>
        <v>0.48074000000019829</v>
      </c>
      <c r="CA106" s="13">
        <f t="shared" si="93"/>
        <v>0.24126147010950588</v>
      </c>
      <c r="CB106" s="20">
        <f t="shared" si="64"/>
        <v>1.2574858937744013</v>
      </c>
      <c r="CC106" s="59">
        <f t="shared" si="65"/>
        <v>279.47625482353709</v>
      </c>
      <c r="CD106" s="59">
        <f ca="1">AVERAGE(OFFSET($CC$3,0,0,'Données projet'!$E$12+1,1))-AVERAGE(OFFSET($H$3,0,0,'Données projet'!$E$12+1,1))</f>
        <v>420.4890915162182</v>
      </c>
      <c r="CE106" s="59">
        <f t="shared" si="94"/>
        <v>553.48432338023565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143.69986972944287</v>
      </c>
      <c r="CL106" s="21">
        <f>EXP(-LN(2)/25)*CL105+(1-EXP(-LN(2)/25))/(LN(2)/25)*Calculateur!CG106*Calculateur!CI106*VLOOKUP('Données projet'!$B$12,Paramètres!$A$1:$I$89,3,0)*0.475*44/12</f>
        <v>6.6818432940086359</v>
      </c>
      <c r="CM106" s="21">
        <f>EXP(-LN(2)/2)*CM105+(1-EXP(-LN(2)/2))/(LN(2)/2)*CG106*CJ106*VLOOKUP('Données projet'!$B$12,Paramètres!$A$1:$I$89,3,0)*0.475*44/12</f>
        <v>7.6136031368434831E-12</v>
      </c>
      <c r="CN106" s="22">
        <f t="shared" si="66"/>
        <v>150.38171302345913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367.99999999999972</v>
      </c>
      <c r="CU106" s="17">
        <f>CT106*VLOOKUP('Données projet'!$B$13,Paramètres!$A$1:$I$89,3,0)*VLOOKUP('Données projet'!$B$13,Paramètres!$A$1:$I$89,5,0)</f>
        <v>269.8175999999998</v>
      </c>
      <c r="CV106" s="13">
        <f t="shared" si="95"/>
        <v>64.810557882019467</v>
      </c>
      <c r="CW106" s="20">
        <f t="shared" si="67"/>
        <v>582.81070831118348</v>
      </c>
      <c r="CX106" s="59">
        <f t="shared" si="68"/>
        <v>861.02947724094611</v>
      </c>
      <c r="CY106" s="59">
        <f ca="1">AVERAGE(OFFSET($CX$3,0,0,'Données projet'!$E$13+1,1))-AVERAGE(OFFSET($H$3,0,0,'Données projet'!$E$13+1,1))</f>
        <v>400.48995908576177</v>
      </c>
      <c r="CZ106" s="59">
        <f t="shared" si="96"/>
        <v>384.86917865380076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29.222116888512161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29.222116888512161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367.99999999999972</v>
      </c>
      <c r="DP106" s="17">
        <f>DO106*VLOOKUP('Données projet'!$B$14,Paramètres!$A$1:$I$89,3,0)*VLOOKUP('Données projet'!$B$14,Paramètres!$A$1:$I$89,5,0)</f>
        <v>292.78079999999977</v>
      </c>
      <c r="DQ106" s="13">
        <f t="shared" si="97"/>
        <v>69.660903052386217</v>
      </c>
      <c r="DR106" s="20">
        <f t="shared" si="70"/>
        <v>631.25263281623893</v>
      </c>
      <c r="DS106" s="59">
        <f t="shared" si="71"/>
        <v>909.47140174600167</v>
      </c>
      <c r="DT106" s="59">
        <f ca="1">AVERAGE(OFFSET($DS$3,0,0,'Données projet'!$E$14+1,1))-AVERAGE(OFFSET($H$3,0,0,'Données projet'!$E$14+1,1))</f>
        <v>429.30603040255431</v>
      </c>
      <c r="DU106" s="59">
        <f t="shared" si="98"/>
        <v>412.18613903804726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39.083316155194609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39.083316155194609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210.25641025641013</v>
      </c>
      <c r="EK106" s="17">
        <f>EJ106*VLOOKUP('Données projet'!$B$15,Paramètres!$A$1:$I$89,3,0)*VLOOKUP('Données projet'!$B$15,Paramètres!$A$1:$I$89,5,0)</f>
        <v>163.99999999999991</v>
      </c>
      <c r="EL106" s="13">
        <f t="shared" si="99"/>
        <v>41.743425908362248</v>
      </c>
      <c r="EM106" s="20">
        <f t="shared" si="73"/>
        <v>358.33646679039742</v>
      </c>
      <c r="EN106" s="59">
        <f t="shared" si="74"/>
        <v>636.55523572016011</v>
      </c>
      <c r="EO106" s="59">
        <f ca="1">AVERAGE(OFFSET($EN$3,0,0,'Données projet'!$E$15+1,1))-AVERAGE(OFFSET($H$3,0,0,'Données projet'!$E$15+1,1))</f>
        <v>217.53602321474159</v>
      </c>
      <c r="EP106" s="59">
        <f t="shared" si="100"/>
        <v>215.75909414893025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16.470475144692863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16.470475144692863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9.7110000000000021</v>
      </c>
      <c r="FE106" s="12">
        <f>IF('Données projet'!$A$218&gt;35,FE105+FD106-FM105,IF(A106&lt;'Données projet'!$A$218,$FB$205^A106,IF(A106='Données projet'!$A$218,'Données projet'!$B$218,FE105+FD106-FM105)))</f>
        <v>440.70400000000018</v>
      </c>
      <c r="FF106" s="17">
        <f>FE106*VLOOKUP('Données projet'!$B$16,Paramètres!$A$1:$I$89,3,0)*VLOOKUP('Données projet'!$B$16,Paramètres!$A$1:$I$89,5,0)</f>
        <v>295.62424320000014</v>
      </c>
      <c r="FG106" s="13">
        <f t="shared" si="101"/>
        <v>70.258353800320606</v>
      </c>
      <c r="FH106" s="20">
        <f t="shared" si="76"/>
        <v>637.24552310889192</v>
      </c>
      <c r="FI106" s="59">
        <f t="shared" si="77"/>
        <v>915.46429203865455</v>
      </c>
      <c r="FJ106" s="59">
        <f ca="1">AVERAGE(OFFSET($FI$3,0,0,'Données projet'!$E$16+1,1))-AVERAGE(OFFSET($H$3,0,0,'Données projet'!$E$16+1,1))</f>
        <v>441.20130048888439</v>
      </c>
      <c r="FK106" s="59">
        <f t="shared" si="102"/>
        <v>237.47732532183946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106.91853287151397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106.91853287151397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204.00000000000017</v>
      </c>
      <c r="GA106" s="17">
        <f>FZ106*VLOOKUP('Données projet'!$B$17,Paramètres!$A$1:$I$89,3,0)*VLOOKUP('Données projet'!$B$17,Paramètres!$A$1:$I$89,5,0)</f>
        <v>133.66080000000011</v>
      </c>
      <c r="GB106" s="13">
        <f t="shared" si="103"/>
        <v>34.840890682716783</v>
      </c>
      <c r="GC106" s="20">
        <f t="shared" si="79"/>
        <v>293.4737779390652</v>
      </c>
      <c r="GD106" s="59">
        <f t="shared" si="80"/>
        <v>571.69254686882789</v>
      </c>
      <c r="GE106" s="59">
        <f ca="1">AVERAGE(OFFSET($GD$3,0,0,'Données projet'!$E$17+1,1))-AVERAGE(OFFSET($H$3,0,0,'Données projet'!$E$17+1,1))</f>
        <v>257.66104339896992</v>
      </c>
      <c r="GF106" s="59">
        <f t="shared" si="104"/>
        <v>254.79488636184996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30.466786020718445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30.466786020718445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234.00000000000003</v>
      </c>
      <c r="GV106" s="17">
        <f>GU106*VLOOKUP('Données projet'!$B$18,Paramètres!$A$1:$I$89,3,0)*VLOOKUP('Données projet'!$B$18,Paramètres!$A$1:$I$89,5,0)</f>
        <v>189.82080000000005</v>
      </c>
      <c r="GW106" s="13">
        <f t="shared" si="105"/>
        <v>47.500332100049796</v>
      </c>
      <c r="GX106" s="20">
        <f t="shared" si="82"/>
        <v>413.33430507425345</v>
      </c>
      <c r="GY106" s="59">
        <f t="shared" si="83"/>
        <v>691.55307400401614</v>
      </c>
      <c r="GZ106" s="59">
        <f ca="1">AVERAGE(OFFSET($GY$3,0,0,'Données projet'!$E$18+1,1))-AVERAGE(OFFSET($H$3,0,0,'Données projet'!$E$18+1,1))</f>
        <v>299.98377156721153</v>
      </c>
      <c r="HA106" s="59">
        <f t="shared" si="106"/>
        <v>241.36164657721102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29.352903143986651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29.352903143986651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9.7110000000000021</v>
      </c>
      <c r="N107" s="13">
        <f>IF('Données projet'!$A$36&gt;35,N106+M107-V106,IF(A107&lt;'Données projet'!$A$36,$K$205^A107,IF(A107='Données projet'!$A$36,'Données projet'!$B$36,N106+M107-V106)))</f>
        <v>450.41500000000019</v>
      </c>
      <c r="O107" s="13">
        <f>N107*VLOOKUP('Données projet'!$B$9,Paramètres!$A$1:$I$89,3,0)*VLOOKUP('Données projet'!$B$9,Paramètres!$A$1:$I$89,5,0)</f>
        <v>407.5354920000002</v>
      </c>
      <c r="P107" s="13">
        <f t="shared" si="87"/>
        <v>93.30270720985969</v>
      </c>
      <c r="Q107" s="20">
        <f t="shared" si="107"/>
        <v>872.29319695717265</v>
      </c>
      <c r="R107" s="59">
        <f t="shared" si="55"/>
        <v>1150.7741697882336</v>
      </c>
      <c r="S107" s="59">
        <f ca="1">AVERAGE(OFFSET($R$3,0,0,'Données projet'!$E$9+1,1))-AVERAGE(OFFSET($H$3,0,0,'Données projet'!$E$9+1,1))</f>
        <v>567.42635821507474</v>
      </c>
      <c r="T107" s="59">
        <f t="shared" si="88"/>
        <v>299.04735309930152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114.71078656669091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114.71078656669091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7.8</v>
      </c>
      <c r="AI107" s="13">
        <f>IF('Données projet'!$A$62&gt;35,AI106+AH107-AQ106,IF(A107&lt;'Données projet'!$A$62,$AF$205^A107,IF(A107='Données projet'!$A$62,'Données projet'!$B$62,AI106+AH107-AQ106)))</f>
        <v>476.20000000000005</v>
      </c>
      <c r="AJ107" s="13">
        <f>AI107*VLOOKUP('Données projet'!$B$10,Paramètres!$A$1:$I$89,3,0)*VLOOKUP('Données projet'!$B$10,Paramètres!$A$1:$I$89,5,0)</f>
        <v>408.57960000000003</v>
      </c>
      <c r="AK107" s="13">
        <f t="shared" si="89"/>
        <v>93.513893265221384</v>
      </c>
      <c r="AL107" s="20">
        <f t="shared" si="58"/>
        <v>874.47950077026053</v>
      </c>
      <c r="AM107" s="59">
        <f t="shared" si="59"/>
        <v>1152.9604736013214</v>
      </c>
      <c r="AN107" s="59">
        <f ca="1">AVERAGE(OFFSET($AM$3,0,0,'Données projet'!$E$10+1,1))-AVERAGE(OFFSET($H$3,0,0,'Données projet'!$E$10+1,1))</f>
        <v>569.97793593332699</v>
      </c>
      <c r="AO107" s="59">
        <f t="shared" si="90"/>
        <v>331.25104323342907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121.89419053581649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121.89419053581649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277.99999999999994</v>
      </c>
      <c r="BE107" s="13">
        <f>BD107*VLOOKUP('Données projet'!$B$11,Paramètres!$A$1:$I$89,3,0)*VLOOKUP('Données projet'!$B$11,Paramètres!$A$1:$I$89,5,0)</f>
        <v>151.78799999999998</v>
      </c>
      <c r="BF107" s="13">
        <f t="shared" si="91"/>
        <v>38.984634390835623</v>
      </c>
      <c r="BG107" s="20">
        <f t="shared" si="61"/>
        <v>332.26233823070532</v>
      </c>
      <c r="BH107" s="59">
        <f t="shared" si="62"/>
        <v>610.74331106176624</v>
      </c>
      <c r="BI107" s="59">
        <f ca="1">AVERAGE(OFFSET($BH$3,0,0,'Données projet'!$E$11+1,1))-AVERAGE(OFFSET($H$3,0,0,'Données projet'!$E$11+1,1))</f>
        <v>215.37314197175104</v>
      </c>
      <c r="BJ107" s="59">
        <f t="shared" si="92"/>
        <v>361.17630426655978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8.4776451761834579</v>
      </c>
      <c r="BQ107" s="21">
        <f>EXP(-LN(2)/25)*BQ106+(1-EXP(-LN(2)/25))/(LN(2)/25)*Calculateur!BL107*Calculateur!BN107*VLOOKUP('Données projet'!$B$11,Paramètres!$A$1:$I$89,3,0)*0.475*44/12</f>
        <v>12.342695451371551</v>
      </c>
      <c r="BR107" s="21">
        <f>EXP(-LN(2)/2)*BR106+(1-EXP(-LN(2)/2))/(LN(2)/2)*BL107*BO107*VLOOKUP('Données projet'!$B$11,Paramètres!$A$1:$I$89,3,0)*0.475*44/12</f>
        <v>1.8448781025083543E-13</v>
      </c>
      <c r="BS107" s="22">
        <f t="shared" si="63"/>
        <v>20.820340627555193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0.8600000000003547</v>
      </c>
      <c r="BZ107" s="13">
        <f>BY107*VLOOKUP('Données projet'!$B$12,Paramètres!$A$1:$I$89,3,0)*VLOOKUP('Données projet'!$B$12,Paramètres!$A$1:$I$89,5,0)</f>
        <v>0.48074000000019829</v>
      </c>
      <c r="CA107" s="13">
        <f t="shared" si="93"/>
        <v>0.24126147010950588</v>
      </c>
      <c r="CB107" s="20">
        <f t="shared" si="64"/>
        <v>1.2574858937744013</v>
      </c>
      <c r="CC107" s="59">
        <f t="shared" si="65"/>
        <v>279.73845872483531</v>
      </c>
      <c r="CD107" s="59">
        <f ca="1">AVERAGE(OFFSET($CC$3,0,0,'Données projet'!$E$12+1,1))-AVERAGE(OFFSET($H$3,0,0,'Données projet'!$E$12+1,1))</f>
        <v>420.4890915162182</v>
      </c>
      <c r="CE107" s="59">
        <f t="shared" si="94"/>
        <v>553.48432338023565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140.88200293231449</v>
      </c>
      <c r="CL107" s="21">
        <f>EXP(-LN(2)/25)*CL106+(1-EXP(-LN(2)/25))/(LN(2)/25)*Calculateur!CG107*Calculateur!CI107*VLOOKUP('Données projet'!$B$12,Paramètres!$A$1:$I$89,3,0)*0.475*44/12</f>
        <v>6.4991279377511022</v>
      </c>
      <c r="CM107" s="21">
        <f>EXP(-LN(2)/2)*CM106+(1-EXP(-LN(2)/2))/(LN(2)/2)*CG107*CJ107*VLOOKUP('Données projet'!$B$12,Paramètres!$A$1:$I$89,3,0)*0.475*44/12</f>
        <v>5.3836304073251969E-12</v>
      </c>
      <c r="CN107" s="22">
        <f t="shared" si="66"/>
        <v>147.38113087007096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367.99999999999972</v>
      </c>
      <c r="CU107" s="17">
        <f>CT107*VLOOKUP('Données projet'!$B$13,Paramètres!$A$1:$I$89,3,0)*VLOOKUP('Données projet'!$B$13,Paramètres!$A$1:$I$89,5,0)</f>
        <v>269.8175999999998</v>
      </c>
      <c r="CV107" s="13">
        <f t="shared" si="95"/>
        <v>64.810557882019467</v>
      </c>
      <c r="CW107" s="20">
        <f t="shared" si="67"/>
        <v>582.81070831118348</v>
      </c>
      <c r="CX107" s="59">
        <f t="shared" si="68"/>
        <v>861.29168114224444</v>
      </c>
      <c r="CY107" s="59">
        <f ca="1">AVERAGE(OFFSET($CX$3,0,0,'Données projet'!$E$13+1,1))-AVERAGE(OFFSET($H$3,0,0,'Données projet'!$E$13+1,1))</f>
        <v>400.48995908576177</v>
      </c>
      <c r="CZ107" s="59">
        <f t="shared" si="96"/>
        <v>384.86917865380076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28.649089000059792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28.649089000059792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367.99999999999972</v>
      </c>
      <c r="DP107" s="17">
        <f>DO107*VLOOKUP('Données projet'!$B$14,Paramètres!$A$1:$I$89,3,0)*VLOOKUP('Données projet'!$B$14,Paramètres!$A$1:$I$89,5,0)</f>
        <v>292.78079999999977</v>
      </c>
      <c r="DQ107" s="13">
        <f t="shared" si="97"/>
        <v>69.660903052386217</v>
      </c>
      <c r="DR107" s="20">
        <f t="shared" si="70"/>
        <v>631.25263281623893</v>
      </c>
      <c r="DS107" s="59">
        <f t="shared" si="71"/>
        <v>909.73360564729978</v>
      </c>
      <c r="DT107" s="59">
        <f ca="1">AVERAGE(OFFSET($DS$3,0,0,'Données projet'!$E$14+1,1))-AVERAGE(OFFSET($H$3,0,0,'Données projet'!$E$14+1,1))</f>
        <v>429.30603040255431</v>
      </c>
      <c r="DU107" s="59">
        <f t="shared" si="98"/>
        <v>412.18613903804726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38.316916163860242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38.316916163860242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210.25641025641013</v>
      </c>
      <c r="EK107" s="17">
        <f>EJ107*VLOOKUP('Données projet'!$B$15,Paramètres!$A$1:$I$89,3,0)*VLOOKUP('Données projet'!$B$15,Paramètres!$A$1:$I$89,5,0)</f>
        <v>163.99999999999991</v>
      </c>
      <c r="EL107" s="13">
        <f t="shared" si="99"/>
        <v>41.743425908362248</v>
      </c>
      <c r="EM107" s="20">
        <f t="shared" si="73"/>
        <v>358.33646679039742</v>
      </c>
      <c r="EN107" s="59">
        <f t="shared" si="74"/>
        <v>636.81743962145833</v>
      </c>
      <c r="EO107" s="59">
        <f ca="1">AVERAGE(OFFSET($EN$3,0,0,'Données projet'!$E$15+1,1))-AVERAGE(OFFSET($H$3,0,0,'Données projet'!$E$15+1,1))</f>
        <v>217.53602321474159</v>
      </c>
      <c r="EP107" s="59">
        <f t="shared" si="100"/>
        <v>215.75909414893025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16.147499173103313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16.147499173103313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9.7110000000000021</v>
      </c>
      <c r="FE107" s="12">
        <f>IF('Données projet'!$A$218&gt;35,FE106+FD107-FM106,IF(A107&lt;'Données projet'!$A$218,$FB$205^A107,IF(A107='Données projet'!$A$218,'Données projet'!$B$218,FE106+FD107-FM106)))</f>
        <v>450.41500000000019</v>
      </c>
      <c r="FF107" s="17">
        <f>FE107*VLOOKUP('Données projet'!$B$16,Paramètres!$A$1:$I$89,3,0)*VLOOKUP('Données projet'!$B$16,Paramètres!$A$1:$I$89,5,0)</f>
        <v>302.13838200000015</v>
      </c>
      <c r="FG107" s="13">
        <f t="shared" si="101"/>
        <v>71.624565000370197</v>
      </c>
      <c r="FH107" s="20">
        <f t="shared" si="76"/>
        <v>650.9704660256449</v>
      </c>
      <c r="FI107" s="59">
        <f t="shared" si="77"/>
        <v>929.45143885670586</v>
      </c>
      <c r="FJ107" s="59">
        <f ca="1">AVERAGE(OFFSET($FI$3,0,0,'Données projet'!$E$16+1,1))-AVERAGE(OFFSET($H$3,0,0,'Données projet'!$E$16+1,1))</f>
        <v>441.20130048888439</v>
      </c>
      <c r="FK107" s="59">
        <f t="shared" si="102"/>
        <v>237.47732532183946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104.82192565576931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104.82192565576931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204.00000000000017</v>
      </c>
      <c r="GA107" s="17">
        <f>FZ107*VLOOKUP('Données projet'!$B$17,Paramètres!$A$1:$I$89,3,0)*VLOOKUP('Données projet'!$B$17,Paramètres!$A$1:$I$89,5,0)</f>
        <v>133.66080000000011</v>
      </c>
      <c r="GB107" s="13">
        <f t="shared" si="103"/>
        <v>34.840890682716783</v>
      </c>
      <c r="GC107" s="20">
        <f t="shared" si="79"/>
        <v>293.4737779390652</v>
      </c>
      <c r="GD107" s="59">
        <f t="shared" si="80"/>
        <v>571.95475077012611</v>
      </c>
      <c r="GE107" s="59">
        <f ca="1">AVERAGE(OFFSET($GD$3,0,0,'Données projet'!$E$17+1,1))-AVERAGE(OFFSET($H$3,0,0,'Données projet'!$E$17+1,1))</f>
        <v>257.66104339896992</v>
      </c>
      <c r="GF107" s="59">
        <f t="shared" si="104"/>
        <v>254.79488636184996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29.86935092975672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29.86935092975672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234.00000000000003</v>
      </c>
      <c r="GV107" s="17">
        <f>GU107*VLOOKUP('Données projet'!$B$18,Paramètres!$A$1:$I$89,3,0)*VLOOKUP('Données projet'!$B$18,Paramètres!$A$1:$I$89,5,0)</f>
        <v>189.82080000000005</v>
      </c>
      <c r="GW107" s="13">
        <f t="shared" si="105"/>
        <v>47.500332100049796</v>
      </c>
      <c r="GX107" s="20">
        <f t="shared" si="82"/>
        <v>413.33430507425345</v>
      </c>
      <c r="GY107" s="59">
        <f t="shared" si="83"/>
        <v>691.81527790531436</v>
      </c>
      <c r="GZ107" s="59">
        <f ca="1">AVERAGE(OFFSET($GY$3,0,0,'Données projet'!$E$18+1,1))-AVERAGE(OFFSET($H$3,0,0,'Données projet'!$E$18+1,1))</f>
        <v>299.98377156721153</v>
      </c>
      <c r="HA107" s="59">
        <f t="shared" si="106"/>
        <v>241.36164657721102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28.777310616836168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28.777310616836168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9.7110000000000021</v>
      </c>
      <c r="N108" s="13">
        <f>IF('Données projet'!$A$36&gt;35,N107+M108-V107,IF(A108&lt;'Données projet'!$A$36,$K$205^A108,IF(A108='Données projet'!$A$36,'Données projet'!$B$36,N107+M108-V107)))</f>
        <v>460.1260000000002</v>
      </c>
      <c r="O108" s="13">
        <f>N108*VLOOKUP('Données projet'!$B$9,Paramètres!$A$1:$I$89,3,0)*VLOOKUP('Données projet'!$B$9,Paramètres!$A$1:$I$89,5,0)</f>
        <v>416.32200480000012</v>
      </c>
      <c r="P108" s="13">
        <f t="shared" si="87"/>
        <v>95.077959556166732</v>
      </c>
      <c r="Q108" s="20">
        <f t="shared" si="107"/>
        <v>890.68827125365715</v>
      </c>
      <c r="R108" s="59">
        <f t="shared" si="55"/>
        <v>1169.426899334529</v>
      </c>
      <c r="S108" s="59">
        <f ca="1">AVERAGE(OFFSET($R$3,0,0,'Données projet'!$E$9+1,1))-AVERAGE(OFFSET($H$3,0,0,'Données projet'!$E$9+1,1))</f>
        <v>567.42635821507474</v>
      </c>
      <c r="T108" s="59">
        <f t="shared" si="88"/>
        <v>299.04735309930152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112.46137800878928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112.46137800878928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484</v>
      </c>
      <c r="AG108" s="12">
        <f>VLOOKUP(A108,'Données projet'!$A$61:$I$81,9,0)</f>
        <v>7.8</v>
      </c>
      <c r="AH108" s="12">
        <f t="array" ref="AH108">INDEX(AG:AG,MIN(IF(ISNUMBER(AG108:AG304),ROW(AG108:AG304),"")))</f>
        <v>7.8</v>
      </c>
      <c r="AI108" s="13">
        <f>IF('Données projet'!$A$62&gt;35,AI107+AH108-AQ107,IF(A108&lt;'Données projet'!$A$62,$AF$205^A108,IF(A108='Données projet'!$A$62,'Données projet'!$B$62,AI107+AH108-AQ107)))</f>
        <v>484.00000000000006</v>
      </c>
      <c r="AJ108" s="13">
        <f>AI108*VLOOKUP('Données projet'!$B$10,Paramètres!$A$1:$I$89,3,0)*VLOOKUP('Données projet'!$B$10,Paramètres!$A$1:$I$89,5,0)</f>
        <v>415.27200000000011</v>
      </c>
      <c r="AK108" s="13">
        <f t="shared" si="89"/>
        <v>94.866044759468508</v>
      </c>
      <c r="AL108" s="20">
        <f t="shared" si="58"/>
        <v>888.49042795607431</v>
      </c>
      <c r="AM108" s="59">
        <f t="shared" si="59"/>
        <v>1167.2290560369461</v>
      </c>
      <c r="AN108" s="59">
        <f ca="1">AVERAGE(OFFSET($AM$3,0,0,'Données projet'!$E$10+1,1))-AVERAGE(OFFSET($H$3,0,0,'Données projet'!$E$10+1,1))</f>
        <v>569.97793593332699</v>
      </c>
      <c r="AO108" s="59">
        <f t="shared" si="90"/>
        <v>331.25104323342907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28</v>
      </c>
      <c r="AR108" s="16">
        <f>IF(ISNA(VLOOKUP(A108,'Données projet'!$A$61:$I$81,5,0)),0%,VLOOKUP(A108,'Données projet'!$A$61:$I$81,5,0)*VLOOKUP('Données projet'!$B$10,Paramètres!$A$1:$I$89,7,0))</f>
        <v>0.53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133.57956461841087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133.57956461841087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277.99999999999994</v>
      </c>
      <c r="BE108" s="13">
        <f>BD108*VLOOKUP('Données projet'!$B$11,Paramètres!$A$1:$I$89,3,0)*VLOOKUP('Données projet'!$B$11,Paramètres!$A$1:$I$89,5,0)</f>
        <v>151.78799999999998</v>
      </c>
      <c r="BF108" s="13">
        <f t="shared" si="91"/>
        <v>38.984634390835623</v>
      </c>
      <c r="BG108" s="20">
        <f t="shared" si="61"/>
        <v>332.26233823070532</v>
      </c>
      <c r="BH108" s="59">
        <f t="shared" si="62"/>
        <v>611.00096631157703</v>
      </c>
      <c r="BI108" s="59">
        <f ca="1">AVERAGE(OFFSET($BH$3,0,0,'Données projet'!$E$11+1,1))-AVERAGE(OFFSET($H$3,0,0,'Données projet'!$E$11+1,1))</f>
        <v>215.37314197175104</v>
      </c>
      <c r="BJ108" s="59">
        <f t="shared" si="92"/>
        <v>361.17630426655978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8.3114037251314787</v>
      </c>
      <c r="BQ108" s="21">
        <f>EXP(-LN(2)/25)*BQ107+(1-EXP(-LN(2)/25))/(LN(2)/25)*Calculateur!BL108*Calculateur!BN108*VLOOKUP('Données projet'!$B$11,Paramètres!$A$1:$I$89,3,0)*0.475*44/12</f>
        <v>12.005183795179651</v>
      </c>
      <c r="BR108" s="21">
        <f>EXP(-LN(2)/2)*BR107+(1-EXP(-LN(2)/2))/(LN(2)/2)*BL108*BO108*VLOOKUP('Données projet'!$B$11,Paramètres!$A$1:$I$89,3,0)*0.475*44/12</f>
        <v>1.3045258167462279E-13</v>
      </c>
      <c r="BS108" s="22">
        <f t="shared" si="63"/>
        <v>20.316587520311263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0.8600000000003547</v>
      </c>
      <c r="BZ108" s="13">
        <f>BY108*VLOOKUP('Données projet'!$B$12,Paramètres!$A$1:$I$89,3,0)*VLOOKUP('Données projet'!$B$12,Paramètres!$A$1:$I$89,5,0)</f>
        <v>0.48074000000019829</v>
      </c>
      <c r="CA108" s="13">
        <f t="shared" si="93"/>
        <v>0.24126147010950588</v>
      </c>
      <c r="CB108" s="20">
        <f t="shared" si="64"/>
        <v>1.2574858937744013</v>
      </c>
      <c r="CC108" s="59">
        <f t="shared" si="65"/>
        <v>279.99611397464616</v>
      </c>
      <c r="CD108" s="59">
        <f ca="1">AVERAGE(OFFSET($CC$3,0,0,'Données projet'!$E$12+1,1))-AVERAGE(OFFSET($H$3,0,0,'Données projet'!$E$12+1,1))</f>
        <v>420.4890915162182</v>
      </c>
      <c r="CE108" s="59">
        <f t="shared" si="94"/>
        <v>553.48432338023565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138.11939278434875</v>
      </c>
      <c r="CL108" s="21">
        <f>EXP(-LN(2)/25)*CL107+(1-EXP(-LN(2)/25))/(LN(2)/25)*Calculateur!CG108*Calculateur!CI108*VLOOKUP('Données projet'!$B$12,Paramètres!$A$1:$I$89,3,0)*0.475*44/12</f>
        <v>6.3214089425190139</v>
      </c>
      <c r="CM108" s="21">
        <f>EXP(-LN(2)/2)*CM107+(1-EXP(-LN(2)/2))/(LN(2)/2)*CG108*CJ108*VLOOKUP('Données projet'!$B$12,Paramètres!$A$1:$I$89,3,0)*0.475*44/12</f>
        <v>3.8068015684217416E-12</v>
      </c>
      <c r="CN108" s="22">
        <f t="shared" si="66"/>
        <v>144.44080172687157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367.99999999999972</v>
      </c>
      <c r="CU108" s="17">
        <f>CT108*VLOOKUP('Données projet'!$B$13,Paramètres!$A$1:$I$89,3,0)*VLOOKUP('Données projet'!$B$13,Paramètres!$A$1:$I$89,5,0)</f>
        <v>269.8175999999998</v>
      </c>
      <c r="CV108" s="13">
        <f t="shared" si="95"/>
        <v>64.810557882019467</v>
      </c>
      <c r="CW108" s="20">
        <f t="shared" si="67"/>
        <v>582.81070831118348</v>
      </c>
      <c r="CX108" s="59">
        <f t="shared" si="68"/>
        <v>861.54933639205524</v>
      </c>
      <c r="CY108" s="59">
        <f ca="1">AVERAGE(OFFSET($CX$3,0,0,'Données projet'!$E$13+1,1))-AVERAGE(OFFSET($H$3,0,0,'Données projet'!$E$13+1,1))</f>
        <v>400.48995908576177</v>
      </c>
      <c r="CZ108" s="59">
        <f t="shared" si="96"/>
        <v>384.86917865380076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28.087297838987475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28.087297838987475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367.99999999999972</v>
      </c>
      <c r="DP108" s="17">
        <f>DO108*VLOOKUP('Données projet'!$B$14,Paramètres!$A$1:$I$89,3,0)*VLOOKUP('Données projet'!$B$14,Paramètres!$A$1:$I$89,5,0)</f>
        <v>292.78079999999977</v>
      </c>
      <c r="DQ108" s="13">
        <f t="shared" si="97"/>
        <v>69.660903052386217</v>
      </c>
      <c r="DR108" s="20">
        <f t="shared" si="70"/>
        <v>631.25263281623893</v>
      </c>
      <c r="DS108" s="59">
        <f t="shared" si="71"/>
        <v>909.99126089711069</v>
      </c>
      <c r="DT108" s="59">
        <f ca="1">AVERAGE(OFFSET($DS$3,0,0,'Données projet'!$E$14+1,1))-AVERAGE(OFFSET($H$3,0,0,'Données projet'!$E$14+1,1))</f>
        <v>429.30603040255431</v>
      </c>
      <c r="DU108" s="59">
        <f t="shared" si="98"/>
        <v>412.18613903804726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37.565544808898103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37.565544808898103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210.25641025641013</v>
      </c>
      <c r="EK108" s="17">
        <f>EJ108*VLOOKUP('Données projet'!$B$15,Paramètres!$A$1:$I$89,3,0)*VLOOKUP('Données projet'!$B$15,Paramètres!$A$1:$I$89,5,0)</f>
        <v>163.99999999999991</v>
      </c>
      <c r="EL108" s="13">
        <f t="shared" si="99"/>
        <v>41.743425908362248</v>
      </c>
      <c r="EM108" s="20">
        <f t="shared" si="73"/>
        <v>358.33646679039742</v>
      </c>
      <c r="EN108" s="59">
        <f t="shared" si="74"/>
        <v>637.07509487126913</v>
      </c>
      <c r="EO108" s="59">
        <f ca="1">AVERAGE(OFFSET($EN$3,0,0,'Données projet'!$E$15+1,1))-AVERAGE(OFFSET($H$3,0,0,'Données projet'!$E$15+1,1))</f>
        <v>217.53602321474159</v>
      </c>
      <c r="EP108" s="59">
        <f t="shared" si="100"/>
        <v>215.75909414893025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15.830856563320744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15.830856563320744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9.7110000000000021</v>
      </c>
      <c r="FE108" s="12">
        <f>IF('Données projet'!$A$218&gt;35,FE107+FD108-FM107,IF(A108&lt;'Données projet'!$A$218,$FB$205^A108,IF(A108='Données projet'!$A$218,'Données projet'!$B$218,FE107+FD108-FM107)))</f>
        <v>460.1260000000002</v>
      </c>
      <c r="FF108" s="17">
        <f>FE108*VLOOKUP('Données projet'!$B$16,Paramètres!$A$1:$I$89,3,0)*VLOOKUP('Données projet'!$B$16,Paramètres!$A$1:$I$89,5,0)</f>
        <v>308.6525208000001</v>
      </c>
      <c r="FG108" s="13">
        <f t="shared" si="101"/>
        <v>72.987351578300249</v>
      </c>
      <c r="FH108" s="20">
        <f t="shared" si="76"/>
        <v>664.6894443922065</v>
      </c>
      <c r="FI108" s="59">
        <f t="shared" si="77"/>
        <v>943.42807247307826</v>
      </c>
      <c r="FJ108" s="59">
        <f ca="1">AVERAGE(OFFSET($FI$3,0,0,'Données projet'!$E$16+1,1))-AVERAGE(OFFSET($H$3,0,0,'Données projet'!$E$16+1,1))</f>
        <v>441.20130048888439</v>
      </c>
      <c r="FK108" s="59">
        <f t="shared" si="102"/>
        <v>237.47732532183946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102.76643162872125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102.76643162872125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204.00000000000017</v>
      </c>
      <c r="GA108" s="17">
        <f>FZ108*VLOOKUP('Données projet'!$B$17,Paramètres!$A$1:$I$89,3,0)*VLOOKUP('Données projet'!$B$17,Paramètres!$A$1:$I$89,5,0)</f>
        <v>133.66080000000011</v>
      </c>
      <c r="GB108" s="13">
        <f t="shared" si="103"/>
        <v>34.840890682716783</v>
      </c>
      <c r="GC108" s="20">
        <f t="shared" si="79"/>
        <v>293.4737779390652</v>
      </c>
      <c r="GD108" s="59">
        <f t="shared" si="80"/>
        <v>572.21240601993691</v>
      </c>
      <c r="GE108" s="59">
        <f ca="1">AVERAGE(OFFSET($GD$3,0,0,'Données projet'!$E$17+1,1))-AVERAGE(OFFSET($H$3,0,0,'Données projet'!$E$17+1,1))</f>
        <v>257.66104339896992</v>
      </c>
      <c r="GF108" s="59">
        <f t="shared" si="104"/>
        <v>254.79488636184996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29.28363117652933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29.28363117652933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234.00000000000003</v>
      </c>
      <c r="GV108" s="17">
        <f>GU108*VLOOKUP('Données projet'!$B$18,Paramètres!$A$1:$I$89,3,0)*VLOOKUP('Données projet'!$B$18,Paramètres!$A$1:$I$89,5,0)</f>
        <v>189.82080000000005</v>
      </c>
      <c r="GW108" s="13">
        <f t="shared" si="105"/>
        <v>47.500332100049796</v>
      </c>
      <c r="GX108" s="20">
        <f t="shared" si="82"/>
        <v>413.33430507425345</v>
      </c>
      <c r="GY108" s="59">
        <f t="shared" si="83"/>
        <v>692.07293315512516</v>
      </c>
      <c r="GZ108" s="59">
        <f ca="1">AVERAGE(OFFSET($GY$3,0,0,'Données projet'!$E$18+1,1))-AVERAGE(OFFSET($H$3,0,0,'Données projet'!$E$18+1,1))</f>
        <v>299.98377156721153</v>
      </c>
      <c r="HA108" s="59">
        <f t="shared" si="106"/>
        <v>241.36164657721102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28.21300510806633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28.21300510806633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9.7110000000000021</v>
      </c>
      <c r="N109" s="13">
        <f>IF('Données projet'!$A$36&gt;35,N108+M109-V108,IF(A109&lt;'Données projet'!$A$36,$K$205^A109,IF(A109='Données projet'!$A$36,'Données projet'!$B$36,N108+M109-V108)))</f>
        <v>469.83700000000022</v>
      </c>
      <c r="O109" s="13">
        <f>N109*VLOOKUP('Données projet'!$B$9,Paramètres!$A$1:$I$89,3,0)*VLOOKUP('Données projet'!$B$9,Paramètres!$A$1:$I$89,5,0)</f>
        <v>425.10851760000014</v>
      </c>
      <c r="P109" s="13">
        <f t="shared" si="87"/>
        <v>96.848855770846484</v>
      </c>
      <c r="Q109" s="20">
        <f t="shared" si="107"/>
        <v>909.07575862089118</v>
      </c>
      <c r="R109" s="59">
        <f t="shared" si="55"/>
        <v>1188.0675722090202</v>
      </c>
      <c r="S109" s="59">
        <f ca="1">AVERAGE(OFFSET($R$3,0,0,'Données projet'!$E$9+1,1))-AVERAGE(OFFSET($H$3,0,0,'Données projet'!$E$9+1,1))</f>
        <v>567.42635821507474</v>
      </c>
      <c r="T109" s="59">
        <f t="shared" si="88"/>
        <v>299.04735309930152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110.25607898070434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110.25607898070434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7.4</v>
      </c>
      <c r="AI109" s="13">
        <f>IF('Données projet'!$A$62&gt;35,AI108+AH109-AQ108,IF(A109&lt;'Données projet'!$A$62,$AF$205^A109,IF(A109='Données projet'!$A$62,'Données projet'!$B$62,AI108+AH109-AQ108)))</f>
        <v>463.40000000000003</v>
      </c>
      <c r="AJ109" s="13">
        <f>AI109*VLOOKUP('Données projet'!$B$10,Paramètres!$A$1:$I$89,3,0)*VLOOKUP('Données projet'!$B$10,Paramètres!$A$1:$I$89,5,0)</f>
        <v>397.59720000000004</v>
      </c>
      <c r="AK109" s="13">
        <f t="shared" si="89"/>
        <v>91.289363709423512</v>
      </c>
      <c r="AL109" s="20">
        <f t="shared" si="58"/>
        <v>851.47743179391273</v>
      </c>
      <c r="AM109" s="59">
        <f t="shared" si="59"/>
        <v>1130.4692453820419</v>
      </c>
      <c r="AN109" s="59">
        <f ca="1">AVERAGE(OFFSET($AM$3,0,0,'Données projet'!$E$10+1,1))-AVERAGE(OFFSET($H$3,0,0,'Données projet'!$E$10+1,1))</f>
        <v>569.97793593332699</v>
      </c>
      <c r="AO109" s="59">
        <f t="shared" si="90"/>
        <v>331.25104323342907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130.96015083173322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130.96015083173322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277.99999999999994</v>
      </c>
      <c r="BE109" s="13">
        <f>BD109*VLOOKUP('Données projet'!$B$11,Paramètres!$A$1:$I$89,3,0)*VLOOKUP('Données projet'!$B$11,Paramètres!$A$1:$I$89,5,0)</f>
        <v>151.78799999999998</v>
      </c>
      <c r="BF109" s="13">
        <f t="shared" si="91"/>
        <v>38.984634390835623</v>
      </c>
      <c r="BG109" s="20">
        <f t="shared" si="61"/>
        <v>332.26233823070532</v>
      </c>
      <c r="BH109" s="59">
        <f t="shared" si="62"/>
        <v>611.25415181883443</v>
      </c>
      <c r="BI109" s="59">
        <f ca="1">AVERAGE(OFFSET($BH$3,0,0,'Données projet'!$E$11+1,1))-AVERAGE(OFFSET($H$3,0,0,'Données projet'!$E$11+1,1))</f>
        <v>215.37314197175104</v>
      </c>
      <c r="BJ109" s="59">
        <f t="shared" si="92"/>
        <v>361.17630426655978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8.1484221675373547</v>
      </c>
      <c r="BQ109" s="21">
        <f>EXP(-LN(2)/25)*BQ108+(1-EXP(-LN(2)/25))/(LN(2)/25)*Calculateur!BL109*Calculateur!BN109*VLOOKUP('Données projet'!$B$11,Paramètres!$A$1:$I$89,3,0)*0.475*44/12</f>
        <v>11.676901412975285</v>
      </c>
      <c r="BR109" s="21">
        <f>EXP(-LN(2)/2)*BR108+(1-EXP(-LN(2)/2))/(LN(2)/2)*BL109*BO109*VLOOKUP('Données projet'!$B$11,Paramètres!$A$1:$I$89,3,0)*0.475*44/12</f>
        <v>9.2243905125417717E-14</v>
      </c>
      <c r="BS109" s="22">
        <f t="shared" si="63"/>
        <v>19.82532358051273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0.8600000000003547</v>
      </c>
      <c r="BZ109" s="13">
        <f>BY109*VLOOKUP('Données projet'!$B$12,Paramètres!$A$1:$I$89,3,0)*VLOOKUP('Données projet'!$B$12,Paramètres!$A$1:$I$89,5,0)</f>
        <v>0.48074000000019829</v>
      </c>
      <c r="CA109" s="13">
        <f t="shared" si="93"/>
        <v>0.24126147010950588</v>
      </c>
      <c r="CB109" s="20">
        <f t="shared" si="64"/>
        <v>1.2574858937744013</v>
      </c>
      <c r="CC109" s="59">
        <f t="shared" si="65"/>
        <v>280.24929948190351</v>
      </c>
      <c r="CD109" s="59">
        <f ca="1">AVERAGE(OFFSET($CC$3,0,0,'Données projet'!$E$12+1,1))-AVERAGE(OFFSET($H$3,0,0,'Données projet'!$E$12+1,1))</f>
        <v>420.4890915162182</v>
      </c>
      <c r="CE109" s="59">
        <f t="shared" si="94"/>
        <v>553.48432338023565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135.4109557363588</v>
      </c>
      <c r="CL109" s="21">
        <f>EXP(-LN(2)/25)*CL108+(1-EXP(-LN(2)/25))/(LN(2)/25)*Calculateur!CG109*Calculateur!CI109*VLOOKUP('Données projet'!$B$12,Paramètres!$A$1:$I$89,3,0)*0.475*44/12</f>
        <v>6.1485496825573831</v>
      </c>
      <c r="CM109" s="21">
        <f>EXP(-LN(2)/2)*CM108+(1-EXP(-LN(2)/2))/(LN(2)/2)*CG109*CJ109*VLOOKUP('Données projet'!$B$12,Paramètres!$A$1:$I$89,3,0)*0.475*44/12</f>
        <v>2.6918152036625984E-12</v>
      </c>
      <c r="CN109" s="22">
        <f t="shared" si="66"/>
        <v>141.55950541891889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367.99999999999972</v>
      </c>
      <c r="CU109" s="17">
        <f>CT109*VLOOKUP('Données projet'!$B$13,Paramètres!$A$1:$I$89,3,0)*VLOOKUP('Données projet'!$B$13,Paramètres!$A$1:$I$89,5,0)</f>
        <v>269.8175999999998</v>
      </c>
      <c r="CV109" s="13">
        <f t="shared" si="95"/>
        <v>64.810557882019467</v>
      </c>
      <c r="CW109" s="20">
        <f t="shared" si="67"/>
        <v>582.81070831118348</v>
      </c>
      <c r="CX109" s="59">
        <f t="shared" si="68"/>
        <v>861.80252189931252</v>
      </c>
      <c r="CY109" s="59">
        <f ca="1">AVERAGE(OFFSET($CX$3,0,0,'Données projet'!$E$13+1,1))-AVERAGE(OFFSET($H$3,0,0,'Données projet'!$E$13+1,1))</f>
        <v>400.48995908576177</v>
      </c>
      <c r="CZ109" s="59">
        <f t="shared" si="96"/>
        <v>384.86917865380076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27.53652305992501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27.53652305992501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367.99999999999972</v>
      </c>
      <c r="DP109" s="17">
        <f>DO109*VLOOKUP('Données projet'!$B$14,Paramètres!$A$1:$I$89,3,0)*VLOOKUP('Données projet'!$B$14,Paramètres!$A$1:$I$89,5,0)</f>
        <v>292.78079999999977</v>
      </c>
      <c r="DQ109" s="13">
        <f t="shared" si="97"/>
        <v>69.660903052386217</v>
      </c>
      <c r="DR109" s="20">
        <f t="shared" si="70"/>
        <v>631.25263281623893</v>
      </c>
      <c r="DS109" s="59">
        <f t="shared" si="71"/>
        <v>910.24444640436809</v>
      </c>
      <c r="DT109" s="59">
        <f ca="1">AVERAGE(OFFSET($DS$3,0,0,'Données projet'!$E$14+1,1))-AVERAGE(OFFSET($H$3,0,0,'Données projet'!$E$14+1,1))</f>
        <v>429.30603040255431</v>
      </c>
      <c r="DU109" s="59">
        <f t="shared" si="98"/>
        <v>412.18613903804726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36.8289073879155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36.8289073879155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210.25641025641013</v>
      </c>
      <c r="EK109" s="17">
        <f>EJ109*VLOOKUP('Données projet'!$B$15,Paramètres!$A$1:$I$89,3,0)*VLOOKUP('Données projet'!$B$15,Paramètres!$A$1:$I$89,5,0)</f>
        <v>163.99999999999991</v>
      </c>
      <c r="EL109" s="13">
        <f t="shared" si="99"/>
        <v>41.743425908362248</v>
      </c>
      <c r="EM109" s="20">
        <f t="shared" si="73"/>
        <v>358.33646679039742</v>
      </c>
      <c r="EN109" s="59">
        <f t="shared" si="74"/>
        <v>637.32828037852653</v>
      </c>
      <c r="EO109" s="59">
        <f ca="1">AVERAGE(OFFSET($EN$3,0,0,'Données projet'!$E$15+1,1))-AVERAGE(OFFSET($H$3,0,0,'Données projet'!$E$15+1,1))</f>
        <v>217.53602321474159</v>
      </c>
      <c r="EP109" s="59">
        <f t="shared" si="100"/>
        <v>215.75909414893025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15.520423121983089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15.520423121983089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9.7110000000000021</v>
      </c>
      <c r="FE109" s="12">
        <f>IF('Données projet'!$A$218&gt;35,FE108+FD109-FM108,IF(A109&lt;'Données projet'!$A$218,$FB$205^A109,IF(A109='Données projet'!$A$218,'Données projet'!$B$218,FE108+FD109-FM108)))</f>
        <v>469.83700000000022</v>
      </c>
      <c r="FF109" s="17">
        <f>FE109*VLOOKUP('Données projet'!$B$16,Paramètres!$A$1:$I$89,3,0)*VLOOKUP('Données projet'!$B$16,Paramètres!$A$1:$I$89,5,0)</f>
        <v>315.16665960000017</v>
      </c>
      <c r="FG109" s="13">
        <f t="shared" si="101"/>
        <v>74.346794137152642</v>
      </c>
      <c r="FH109" s="20">
        <f t="shared" si="76"/>
        <v>678.40259859220782</v>
      </c>
      <c r="FI109" s="59">
        <f t="shared" si="77"/>
        <v>957.39441218033699</v>
      </c>
      <c r="FJ109" s="59">
        <f ca="1">AVERAGE(OFFSET($FI$3,0,0,'Données projet'!$E$16+1,1))-AVERAGE(OFFSET($H$3,0,0,'Données projet'!$E$16+1,1))</f>
        <v>441.20130048888439</v>
      </c>
      <c r="FK109" s="59">
        <f t="shared" si="102"/>
        <v>237.47732532183946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100.75124458581605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100.75124458581605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204.00000000000017</v>
      </c>
      <c r="GA109" s="17">
        <f>FZ109*VLOOKUP('Données projet'!$B$17,Paramètres!$A$1:$I$89,3,0)*VLOOKUP('Données projet'!$B$17,Paramètres!$A$1:$I$89,5,0)</f>
        <v>133.66080000000011</v>
      </c>
      <c r="GB109" s="13">
        <f t="shared" si="103"/>
        <v>34.840890682716783</v>
      </c>
      <c r="GC109" s="20">
        <f t="shared" si="79"/>
        <v>293.4737779390652</v>
      </c>
      <c r="GD109" s="59">
        <f t="shared" si="80"/>
        <v>572.46559152719431</v>
      </c>
      <c r="GE109" s="59">
        <f ca="1">AVERAGE(OFFSET($GD$3,0,0,'Données projet'!$E$17+1,1))-AVERAGE(OFFSET($H$3,0,0,'Données projet'!$E$17+1,1))</f>
        <v>257.66104339896992</v>
      </c>
      <c r="GF109" s="59">
        <f t="shared" si="104"/>
        <v>254.79488636184996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28.709397030408955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28.709397030408955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234.00000000000003</v>
      </c>
      <c r="GV109" s="17">
        <f>GU109*VLOOKUP('Données projet'!$B$18,Paramètres!$A$1:$I$89,3,0)*VLOOKUP('Données projet'!$B$18,Paramètres!$A$1:$I$89,5,0)</f>
        <v>189.82080000000005</v>
      </c>
      <c r="GW109" s="13">
        <f t="shared" si="105"/>
        <v>47.500332100049796</v>
      </c>
      <c r="GX109" s="20">
        <f t="shared" si="82"/>
        <v>413.33430507425345</v>
      </c>
      <c r="GY109" s="59">
        <f t="shared" si="83"/>
        <v>692.32611866238256</v>
      </c>
      <c r="GZ109" s="59">
        <f ca="1">AVERAGE(OFFSET($GY$3,0,0,'Données projet'!$E$18+1,1))-AVERAGE(OFFSET($H$3,0,0,'Données projet'!$E$18+1,1))</f>
        <v>299.98377156721153</v>
      </c>
      <c r="HA109" s="59">
        <f t="shared" si="106"/>
        <v>241.36164657721102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27.659765286131094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27.659765286131094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9.7110000000000021</v>
      </c>
      <c r="N110" s="13">
        <f>IF('Données projet'!$A$36&gt;35,N109+M110-V109,IF(A110&lt;'Données projet'!$A$36,$K$205^A110,IF(A110='Données projet'!$A$36,'Données projet'!$B$36,N109+M110-V109)))</f>
        <v>479.54800000000023</v>
      </c>
      <c r="O110" s="13">
        <f>N110*VLOOKUP('Données projet'!$B$9,Paramètres!$A$1:$I$89,3,0)*VLOOKUP('Données projet'!$B$9,Paramètres!$A$1:$I$89,5,0)</f>
        <v>433.89503040000017</v>
      </c>
      <c r="P110" s="13">
        <f t="shared" si="87"/>
        <v>98.615496264061846</v>
      </c>
      <c r="Q110" s="20">
        <f t="shared" si="107"/>
        <v>927.45583393990785</v>
      </c>
      <c r="R110" s="59">
        <f t="shared" si="55"/>
        <v>1206.6964408327815</v>
      </c>
      <c r="S110" s="59">
        <f ca="1">AVERAGE(OFFSET($R$3,0,0,'Données projet'!$E$9+1,1))-AVERAGE(OFFSET($H$3,0,0,'Données projet'!$E$9+1,1))</f>
        <v>567.42635821507474</v>
      </c>
      <c r="T110" s="59">
        <f t="shared" si="88"/>
        <v>299.04735309930152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108.09402452146057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108.09402452146057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7.4</v>
      </c>
      <c r="AI110" s="13">
        <f>IF('Données projet'!$A$62&gt;35,AI109+AH110-AQ109,IF(A110&lt;'Données projet'!$A$62,$AF$205^A110,IF(A110='Données projet'!$A$62,'Données projet'!$B$62,AI109+AH110-AQ109)))</f>
        <v>470.8</v>
      </c>
      <c r="AJ110" s="13">
        <f>AI110*VLOOKUP('Données projet'!$B$10,Paramètres!$A$1:$I$89,3,0)*VLOOKUP('Données projet'!$B$10,Paramètres!$A$1:$I$89,5,0)</f>
        <v>403.9464000000001</v>
      </c>
      <c r="AK110" s="13">
        <f t="shared" si="89"/>
        <v>92.576279533320715</v>
      </c>
      <c r="AL110" s="20">
        <f t="shared" si="58"/>
        <v>864.77700018720031</v>
      </c>
      <c r="AM110" s="59">
        <f t="shared" si="59"/>
        <v>1144.017607080074</v>
      </c>
      <c r="AN110" s="59">
        <f ca="1">AVERAGE(OFFSET($AM$3,0,0,'Données projet'!$E$10+1,1))-AVERAGE(OFFSET($H$3,0,0,'Données projet'!$E$10+1,1))</f>
        <v>569.97793593332699</v>
      </c>
      <c r="AO110" s="59">
        <f t="shared" si="90"/>
        <v>331.25104323342907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128.39210215172767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128.39210215172767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277.99999999999994</v>
      </c>
      <c r="BE110" s="13">
        <f>BD110*VLOOKUP('Données projet'!$B$11,Paramètres!$A$1:$I$89,3,0)*VLOOKUP('Données projet'!$B$11,Paramètres!$A$1:$I$89,5,0)</f>
        <v>151.78799999999998</v>
      </c>
      <c r="BF110" s="13">
        <f t="shared" si="91"/>
        <v>38.984634390835623</v>
      </c>
      <c r="BG110" s="20">
        <f t="shared" si="61"/>
        <v>332.26233823070532</v>
      </c>
      <c r="BH110" s="59">
        <f t="shared" si="62"/>
        <v>611.50294512357891</v>
      </c>
      <c r="BI110" s="59">
        <f ca="1">AVERAGE(OFFSET($BH$3,0,0,'Données projet'!$E$11+1,1))-AVERAGE(OFFSET($H$3,0,0,'Données projet'!$E$11+1,1))</f>
        <v>215.37314197175104</v>
      </c>
      <c r="BJ110" s="59">
        <f t="shared" si="92"/>
        <v>361.17630426655978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7.9886365788787179</v>
      </c>
      <c r="BQ110" s="21">
        <f>EXP(-LN(2)/25)*BQ109+(1-EXP(-LN(2)/25))/(LN(2)/25)*Calculateur!BL110*Calculateur!BN110*VLOOKUP('Données projet'!$B$11,Paramètres!$A$1:$I$89,3,0)*0.475*44/12</f>
        <v>11.357595929775918</v>
      </c>
      <c r="BR110" s="21">
        <f>EXP(-LN(2)/2)*BR109+(1-EXP(-LN(2)/2))/(LN(2)/2)*BL110*BO110*VLOOKUP('Données projet'!$B$11,Paramètres!$A$1:$I$89,3,0)*0.475*44/12</f>
        <v>6.5226290837311394E-14</v>
      </c>
      <c r="BS110" s="22">
        <f t="shared" si="63"/>
        <v>19.346232508654701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0.8600000000003547</v>
      </c>
      <c r="BZ110" s="13">
        <f>BY110*VLOOKUP('Données projet'!$B$12,Paramètres!$A$1:$I$89,3,0)*VLOOKUP('Données projet'!$B$12,Paramètres!$A$1:$I$89,5,0)</f>
        <v>0.48074000000019829</v>
      </c>
      <c r="CA110" s="13">
        <f t="shared" si="93"/>
        <v>0.24126147010950588</v>
      </c>
      <c r="CB110" s="20">
        <f t="shared" si="64"/>
        <v>1.2574858937744013</v>
      </c>
      <c r="CC110" s="59">
        <f t="shared" si="65"/>
        <v>280.49809278664804</v>
      </c>
      <c r="CD110" s="59">
        <f ca="1">AVERAGE(OFFSET($CC$3,0,0,'Données projet'!$E$12+1,1))-AVERAGE(OFFSET($H$3,0,0,'Données projet'!$E$12+1,1))</f>
        <v>420.4890915162182</v>
      </c>
      <c r="CE110" s="59">
        <f t="shared" si="94"/>
        <v>553.48432338023565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132.75562948689648</v>
      </c>
      <c r="CL110" s="21">
        <f>EXP(-LN(2)/25)*CL109+(1-EXP(-LN(2)/25))/(LN(2)/25)*Calculateur!CG110*Calculateur!CI110*VLOOKUP('Données projet'!$B$12,Paramètres!$A$1:$I$89,3,0)*0.475*44/12</f>
        <v>5.9804172681496768</v>
      </c>
      <c r="CM110" s="21">
        <f>EXP(-LN(2)/2)*CM109+(1-EXP(-LN(2)/2))/(LN(2)/2)*CG110*CJ110*VLOOKUP('Données projet'!$B$12,Paramètres!$A$1:$I$89,3,0)*0.475*44/12</f>
        <v>1.9034007842108708E-12</v>
      </c>
      <c r="CN110" s="22">
        <f t="shared" si="66"/>
        <v>138.73604675504805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367.99999999999972</v>
      </c>
      <c r="CU110" s="17">
        <f>CT110*VLOOKUP('Données projet'!$B$13,Paramètres!$A$1:$I$89,3,0)*VLOOKUP('Données projet'!$B$13,Paramètres!$A$1:$I$89,5,0)</f>
        <v>269.8175999999998</v>
      </c>
      <c r="CV110" s="13">
        <f t="shared" si="95"/>
        <v>64.810557882019467</v>
      </c>
      <c r="CW110" s="20">
        <f t="shared" si="67"/>
        <v>582.81070831118348</v>
      </c>
      <c r="CX110" s="59">
        <f t="shared" si="68"/>
        <v>862.05131520405712</v>
      </c>
      <c r="CY110" s="59">
        <f ca="1">AVERAGE(OFFSET($CX$3,0,0,'Données projet'!$E$13+1,1))-AVERAGE(OFFSET($H$3,0,0,'Données projet'!$E$13+1,1))</f>
        <v>400.48995908576177</v>
      </c>
      <c r="CZ110" s="59">
        <f t="shared" si="96"/>
        <v>384.86917865380076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26.996548638340517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26.996548638340517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367.99999999999972</v>
      </c>
      <c r="DP110" s="17">
        <f>DO110*VLOOKUP('Données projet'!$B$14,Paramètres!$A$1:$I$89,3,0)*VLOOKUP('Données projet'!$B$14,Paramètres!$A$1:$I$89,5,0)</f>
        <v>292.78079999999977</v>
      </c>
      <c r="DQ110" s="13">
        <f t="shared" si="97"/>
        <v>69.660903052386217</v>
      </c>
      <c r="DR110" s="20">
        <f t="shared" si="70"/>
        <v>631.25263281623893</v>
      </c>
      <c r="DS110" s="59">
        <f t="shared" si="71"/>
        <v>910.49323970911257</v>
      </c>
      <c r="DT110" s="59">
        <f ca="1">AVERAGE(OFFSET($DS$3,0,0,'Données projet'!$E$14+1,1))-AVERAGE(OFFSET($H$3,0,0,'Données projet'!$E$14+1,1))</f>
        <v>429.30603040255431</v>
      </c>
      <c r="DU110" s="59">
        <f t="shared" si="98"/>
        <v>412.18613903804726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36.106714977453905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36.106714977453905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210.25641025641013</v>
      </c>
      <c r="EK110" s="17">
        <f>EJ110*VLOOKUP('Données projet'!$B$15,Paramètres!$A$1:$I$89,3,0)*VLOOKUP('Données projet'!$B$15,Paramètres!$A$1:$I$89,5,0)</f>
        <v>163.99999999999991</v>
      </c>
      <c r="EL110" s="13">
        <f t="shared" si="99"/>
        <v>41.743425908362248</v>
      </c>
      <c r="EM110" s="20">
        <f t="shared" si="73"/>
        <v>358.33646679039742</v>
      </c>
      <c r="EN110" s="59">
        <f t="shared" si="74"/>
        <v>637.57707368327101</v>
      </c>
      <c r="EO110" s="59">
        <f ca="1">AVERAGE(OFFSET($EN$3,0,0,'Données projet'!$E$15+1,1))-AVERAGE(OFFSET($H$3,0,0,'Données projet'!$E$15+1,1))</f>
        <v>217.53602321474159</v>
      </c>
      <c r="EP110" s="59">
        <f t="shared" si="100"/>
        <v>215.75909414893025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15.216077091084363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15.216077091084363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9.7110000000000021</v>
      </c>
      <c r="FE110" s="12">
        <f>IF('Données projet'!$A$218&gt;35,FE109+FD110-FM109,IF(A110&lt;'Données projet'!$A$218,$FB$205^A110,IF(A110='Données projet'!$A$218,'Données projet'!$B$218,FE109+FD110-FM109)))</f>
        <v>479.54800000000023</v>
      </c>
      <c r="FF110" s="17">
        <f>FE110*VLOOKUP('Données projet'!$B$16,Paramètres!$A$1:$I$89,3,0)*VLOOKUP('Données projet'!$B$16,Paramètres!$A$1:$I$89,5,0)</f>
        <v>321.68079840000019</v>
      </c>
      <c r="FG110" s="13">
        <f t="shared" si="101"/>
        <v>75.702969757587567</v>
      </c>
      <c r="FH110" s="20">
        <f t="shared" si="76"/>
        <v>692.11006287446526</v>
      </c>
      <c r="FI110" s="59">
        <f t="shared" si="77"/>
        <v>971.3506697673389</v>
      </c>
      <c r="FJ110" s="59">
        <f ca="1">AVERAGE(OFFSET($FI$3,0,0,'Données projet'!$E$16+1,1))-AVERAGE(OFFSET($H$3,0,0,'Données projet'!$E$16+1,1))</f>
        <v>441.20130048888439</v>
      </c>
      <c r="FK110" s="59">
        <f t="shared" si="102"/>
        <v>237.47732532183946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98.775574131679491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98.775574131679491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204.00000000000017</v>
      </c>
      <c r="GA110" s="17">
        <f>FZ110*VLOOKUP('Données projet'!$B$17,Paramètres!$A$1:$I$89,3,0)*VLOOKUP('Données projet'!$B$17,Paramètres!$A$1:$I$89,5,0)</f>
        <v>133.66080000000011</v>
      </c>
      <c r="GB110" s="13">
        <f t="shared" si="103"/>
        <v>34.840890682716783</v>
      </c>
      <c r="GC110" s="20">
        <f t="shared" si="79"/>
        <v>293.4737779390652</v>
      </c>
      <c r="GD110" s="59">
        <f t="shared" si="80"/>
        <v>572.71438483193879</v>
      </c>
      <c r="GE110" s="59">
        <f ca="1">AVERAGE(OFFSET($GD$3,0,0,'Données projet'!$E$17+1,1))-AVERAGE(OFFSET($H$3,0,0,'Données projet'!$E$17+1,1))</f>
        <v>257.66104339896992</v>
      </c>
      <c r="GF110" s="59">
        <f t="shared" si="104"/>
        <v>254.79488636184996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28.146423265645755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28.146423265645755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234.00000000000003</v>
      </c>
      <c r="GV110" s="17">
        <f>GU110*VLOOKUP('Données projet'!$B$18,Paramètres!$A$1:$I$89,3,0)*VLOOKUP('Données projet'!$B$18,Paramètres!$A$1:$I$89,5,0)</f>
        <v>189.82080000000005</v>
      </c>
      <c r="GW110" s="13">
        <f t="shared" si="105"/>
        <v>47.500332100049796</v>
      </c>
      <c r="GX110" s="20">
        <f t="shared" si="82"/>
        <v>413.33430507425345</v>
      </c>
      <c r="GY110" s="59">
        <f t="shared" si="83"/>
        <v>692.57491196712704</v>
      </c>
      <c r="GZ110" s="59">
        <f ca="1">AVERAGE(OFFSET($GY$3,0,0,'Données projet'!$E$18+1,1))-AVERAGE(OFFSET($H$3,0,0,'Données projet'!$E$18+1,1))</f>
        <v>299.98377156721153</v>
      </c>
      <c r="HA110" s="59">
        <f t="shared" si="106"/>
        <v>241.36164657721102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27.117374159661036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27.117374159661036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9.7110000000000021</v>
      </c>
      <c r="N111" s="13">
        <f>IF('Données projet'!$A$36&gt;35,N110+M111-V110,IF(A111&lt;'Données projet'!$A$36,$K$205^A111,IF(A111='Données projet'!$A$36,'Données projet'!$B$36,N110+M111-V110)))</f>
        <v>489.25900000000024</v>
      </c>
      <c r="O111" s="13">
        <f>N111*VLOOKUP('Données projet'!$B$9,Paramètres!$A$1:$I$89,3,0)*VLOOKUP('Données projet'!$B$9,Paramètres!$A$1:$I$89,5,0)</f>
        <v>442.68154320000019</v>
      </c>
      <c r="P111" s="13">
        <f t="shared" si="87"/>
        <v>100.37797714680627</v>
      </c>
      <c r="Q111" s="20">
        <f t="shared" si="107"/>
        <v>945.82866460402113</v>
      </c>
      <c r="R111" s="59">
        <f t="shared" si="55"/>
        <v>1225.3137487940205</v>
      </c>
      <c r="S111" s="59">
        <f ca="1">AVERAGE(OFFSET($R$3,0,0,'Données projet'!$E$9+1,1))-AVERAGE(OFFSET($H$3,0,0,'Données projet'!$E$9+1,1))</f>
        <v>567.42635821507474</v>
      </c>
      <c r="T111" s="59">
        <f t="shared" si="88"/>
        <v>299.04735309930152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105.97436663143955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105.97436663143955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7.4</v>
      </c>
      <c r="AI111" s="13">
        <f>IF('Données projet'!$A$62&gt;35,AI110+AH111-AQ110,IF(A111&lt;'Données projet'!$A$62,$AF$205^A111,IF(A111='Données projet'!$A$62,'Données projet'!$B$62,AI110+AH111-AQ110)))</f>
        <v>478.2</v>
      </c>
      <c r="AJ111" s="13">
        <f>AI111*VLOOKUP('Données projet'!$B$10,Paramètres!$A$1:$I$89,3,0)*VLOOKUP('Données projet'!$B$10,Paramètres!$A$1:$I$89,5,0)</f>
        <v>410.29559999999998</v>
      </c>
      <c r="AK111" s="13">
        <f t="shared" si="89"/>
        <v>93.860842909017109</v>
      </c>
      <c r="AL111" s="20">
        <f t="shared" si="58"/>
        <v>878.07247139987146</v>
      </c>
      <c r="AM111" s="59">
        <f t="shared" si="59"/>
        <v>1157.5575555898708</v>
      </c>
      <c r="AN111" s="59">
        <f ca="1">AVERAGE(OFFSET($AM$3,0,0,'Données projet'!$E$10+1,1))-AVERAGE(OFFSET($H$3,0,0,'Données projet'!$E$10+1,1))</f>
        <v>569.97793593332699</v>
      </c>
      <c r="AO111" s="59">
        <f t="shared" si="90"/>
        <v>331.25104323342907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125.87441133998199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125.87441133998199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277.99999999999994</v>
      </c>
      <c r="BE111" s="13">
        <f>BD111*VLOOKUP('Données projet'!$B$11,Paramètres!$A$1:$I$89,3,0)*VLOOKUP('Données projet'!$B$11,Paramètres!$A$1:$I$89,5,0)</f>
        <v>151.78799999999998</v>
      </c>
      <c r="BF111" s="13">
        <f t="shared" si="91"/>
        <v>38.984634390835623</v>
      </c>
      <c r="BG111" s="20">
        <f t="shared" si="61"/>
        <v>332.26233823070532</v>
      </c>
      <c r="BH111" s="59">
        <f t="shared" si="62"/>
        <v>611.74742242070465</v>
      </c>
      <c r="BI111" s="59">
        <f ca="1">AVERAGE(OFFSET($BH$3,0,0,'Données projet'!$E$11+1,1))-AVERAGE(OFFSET($H$3,0,0,'Données projet'!$E$11+1,1))</f>
        <v>215.37314197175104</v>
      </c>
      <c r="BJ111" s="59">
        <f t="shared" si="92"/>
        <v>361.17630426655978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7.8319842881540911</v>
      </c>
      <c r="BQ111" s="21">
        <f>EXP(-LN(2)/25)*BQ110+(1-EXP(-LN(2)/25))/(LN(2)/25)*Calculateur!BL111*Calculateur!BN111*VLOOKUP('Données projet'!$B$11,Paramètres!$A$1:$I$89,3,0)*0.475*44/12</f>
        <v>11.047021871806184</v>
      </c>
      <c r="BR111" s="21">
        <f>EXP(-LN(2)/2)*BR110+(1-EXP(-LN(2)/2))/(LN(2)/2)*BL111*BO111*VLOOKUP('Données projet'!$B$11,Paramètres!$A$1:$I$89,3,0)*0.475*44/12</f>
        <v>4.6121952562708859E-14</v>
      </c>
      <c r="BS111" s="22">
        <f t="shared" si="63"/>
        <v>18.879006159960323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0.8600000000003547</v>
      </c>
      <c r="BZ111" s="13">
        <f>BY111*VLOOKUP('Données projet'!$B$12,Paramètres!$A$1:$I$89,3,0)*VLOOKUP('Données projet'!$B$12,Paramètres!$A$1:$I$89,5,0)</f>
        <v>0.48074000000019829</v>
      </c>
      <c r="CA111" s="13">
        <f t="shared" si="93"/>
        <v>0.24126147010950588</v>
      </c>
      <c r="CB111" s="20">
        <f t="shared" si="64"/>
        <v>1.2574858937744013</v>
      </c>
      <c r="CC111" s="59">
        <f t="shared" si="65"/>
        <v>280.74257008377373</v>
      </c>
      <c r="CD111" s="59">
        <f ca="1">AVERAGE(OFFSET($CC$3,0,0,'Données projet'!$E$12+1,1))-AVERAGE(OFFSET($H$3,0,0,'Données projet'!$E$12+1,1))</f>
        <v>420.4890915162182</v>
      </c>
      <c r="CE111" s="59">
        <f t="shared" si="94"/>
        <v>553.48432338023565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130.15237256559701</v>
      </c>
      <c r="CL111" s="21">
        <f>EXP(-LN(2)/25)*CL110+(1-EXP(-LN(2)/25))/(LN(2)/25)*Calculateur!CG111*Calculateur!CI111*VLOOKUP('Données projet'!$B$12,Paramètres!$A$1:$I$89,3,0)*0.475*44/12</f>
        <v>5.8168824434556479</v>
      </c>
      <c r="CM111" s="21">
        <f>EXP(-LN(2)/2)*CM110+(1-EXP(-LN(2)/2))/(LN(2)/2)*CG111*CJ111*VLOOKUP('Données projet'!$B$12,Paramètres!$A$1:$I$89,3,0)*0.475*44/12</f>
        <v>1.3459076018312992E-12</v>
      </c>
      <c r="CN111" s="22">
        <f t="shared" si="66"/>
        <v>135.969255009054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367.99999999999972</v>
      </c>
      <c r="CU111" s="17">
        <f>CT111*VLOOKUP('Données projet'!$B$13,Paramètres!$A$1:$I$89,3,0)*VLOOKUP('Données projet'!$B$13,Paramètres!$A$1:$I$89,5,0)</f>
        <v>269.8175999999998</v>
      </c>
      <c r="CV111" s="13">
        <f t="shared" si="95"/>
        <v>64.810557882019467</v>
      </c>
      <c r="CW111" s="20">
        <f t="shared" si="67"/>
        <v>582.81070831118348</v>
      </c>
      <c r="CX111" s="59">
        <f t="shared" si="68"/>
        <v>862.29579250118286</v>
      </c>
      <c r="CY111" s="59">
        <f ca="1">AVERAGE(OFFSET($CX$3,0,0,'Données projet'!$E$13+1,1))-AVERAGE(OFFSET($H$3,0,0,'Données projet'!$E$13+1,1))</f>
        <v>400.48995908576177</v>
      </c>
      <c r="CZ111" s="59">
        <f t="shared" si="96"/>
        <v>384.86917865380076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26.467162785811421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26.467162785811421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367.99999999999972</v>
      </c>
      <c r="DP111" s="17">
        <f>DO111*VLOOKUP('Données projet'!$B$14,Paramètres!$A$1:$I$89,3,0)*VLOOKUP('Données projet'!$B$14,Paramètres!$A$1:$I$89,5,0)</f>
        <v>292.78079999999977</v>
      </c>
      <c r="DQ111" s="13">
        <f t="shared" si="97"/>
        <v>69.660903052386217</v>
      </c>
      <c r="DR111" s="20">
        <f t="shared" si="70"/>
        <v>631.25263281623893</v>
      </c>
      <c r="DS111" s="59">
        <f t="shared" si="71"/>
        <v>910.7377170062382</v>
      </c>
      <c r="DT111" s="59">
        <f ca="1">AVERAGE(OFFSET($DS$3,0,0,'Données projet'!$E$14+1,1))-AVERAGE(OFFSET($H$3,0,0,'Données projet'!$E$14+1,1))</f>
        <v>429.30603040255431</v>
      </c>
      <c r="DU111" s="59">
        <f t="shared" si="98"/>
        <v>412.18613903804726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35.398684319667588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35.398684319667588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210.25641025641013</v>
      </c>
      <c r="EK111" s="17">
        <f>EJ111*VLOOKUP('Données projet'!$B$15,Paramètres!$A$1:$I$89,3,0)*VLOOKUP('Données projet'!$B$15,Paramètres!$A$1:$I$89,5,0)</f>
        <v>163.99999999999991</v>
      </c>
      <c r="EL111" s="13">
        <f t="shared" si="99"/>
        <v>41.743425908362248</v>
      </c>
      <c r="EM111" s="20">
        <f t="shared" si="73"/>
        <v>358.33646679039742</v>
      </c>
      <c r="EN111" s="59">
        <f t="shared" si="74"/>
        <v>637.82155098039675</v>
      </c>
      <c r="EO111" s="59">
        <f ca="1">AVERAGE(OFFSET($EN$3,0,0,'Données projet'!$E$15+1,1))-AVERAGE(OFFSET($H$3,0,0,'Données projet'!$E$15+1,1))</f>
        <v>217.53602321474159</v>
      </c>
      <c r="EP111" s="59">
        <f t="shared" si="100"/>
        <v>215.75909414893025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14.917699100218814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14.917699100218814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9.7110000000000021</v>
      </c>
      <c r="FE111" s="12">
        <f>IF('Données projet'!$A$218&gt;35,FE110+FD111-FM110,IF(A111&lt;'Données projet'!$A$218,$FB$205^A111,IF(A111='Données projet'!$A$218,'Données projet'!$B$218,FE110+FD111-FM110)))</f>
        <v>489.25900000000024</v>
      </c>
      <c r="FF111" s="17">
        <f>FE111*VLOOKUP('Données projet'!$B$16,Paramètres!$A$1:$I$89,3,0)*VLOOKUP('Données projet'!$B$16,Paramètres!$A$1:$I$89,5,0)</f>
        <v>328.19493720000014</v>
      </c>
      <c r="FG111" s="13">
        <f t="shared" si="101"/>
        <v>77.055952219973165</v>
      </c>
      <c r="FH111" s="20">
        <f t="shared" si="76"/>
        <v>705.81196573978684</v>
      </c>
      <c r="FI111" s="59">
        <f t="shared" si="77"/>
        <v>985.29704992978623</v>
      </c>
      <c r="FJ111" s="59">
        <f ca="1">AVERAGE(OFFSET($FI$3,0,0,'Données projet'!$E$16+1,1))-AVERAGE(OFFSET($H$3,0,0,'Données projet'!$E$16+1,1))</f>
        <v>441.20130048888439</v>
      </c>
      <c r="FK111" s="59">
        <f t="shared" si="102"/>
        <v>237.47732532183946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96.838645370108566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96.838645370108566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204.00000000000017</v>
      </c>
      <c r="GA111" s="17">
        <f>FZ111*VLOOKUP('Données projet'!$B$17,Paramètres!$A$1:$I$89,3,0)*VLOOKUP('Données projet'!$B$17,Paramètres!$A$1:$I$89,5,0)</f>
        <v>133.66080000000011</v>
      </c>
      <c r="GB111" s="13">
        <f t="shared" si="103"/>
        <v>34.840890682716783</v>
      </c>
      <c r="GC111" s="20">
        <f t="shared" si="79"/>
        <v>293.4737779390652</v>
      </c>
      <c r="GD111" s="59">
        <f t="shared" si="80"/>
        <v>572.95886212906453</v>
      </c>
      <c r="GE111" s="59">
        <f ca="1">AVERAGE(OFFSET($GD$3,0,0,'Données projet'!$E$17+1,1))-AVERAGE(OFFSET($H$3,0,0,'Données projet'!$E$17+1,1))</f>
        <v>257.66104339896992</v>
      </c>
      <c r="GF111" s="59">
        <f t="shared" si="104"/>
        <v>254.79488636184996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27.594489073029472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27.594489073029472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234.00000000000003</v>
      </c>
      <c r="GV111" s="17">
        <f>GU111*VLOOKUP('Données projet'!$B$18,Paramètres!$A$1:$I$89,3,0)*VLOOKUP('Données projet'!$B$18,Paramètres!$A$1:$I$89,5,0)</f>
        <v>189.82080000000005</v>
      </c>
      <c r="GW111" s="13">
        <f t="shared" si="105"/>
        <v>47.500332100049796</v>
      </c>
      <c r="GX111" s="20">
        <f t="shared" si="82"/>
        <v>413.33430507425345</v>
      </c>
      <c r="GY111" s="59">
        <f t="shared" si="83"/>
        <v>692.81938926425278</v>
      </c>
      <c r="GZ111" s="59">
        <f ca="1">AVERAGE(OFFSET($GY$3,0,0,'Données projet'!$E$18+1,1))-AVERAGE(OFFSET($H$3,0,0,'Données projet'!$E$18+1,1))</f>
        <v>299.98377156721153</v>
      </c>
      <c r="HA111" s="59">
        <f t="shared" si="106"/>
        <v>241.36164657721102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26.585618992355133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26.585618992355133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498.97</v>
      </c>
      <c r="L112" s="12">
        <f>VLOOKUP(A112,'Données projet'!$A$35:$I$55,9,0)</f>
        <v>9.7110000000000021</v>
      </c>
      <c r="M112" s="12">
        <f t="array" ref="M112">INDEX(L:L,MIN(IF(ISNUMBER(L112:L308),ROW(L112:L308),"")))</f>
        <v>9.7110000000000021</v>
      </c>
      <c r="N112" s="13">
        <f>IF('Données projet'!$A$36&gt;35,N111+M112-V111,IF(A112&lt;'Données projet'!$A$36,$K$205^A112,IF(A112='Données projet'!$A$36,'Données projet'!$B$36,N111+M112-V111)))</f>
        <v>498.97000000000025</v>
      </c>
      <c r="O112" s="13">
        <f>N112*VLOOKUP('Données projet'!$B$9,Paramètres!$A$1:$I$89,3,0)*VLOOKUP('Données projet'!$B$9,Paramètres!$A$1:$I$89,5,0)</f>
        <v>451.46805600000022</v>
      </c>
      <c r="P112" s="13">
        <f t="shared" si="87"/>
        <v>102.13639049659324</v>
      </c>
      <c r="Q112" s="20">
        <f t="shared" si="107"/>
        <v>964.19441098156688</v>
      </c>
      <c r="R112" s="59">
        <f t="shared" si="55"/>
        <v>1243.919731334156</v>
      </c>
      <c r="S112" s="59">
        <f ca="1">AVERAGE(OFFSET($R$3,0,0,'Données projet'!$E$9+1,1))-AVERAGE(OFFSET($H$3,0,0,'Données projet'!$E$9+1,1))</f>
        <v>567.42635821507474</v>
      </c>
      <c r="T112" s="59">
        <f t="shared" si="88"/>
        <v>299.04735309930152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66.959999999999994</v>
      </c>
      <c r="W112" s="16">
        <f>IF(ISNA(VLOOKUP(A112,'Données projet'!$A$35:$I$55,5,0)),0%,VLOOKUP(A112,'Données projet'!$A$35:$I$55,5,0)*VLOOKUP('Données projet'!$B$9,Paramètres!$A$1:$I$89,7,0))</f>
        <v>0.43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132.69568474942321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132.69568474942321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7.4</v>
      </c>
      <c r="AI112" s="13">
        <f>IF('Données projet'!$A$62&gt;35,AI111+AH112-AQ111,IF(A112&lt;'Données projet'!$A$62,$AF$205^A112,IF(A112='Données projet'!$A$62,'Données projet'!$B$62,AI111+AH112-AQ111)))</f>
        <v>485.59999999999997</v>
      </c>
      <c r="AJ112" s="13">
        <f>AI112*VLOOKUP('Données projet'!$B$10,Paramètres!$A$1:$I$89,3,0)*VLOOKUP('Données projet'!$B$10,Paramètres!$A$1:$I$89,5,0)</f>
        <v>416.64479999999998</v>
      </c>
      <c r="AK112" s="13">
        <f t="shared" si="89"/>
        <v>95.143094443977361</v>
      </c>
      <c r="AL112" s="20">
        <f t="shared" si="58"/>
        <v>891.36391615659386</v>
      </c>
      <c r="AM112" s="59">
        <f t="shared" si="59"/>
        <v>1171.0892365091831</v>
      </c>
      <c r="AN112" s="59">
        <f ca="1">AVERAGE(OFFSET($AM$3,0,0,'Données projet'!$E$10+1,1))-AVERAGE(OFFSET($H$3,0,0,'Données projet'!$E$10+1,1))</f>
        <v>569.97793593332699</v>
      </c>
      <c r="AO112" s="59">
        <f t="shared" si="90"/>
        <v>331.25104323342907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123.40609090941489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123.40609090941489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277.99999999999994</v>
      </c>
      <c r="BE112" s="13">
        <f>BD112*VLOOKUP('Données projet'!$B$11,Paramètres!$A$1:$I$89,3,0)*VLOOKUP('Données projet'!$B$11,Paramètres!$A$1:$I$89,5,0)</f>
        <v>151.78799999999998</v>
      </c>
      <c r="BF112" s="13">
        <f t="shared" si="91"/>
        <v>38.984634390835623</v>
      </c>
      <c r="BG112" s="20">
        <f t="shared" si="61"/>
        <v>332.26233823070532</v>
      </c>
      <c r="BH112" s="59">
        <f t="shared" si="62"/>
        <v>611.98765858329466</v>
      </c>
      <c r="BI112" s="59">
        <f ca="1">AVERAGE(OFFSET($BH$3,0,0,'Données projet'!$E$11+1,1))-AVERAGE(OFFSET($H$3,0,0,'Données projet'!$E$11+1,1))</f>
        <v>215.37314197175104</v>
      </c>
      <c r="BJ112" s="59">
        <f t="shared" si="92"/>
        <v>361.17630426655978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7.6784038533021119</v>
      </c>
      <c r="BQ112" s="21">
        <f>EXP(-LN(2)/25)*BQ111+(1-EXP(-LN(2)/25))/(LN(2)/25)*Calculateur!BL112*Calculateur!BN112*VLOOKUP('Données projet'!$B$11,Paramètres!$A$1:$I$89,3,0)*0.475*44/12</f>
        <v>10.744940477784011</v>
      </c>
      <c r="BR112" s="21">
        <f>EXP(-LN(2)/2)*BR111+(1-EXP(-LN(2)/2))/(LN(2)/2)*BL112*BO112*VLOOKUP('Données projet'!$B$11,Paramètres!$A$1:$I$89,3,0)*0.475*44/12</f>
        <v>3.2613145418655697E-14</v>
      </c>
      <c r="BS112" s="22">
        <f t="shared" si="63"/>
        <v>18.423344331086156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0.8600000000003547</v>
      </c>
      <c r="BZ112" s="13">
        <f>BY112*VLOOKUP('Données projet'!$B$12,Paramètres!$A$1:$I$89,3,0)*VLOOKUP('Données projet'!$B$12,Paramètres!$A$1:$I$89,5,0)</f>
        <v>0.48074000000019829</v>
      </c>
      <c r="CA112" s="13">
        <f t="shared" si="93"/>
        <v>0.24126147010950588</v>
      </c>
      <c r="CB112" s="20">
        <f t="shared" si="64"/>
        <v>1.2574858937744013</v>
      </c>
      <c r="CC112" s="59">
        <f t="shared" si="65"/>
        <v>280.98280624636368</v>
      </c>
      <c r="CD112" s="59">
        <f ca="1">AVERAGE(OFFSET($CC$3,0,0,'Données projet'!$E$12+1,1))-AVERAGE(OFFSET($H$3,0,0,'Données projet'!$E$12+1,1))</f>
        <v>420.4890915162182</v>
      </c>
      <c r="CE112" s="59">
        <f t="shared" si="94"/>
        <v>553.48432338023565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127.60016392469429</v>
      </c>
      <c r="CL112" s="21">
        <f>EXP(-LN(2)/25)*CL111+(1-EXP(-LN(2)/25))/(LN(2)/25)*Calculateur!CG112*Calculateur!CI112*VLOOKUP('Données projet'!$B$12,Paramètres!$A$1:$I$89,3,0)*0.475*44/12</f>
        <v>5.6578194871427998</v>
      </c>
      <c r="CM112" s="21">
        <f>EXP(-LN(2)/2)*CM111+(1-EXP(-LN(2)/2))/(LN(2)/2)*CG112*CJ112*VLOOKUP('Données projet'!$B$12,Paramètres!$A$1:$I$89,3,0)*0.475*44/12</f>
        <v>9.5170039210543539E-13</v>
      </c>
      <c r="CN112" s="22">
        <f t="shared" si="66"/>
        <v>133.25798341183801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367.99999999999972</v>
      </c>
      <c r="CU112" s="17">
        <f>CT112*VLOOKUP('Données projet'!$B$13,Paramètres!$A$1:$I$89,3,0)*VLOOKUP('Données projet'!$B$13,Paramètres!$A$1:$I$89,5,0)</f>
        <v>269.8175999999998</v>
      </c>
      <c r="CV112" s="13">
        <f t="shared" si="95"/>
        <v>64.810557882019467</v>
      </c>
      <c r="CW112" s="20">
        <f t="shared" si="67"/>
        <v>582.81070831118348</v>
      </c>
      <c r="CX112" s="59">
        <f t="shared" si="68"/>
        <v>862.53602866377275</v>
      </c>
      <c r="CY112" s="59">
        <f ca="1">AVERAGE(OFFSET($CX$3,0,0,'Données projet'!$E$13+1,1))-AVERAGE(OFFSET($H$3,0,0,'Données projet'!$E$13+1,1))</f>
        <v>400.48995908576177</v>
      </c>
      <c r="CZ112" s="59">
        <f t="shared" si="96"/>
        <v>384.86917865380076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25.948157866956933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25.948157866956933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367.99999999999972</v>
      </c>
      <c r="DP112" s="17">
        <f>DO112*VLOOKUP('Données projet'!$B$14,Paramètres!$A$1:$I$89,3,0)*VLOOKUP('Données projet'!$B$14,Paramètres!$A$1:$I$89,5,0)</f>
        <v>292.78079999999977</v>
      </c>
      <c r="DQ112" s="13">
        <f t="shared" si="97"/>
        <v>69.660903052386217</v>
      </c>
      <c r="DR112" s="20">
        <f t="shared" si="70"/>
        <v>631.25263281623893</v>
      </c>
      <c r="DS112" s="59">
        <f t="shared" si="71"/>
        <v>910.97795316882821</v>
      </c>
      <c r="DT112" s="59">
        <f ca="1">AVERAGE(OFFSET($DS$3,0,0,'Données projet'!$E$14+1,1))-AVERAGE(OFFSET($H$3,0,0,'Données projet'!$E$14+1,1))</f>
        <v>429.30603040255431</v>
      </c>
      <c r="DU112" s="59">
        <f t="shared" si="98"/>
        <v>412.18613903804726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34.704537711224404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34.704537711224404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210.25641025641013</v>
      </c>
      <c r="EK112" s="17">
        <f>EJ112*VLOOKUP('Données projet'!$B$15,Paramètres!$A$1:$I$89,3,0)*VLOOKUP('Données projet'!$B$15,Paramètres!$A$1:$I$89,5,0)</f>
        <v>163.99999999999991</v>
      </c>
      <c r="EL112" s="13">
        <f t="shared" si="99"/>
        <v>41.743425908362248</v>
      </c>
      <c r="EM112" s="20">
        <f t="shared" si="73"/>
        <v>358.33646679039742</v>
      </c>
      <c r="EN112" s="59">
        <f t="shared" si="74"/>
        <v>638.06178714298676</v>
      </c>
      <c r="EO112" s="59">
        <f ca="1">AVERAGE(OFFSET($EN$3,0,0,'Données projet'!$E$15+1,1))-AVERAGE(OFFSET($H$3,0,0,'Données projet'!$E$15+1,1))</f>
        <v>217.53602321474159</v>
      </c>
      <c r="EP112" s="59">
        <f t="shared" si="100"/>
        <v>215.75909414893025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14.625172119761531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14.625172119761531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>
        <f>VLOOKUP(A112,'Données projet'!$A$217:$I$237,2,0)</f>
        <v>498.97</v>
      </c>
      <c r="FC112" s="12">
        <f>VLOOKUP(A112,'Données projet'!$A$217:$I$237,9,0)</f>
        <v>9.7110000000000021</v>
      </c>
      <c r="FD112" s="12">
        <f t="array" ref="FD112">INDEX(FC:FC,MIN(IF(ISNUMBER(FC112:FC308),ROW(FC112:FC308),"")))</f>
        <v>9.7110000000000021</v>
      </c>
      <c r="FE112" s="12">
        <f>IF('Données projet'!$A$218&gt;35,FE111+FD112-FM111,IF(A112&lt;'Données projet'!$A$218,$FB$205^A112,IF(A112='Données projet'!$A$218,'Données projet'!$B$218,FE111+FD112-FM111)))</f>
        <v>498.97000000000025</v>
      </c>
      <c r="FF112" s="17">
        <f>FE112*VLOOKUP('Données projet'!$B$16,Paramètres!$A$1:$I$89,3,0)*VLOOKUP('Données projet'!$B$16,Paramètres!$A$1:$I$89,5,0)</f>
        <v>334.70907600000015</v>
      </c>
      <c r="FG112" s="13">
        <f t="shared" si="101"/>
        <v>78.405812208344784</v>
      </c>
      <c r="FH112" s="20">
        <f t="shared" si="76"/>
        <v>719.5084302962008</v>
      </c>
      <c r="FI112" s="59">
        <f t="shared" si="77"/>
        <v>999.23375064879008</v>
      </c>
      <c r="FJ112" s="59">
        <f ca="1">AVERAGE(OFFSET($FI$3,0,0,'Données projet'!$E$16+1,1))-AVERAGE(OFFSET($H$3,0,0,'Données projet'!$E$16+1,1))</f>
        <v>441.20130048888439</v>
      </c>
      <c r="FK112" s="59">
        <f t="shared" si="102"/>
        <v>237.47732532183946</v>
      </c>
      <c r="FL112" s="15">
        <f>IF(ISNA(VLOOKUP(A112,'Données projet'!$A$217:$I$237,3,0)),0,VLOOKUP(A112,'Données projet'!$A$217:$I$237,3,0))</f>
        <v>10</v>
      </c>
      <c r="FM112" s="15">
        <f>IF(ISNA(VLOOKUP(A112,'Données projet'!$A$217:$I$237,4,0)),0,VLOOKUP(A112,'Données projet'!$A$217:$I$237,4,0))</f>
        <v>66.959999999999994</v>
      </c>
      <c r="FN112" s="16">
        <f>IF(ISNA(VLOOKUP(A112,'Données projet'!$A$217:$I$237,5,0)),0%,VLOOKUP(A112,'Données projet'!$A$217:$I$237,5,0)*VLOOKUP('Données projet'!$B$16,Paramètres!$A$1:$I$89,7,0))</f>
        <v>0.53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121.25640158136949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121.25640158136949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204.00000000000017</v>
      </c>
      <c r="GA112" s="17">
        <f>FZ112*VLOOKUP('Données projet'!$B$17,Paramètres!$A$1:$I$89,3,0)*VLOOKUP('Données projet'!$B$17,Paramètres!$A$1:$I$89,5,0)</f>
        <v>133.66080000000011</v>
      </c>
      <c r="GB112" s="13">
        <f t="shared" si="103"/>
        <v>34.840890682716783</v>
      </c>
      <c r="GC112" s="20">
        <f t="shared" si="79"/>
        <v>293.4737779390652</v>
      </c>
      <c r="GD112" s="59">
        <f t="shared" si="80"/>
        <v>573.19909829165454</v>
      </c>
      <c r="GE112" s="59">
        <f ca="1">AVERAGE(OFFSET($GD$3,0,0,'Données projet'!$E$17+1,1))-AVERAGE(OFFSET($H$3,0,0,'Données projet'!$E$17+1,1))</f>
        <v>257.66104339896992</v>
      </c>
      <c r="GF112" s="59">
        <f t="shared" si="104"/>
        <v>254.79488636184996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27.053377973283776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27.053377973283776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234.00000000000003</v>
      </c>
      <c r="GV112" s="17">
        <f>GU112*VLOOKUP('Données projet'!$B$18,Paramètres!$A$1:$I$89,3,0)*VLOOKUP('Données projet'!$B$18,Paramètres!$A$1:$I$89,5,0)</f>
        <v>189.82080000000005</v>
      </c>
      <c r="GW112" s="13">
        <f t="shared" si="105"/>
        <v>47.500332100049796</v>
      </c>
      <c r="GX112" s="20">
        <f t="shared" si="82"/>
        <v>413.33430507425345</v>
      </c>
      <c r="GY112" s="59">
        <f t="shared" si="83"/>
        <v>693.05962542684279</v>
      </c>
      <c r="GZ112" s="59">
        <f ca="1">AVERAGE(OFFSET($GY$3,0,0,'Données projet'!$E$18+1,1))-AVERAGE(OFFSET($H$3,0,0,'Données projet'!$E$18+1,1))</f>
        <v>299.98377156721153</v>
      </c>
      <c r="HA112" s="59">
        <f t="shared" si="106"/>
        <v>241.36164657721102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26.064291219541474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26.064291219541474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9.4029999999999916</v>
      </c>
      <c r="N113" s="13">
        <f>IF('Données projet'!$A$36&gt;35,N112+M113-V112,IF(A113&lt;'Données projet'!$A$36,$K$205^A113,IF(A113='Données projet'!$A$36,'Données projet'!$B$36,N112+M113-V112)))</f>
        <v>441.4130000000003</v>
      </c>
      <c r="O113" s="13">
        <f>N113*VLOOKUP('Données projet'!$B$9,Paramètres!$A$1:$I$89,3,0)*VLOOKUP('Données projet'!$B$9,Paramètres!$A$1:$I$89,5,0)</f>
        <v>399.39048240000028</v>
      </c>
      <c r="P113" s="13">
        <f t="shared" si="87"/>
        <v>91.653083916792113</v>
      </c>
      <c r="Q113" s="20">
        <f t="shared" si="107"/>
        <v>855.23421133508009</v>
      </c>
      <c r="R113" s="59">
        <f t="shared" si="55"/>
        <v>1135.195600289926</v>
      </c>
      <c r="S113" s="59">
        <f ca="1">AVERAGE(OFFSET($R$3,0,0,'Données projet'!$E$9+1,1))-AVERAGE(OFFSET($H$3,0,0,'Données projet'!$E$9+1,1))</f>
        <v>567.42635821507474</v>
      </c>
      <c r="T113" s="59">
        <f t="shared" si="88"/>
        <v>299.04735309930152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130.09360330786291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130.09360330786291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493</v>
      </c>
      <c r="AG113" s="12">
        <f>VLOOKUP(A113,'Données projet'!$A$61:$I$81,9,0)</f>
        <v>7.4</v>
      </c>
      <c r="AH113" s="12">
        <f t="array" ref="AH113">INDEX(AG:AG,MIN(IF(ISNUMBER(AG113:AG309),ROW(AG113:AG309),"")))</f>
        <v>7.4</v>
      </c>
      <c r="AI113" s="13">
        <f>IF('Données projet'!$A$62&gt;35,AI112+AH113-AQ112,IF(A113&lt;'Données projet'!$A$62,$AF$205^A113,IF(A113='Données projet'!$A$62,'Données projet'!$B$62,AI112+AH113-AQ112)))</f>
        <v>492.99999999999994</v>
      </c>
      <c r="AJ113" s="13">
        <f>AI113*VLOOKUP('Données projet'!$B$10,Paramètres!$A$1:$I$89,3,0)*VLOOKUP('Données projet'!$B$10,Paramètres!$A$1:$I$89,5,0)</f>
        <v>422.99399999999997</v>
      </c>
      <c r="AK113" s="13">
        <f t="shared" si="89"/>
        <v>96.423073437021841</v>
      </c>
      <c r="AL113" s="20">
        <f t="shared" si="58"/>
        <v>904.65140290281306</v>
      </c>
      <c r="AM113" s="59">
        <f t="shared" si="59"/>
        <v>1184.612791857659</v>
      </c>
      <c r="AN113" s="59">
        <f ca="1">AVERAGE(OFFSET($AM$3,0,0,'Données projet'!$E$10+1,1))-AVERAGE(OFFSET($H$3,0,0,'Données projet'!$E$10+1,1))</f>
        <v>569.97793593332699</v>
      </c>
      <c r="AO113" s="59">
        <f t="shared" si="90"/>
        <v>331.25104323342907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27</v>
      </c>
      <c r="AR113" s="16">
        <f>IF(ISNA(VLOOKUP(A113,'Données projet'!$A$61:$I$81,5,0)),0%,VLOOKUP(A113,'Données projet'!$A$61:$I$81,5,0)*VLOOKUP('Données projet'!$B$10,Paramètres!$A$1:$I$89,7,0))</f>
        <v>0.53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134.55911594746237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134.55911594746237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277.99999999999994</v>
      </c>
      <c r="BE113" s="13">
        <f>BD113*VLOOKUP('Données projet'!$B$11,Paramètres!$A$1:$I$89,3,0)*VLOOKUP('Données projet'!$B$11,Paramètres!$A$1:$I$89,5,0)</f>
        <v>151.78799999999998</v>
      </c>
      <c r="BF113" s="13">
        <f t="shared" si="91"/>
        <v>38.984634390835623</v>
      </c>
      <c r="BG113" s="20">
        <f t="shared" si="61"/>
        <v>332.26233823070532</v>
      </c>
      <c r="BH113" s="59">
        <f t="shared" si="62"/>
        <v>612.22372718555118</v>
      </c>
      <c r="BI113" s="59">
        <f ca="1">AVERAGE(OFFSET($BH$3,0,0,'Données projet'!$E$11+1,1))-AVERAGE(OFFSET($H$3,0,0,'Données projet'!$E$11+1,1))</f>
        <v>215.37314197175104</v>
      </c>
      <c r="BJ113" s="59">
        <f t="shared" si="92"/>
        <v>361.17630426655978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7.527835037102764</v>
      </c>
      <c r="BQ113" s="21">
        <f>EXP(-LN(2)/25)*BQ112+(1-EXP(-LN(2)/25))/(LN(2)/25)*Calculateur!BL113*Calculateur!BN113*VLOOKUP('Données projet'!$B$11,Paramètres!$A$1:$I$89,3,0)*0.475*44/12</f>
        <v>10.451119515367145</v>
      </c>
      <c r="BR113" s="21">
        <f>EXP(-LN(2)/2)*BR112+(1-EXP(-LN(2)/2))/(LN(2)/2)*BL113*BO113*VLOOKUP('Données projet'!$B$11,Paramètres!$A$1:$I$89,3,0)*0.475*44/12</f>
        <v>2.3060976281354429E-14</v>
      </c>
      <c r="BS113" s="22">
        <f t="shared" si="63"/>
        <v>17.978954552469929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0.8600000000003547</v>
      </c>
      <c r="BZ113" s="13">
        <f>BY113*VLOOKUP('Données projet'!$B$12,Paramètres!$A$1:$I$89,3,0)*VLOOKUP('Données projet'!$B$12,Paramètres!$A$1:$I$89,5,0)</f>
        <v>0.48074000000019829</v>
      </c>
      <c r="CA113" s="13">
        <f t="shared" si="93"/>
        <v>0.24126147010950588</v>
      </c>
      <c r="CB113" s="20">
        <f t="shared" si="64"/>
        <v>1.2574858937744013</v>
      </c>
      <c r="CC113" s="59">
        <f t="shared" si="65"/>
        <v>281.21887484862026</v>
      </c>
      <c r="CD113" s="59">
        <f ca="1">AVERAGE(OFFSET($CC$3,0,0,'Données projet'!$E$12+1,1))-AVERAGE(OFFSET($H$3,0,0,'Données projet'!$E$12+1,1))</f>
        <v>420.4890915162182</v>
      </c>
      <c r="CE113" s="59">
        <f t="shared" si="94"/>
        <v>553.48432338023565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125.09800253854611</v>
      </c>
      <c r="CL113" s="21">
        <f>EXP(-LN(2)/25)*CL112+(1-EXP(-LN(2)/25))/(LN(2)/25)*Calculateur!CG113*Calculateur!CI113*VLOOKUP('Données projet'!$B$12,Paramètres!$A$1:$I$89,3,0)*0.475*44/12</f>
        <v>5.5031061157350845</v>
      </c>
      <c r="CM113" s="21">
        <f>EXP(-LN(2)/2)*CM112+(1-EXP(-LN(2)/2))/(LN(2)/2)*CG113*CJ113*VLOOKUP('Données projet'!$B$12,Paramètres!$A$1:$I$89,3,0)*0.475*44/12</f>
        <v>6.7295380091564961E-13</v>
      </c>
      <c r="CN113" s="22">
        <f t="shared" si="66"/>
        <v>130.60110865428189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367.99999999999972</v>
      </c>
      <c r="CU113" s="17">
        <f>CT113*VLOOKUP('Données projet'!$B$13,Paramètres!$A$1:$I$89,3,0)*VLOOKUP('Données projet'!$B$13,Paramètres!$A$1:$I$89,5,0)</f>
        <v>269.8175999999998</v>
      </c>
      <c r="CV113" s="13">
        <f t="shared" si="95"/>
        <v>64.810557882019467</v>
      </c>
      <c r="CW113" s="20">
        <f t="shared" si="67"/>
        <v>582.81070831118348</v>
      </c>
      <c r="CX113" s="59">
        <f t="shared" si="68"/>
        <v>862.77209726602928</v>
      </c>
      <c r="CY113" s="59">
        <f ca="1">AVERAGE(OFFSET($CX$3,0,0,'Données projet'!$E$13+1,1))-AVERAGE(OFFSET($H$3,0,0,'Données projet'!$E$13+1,1))</f>
        <v>400.48995908576177</v>
      </c>
      <c r="CZ113" s="59">
        <f t="shared" si="96"/>
        <v>384.86917865380076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25.439330317999438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25.439330317999438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367.99999999999972</v>
      </c>
      <c r="DP113" s="17">
        <f>DO113*VLOOKUP('Données projet'!$B$14,Paramètres!$A$1:$I$89,3,0)*VLOOKUP('Données projet'!$B$14,Paramètres!$A$1:$I$89,5,0)</f>
        <v>292.78079999999977</v>
      </c>
      <c r="DQ113" s="13">
        <f t="shared" si="97"/>
        <v>69.660903052386217</v>
      </c>
      <c r="DR113" s="20">
        <f t="shared" si="70"/>
        <v>631.25263281623893</v>
      </c>
      <c r="DS113" s="59">
        <f t="shared" si="71"/>
        <v>911.21402177108484</v>
      </c>
      <c r="DT113" s="59">
        <f ca="1">AVERAGE(OFFSET($DS$3,0,0,'Données projet'!$E$14+1,1))-AVERAGE(OFFSET($H$3,0,0,'Données projet'!$E$14+1,1))</f>
        <v>429.30603040255431</v>
      </c>
      <c r="DU113" s="59">
        <f t="shared" si="98"/>
        <v>412.18613903804726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34.024002894385163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34.024002894385163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210.25641025641013</v>
      </c>
      <c r="EK113" s="17">
        <f>EJ113*VLOOKUP('Données projet'!$B$15,Paramètres!$A$1:$I$89,3,0)*VLOOKUP('Données projet'!$B$15,Paramètres!$A$1:$I$89,5,0)</f>
        <v>163.99999999999991</v>
      </c>
      <c r="EL113" s="13">
        <f t="shared" si="99"/>
        <v>41.743425908362248</v>
      </c>
      <c r="EM113" s="20">
        <f t="shared" si="73"/>
        <v>358.33646679039742</v>
      </c>
      <c r="EN113" s="59">
        <f t="shared" si="74"/>
        <v>638.29785574524328</v>
      </c>
      <c r="EO113" s="59">
        <f ca="1">AVERAGE(OFFSET($EN$3,0,0,'Données projet'!$E$15+1,1))-AVERAGE(OFFSET($H$3,0,0,'Données projet'!$E$15+1,1))</f>
        <v>217.53602321474159</v>
      </c>
      <c r="EP113" s="59">
        <f t="shared" si="100"/>
        <v>215.75909414893025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14.338381414967177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14.338381414967177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9.4029999999999916</v>
      </c>
      <c r="FE113" s="12">
        <f>IF('Données projet'!$A$218&gt;35,FE112+FD113-FM112,IF(A113&lt;'Données projet'!$A$218,$FB$205^A113,IF(A113='Données projet'!$A$218,'Données projet'!$B$218,FE112+FD113-FM112)))</f>
        <v>441.4130000000003</v>
      </c>
      <c r="FF113" s="17">
        <f>FE113*VLOOKUP('Données projet'!$B$16,Paramètres!$A$1:$I$89,3,0)*VLOOKUP('Données projet'!$B$16,Paramètres!$A$1:$I$89,5,0)</f>
        <v>296.09984040000018</v>
      </c>
      <c r="FG113" s="13">
        <f t="shared" si="101"/>
        <v>70.358218563983428</v>
      </c>
      <c r="FH113" s="20">
        <f t="shared" si="76"/>
        <v>638.24778602893809</v>
      </c>
      <c r="FI113" s="59">
        <f t="shared" si="77"/>
        <v>918.2091749837839</v>
      </c>
      <c r="FJ113" s="59">
        <f ca="1">AVERAGE(OFFSET($FI$3,0,0,'Données projet'!$E$16+1,1))-AVERAGE(OFFSET($H$3,0,0,'Données projet'!$E$16+1,1))</f>
        <v>441.20130048888439</v>
      </c>
      <c r="FK113" s="59">
        <f t="shared" si="102"/>
        <v>237.47732532183946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118.87863750546094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118.87863750546094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204.00000000000017</v>
      </c>
      <c r="GA113" s="17">
        <f>FZ113*VLOOKUP('Données projet'!$B$17,Paramètres!$A$1:$I$89,3,0)*VLOOKUP('Données projet'!$B$17,Paramètres!$A$1:$I$89,5,0)</f>
        <v>133.66080000000011</v>
      </c>
      <c r="GB113" s="13">
        <f t="shared" si="103"/>
        <v>34.840890682716783</v>
      </c>
      <c r="GC113" s="20">
        <f t="shared" si="79"/>
        <v>293.4737779390652</v>
      </c>
      <c r="GD113" s="59">
        <f t="shared" si="80"/>
        <v>573.43516689391106</v>
      </c>
      <c r="GE113" s="59">
        <f ca="1">AVERAGE(OFFSET($GD$3,0,0,'Données projet'!$E$17+1,1))-AVERAGE(OFFSET($H$3,0,0,'Données projet'!$E$17+1,1))</f>
        <v>257.66104339896992</v>
      </c>
      <c r="GF113" s="59">
        <f t="shared" si="104"/>
        <v>254.79488636184996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26.522877732158914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26.522877732158914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234.00000000000003</v>
      </c>
      <c r="GV113" s="17">
        <f>GU113*VLOOKUP('Données projet'!$B$18,Paramètres!$A$1:$I$89,3,0)*VLOOKUP('Données projet'!$B$18,Paramètres!$A$1:$I$89,5,0)</f>
        <v>189.82080000000005</v>
      </c>
      <c r="GW113" s="13">
        <f t="shared" si="105"/>
        <v>47.500332100049796</v>
      </c>
      <c r="GX113" s="20">
        <f t="shared" si="82"/>
        <v>413.33430507425345</v>
      </c>
      <c r="GY113" s="59">
        <f t="shared" si="83"/>
        <v>693.29569402909931</v>
      </c>
      <c r="GZ113" s="59">
        <f ca="1">AVERAGE(OFFSET($GY$3,0,0,'Données projet'!$E$18+1,1))-AVERAGE(OFFSET($H$3,0,0,'Données projet'!$E$18+1,1))</f>
        <v>299.98377156721153</v>
      </c>
      <c r="HA113" s="59">
        <f t="shared" si="106"/>
        <v>241.36164657721102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25.553186366374145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25.553186366374145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9.4029999999999916</v>
      </c>
      <c r="N114" s="13">
        <f>IF('Données projet'!$A$36&gt;35,N113+M114-V113,IF(A114&lt;'Données projet'!$A$36,$K$205^A114,IF(A114='Données projet'!$A$36,'Données projet'!$B$36,N113+M114-V113)))</f>
        <v>450.81600000000026</v>
      </c>
      <c r="O114" s="13">
        <f>N114*VLOOKUP('Données projet'!$B$9,Paramètres!$A$1:$I$89,3,0)*VLOOKUP('Données projet'!$B$9,Paramètres!$A$1:$I$89,5,0)</f>
        <v>407.89831680000026</v>
      </c>
      <c r="P114" s="13">
        <f t="shared" si="87"/>
        <v>93.376100943881056</v>
      </c>
      <c r="Q114" s="20">
        <f t="shared" si="107"/>
        <v>873.05294423725991</v>
      </c>
      <c r="R114" s="59">
        <f t="shared" si="55"/>
        <v>1153.2463065318834</v>
      </c>
      <c r="S114" s="59">
        <f ca="1">AVERAGE(OFFSET($R$3,0,0,'Données projet'!$E$9+1,1))-AVERAGE(OFFSET($H$3,0,0,'Données projet'!$E$9+1,1))</f>
        <v>567.42635821507474</v>
      </c>
      <c r="T114" s="59">
        <f t="shared" si="88"/>
        <v>299.04735309930152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127.54254709625864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127.54254709625864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</v>
      </c>
      <c r="AI114" s="13">
        <f>IF('Données projet'!$A$62&gt;35,AI113+AH114-AQ113,IF(A114&lt;'Données projet'!$A$62,$AF$205^A114,IF(A114='Données projet'!$A$62,'Données projet'!$B$62,AI113+AH114-AQ113)))</f>
        <v>472.99999999999994</v>
      </c>
      <c r="AJ114" s="13">
        <f>AI114*VLOOKUP('Données projet'!$B$10,Paramètres!$A$1:$I$89,3,0)*VLOOKUP('Données projet'!$B$10,Paramètres!$A$1:$I$89,5,0)</f>
        <v>405.834</v>
      </c>
      <c r="AK114" s="13">
        <f t="shared" si="89"/>
        <v>92.958420619932326</v>
      </c>
      <c r="AL114" s="20">
        <f t="shared" si="58"/>
        <v>868.73013257971536</v>
      </c>
      <c r="AM114" s="59">
        <f t="shared" si="59"/>
        <v>1148.923494874339</v>
      </c>
      <c r="AN114" s="59">
        <f ca="1">AVERAGE(OFFSET($AM$3,0,0,'Données projet'!$E$10+1,1))-AVERAGE(OFFSET($H$3,0,0,'Données projet'!$E$10+1,1))</f>
        <v>569.97793593332699</v>
      </c>
      <c r="AO114" s="59">
        <f t="shared" si="90"/>
        <v>331.25104323342907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131.92049375668932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131.92049375668932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277.99999999999994</v>
      </c>
      <c r="BE114" s="13">
        <f>BD114*VLOOKUP('Données projet'!$B$11,Paramètres!$A$1:$I$89,3,0)*VLOOKUP('Données projet'!$B$11,Paramètres!$A$1:$I$89,5,0)</f>
        <v>151.78799999999998</v>
      </c>
      <c r="BF114" s="13">
        <f t="shared" si="91"/>
        <v>38.984634390835623</v>
      </c>
      <c r="BG114" s="20">
        <f t="shared" si="61"/>
        <v>332.26233823070532</v>
      </c>
      <c r="BH114" s="59">
        <f t="shared" si="62"/>
        <v>612.45570052532889</v>
      </c>
      <c r="BI114" s="59">
        <f ca="1">AVERAGE(OFFSET($BH$3,0,0,'Données projet'!$E$11+1,1))-AVERAGE(OFFSET($H$3,0,0,'Données projet'!$E$11+1,1))</f>
        <v>215.37314197175104</v>
      </c>
      <c r="BJ114" s="59">
        <f t="shared" si="92"/>
        <v>361.17630426655978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7.3802187835511761</v>
      </c>
      <c r="BQ114" s="21">
        <f>EXP(-LN(2)/25)*BQ113+(1-EXP(-LN(2)/25))/(LN(2)/25)*Calculateur!BL114*Calculateur!BN114*VLOOKUP('Données projet'!$B$11,Paramètres!$A$1:$I$89,3,0)*0.475*44/12</f>
        <v>10.165333102618941</v>
      </c>
      <c r="BR114" s="21">
        <f>EXP(-LN(2)/2)*BR113+(1-EXP(-LN(2)/2))/(LN(2)/2)*BL114*BO114*VLOOKUP('Données projet'!$B$11,Paramètres!$A$1:$I$89,3,0)*0.475*44/12</f>
        <v>1.6306572709327848E-14</v>
      </c>
      <c r="BS114" s="22">
        <f t="shared" si="63"/>
        <v>17.545551886170134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0.8600000000003547</v>
      </c>
      <c r="BZ114" s="13">
        <f>BY114*VLOOKUP('Données projet'!$B$12,Paramètres!$A$1:$I$89,3,0)*VLOOKUP('Données projet'!$B$12,Paramètres!$A$1:$I$89,5,0)</f>
        <v>0.48074000000019829</v>
      </c>
      <c r="CA114" s="13">
        <f t="shared" si="93"/>
        <v>0.24126147010950588</v>
      </c>
      <c r="CB114" s="20">
        <f t="shared" si="64"/>
        <v>1.2574858937744013</v>
      </c>
      <c r="CC114" s="59">
        <f t="shared" si="65"/>
        <v>281.45084818839797</v>
      </c>
      <c r="CD114" s="59">
        <f ca="1">AVERAGE(OFFSET($CC$3,0,0,'Données projet'!$E$12+1,1))-AVERAGE(OFFSET($H$3,0,0,'Données projet'!$E$12+1,1))</f>
        <v>420.4890915162182</v>
      </c>
      <c r="CE114" s="59">
        <f t="shared" si="94"/>
        <v>553.48432338023565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122.64490701101255</v>
      </c>
      <c r="CL114" s="21">
        <f>EXP(-LN(2)/25)*CL113+(1-EXP(-LN(2)/25))/(LN(2)/25)*Calculateur!CG114*Calculateur!CI114*VLOOKUP('Données projet'!$B$12,Paramètres!$A$1:$I$89,3,0)*0.475*44/12</f>
        <v>5.3526233896045357</v>
      </c>
      <c r="CM114" s="21">
        <f>EXP(-LN(2)/2)*CM113+(1-EXP(-LN(2)/2))/(LN(2)/2)*CG114*CJ114*VLOOKUP('Données projet'!$B$12,Paramètres!$A$1:$I$89,3,0)*0.475*44/12</f>
        <v>4.758501960527177E-13</v>
      </c>
      <c r="CN114" s="22">
        <f t="shared" si="66"/>
        <v>127.99753040061755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367.99999999999972</v>
      </c>
      <c r="CU114" s="17">
        <f>CT114*VLOOKUP('Données projet'!$B$13,Paramètres!$A$1:$I$89,3,0)*VLOOKUP('Données projet'!$B$13,Paramètres!$A$1:$I$89,5,0)</f>
        <v>269.8175999999998</v>
      </c>
      <c r="CV114" s="13">
        <f t="shared" si="95"/>
        <v>64.810557882019467</v>
      </c>
      <c r="CW114" s="20">
        <f t="shared" si="67"/>
        <v>582.81070831118348</v>
      </c>
      <c r="CX114" s="59">
        <f t="shared" si="68"/>
        <v>863.0040706058071</v>
      </c>
      <c r="CY114" s="59">
        <f ca="1">AVERAGE(OFFSET($CX$3,0,0,'Données projet'!$E$13+1,1))-AVERAGE(OFFSET($H$3,0,0,'Données projet'!$E$13+1,1))</f>
        <v>400.48995908576177</v>
      </c>
      <c r="CZ114" s="59">
        <f t="shared" si="96"/>
        <v>384.86917865380076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24.94048056692284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24.94048056692284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367.99999999999972</v>
      </c>
      <c r="DP114" s="17">
        <f>DO114*VLOOKUP('Données projet'!$B$14,Paramètres!$A$1:$I$89,3,0)*VLOOKUP('Données projet'!$B$14,Paramètres!$A$1:$I$89,5,0)</f>
        <v>292.78079999999977</v>
      </c>
      <c r="DQ114" s="13">
        <f t="shared" si="97"/>
        <v>69.660903052386217</v>
      </c>
      <c r="DR114" s="20">
        <f t="shared" si="70"/>
        <v>631.25263281623893</v>
      </c>
      <c r="DS114" s="59">
        <f t="shared" si="71"/>
        <v>911.44599511086244</v>
      </c>
      <c r="DT114" s="59">
        <f ca="1">AVERAGE(OFFSET($DS$3,0,0,'Données projet'!$E$14+1,1))-AVERAGE(OFFSET($H$3,0,0,'Données projet'!$E$14+1,1))</f>
        <v>429.30603040255431</v>
      </c>
      <c r="DU114" s="59">
        <f t="shared" si="98"/>
        <v>412.18613903804726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33.356812950218888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33.356812950218888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210.25641025641013</v>
      </c>
      <c r="EK114" s="17">
        <f>EJ114*VLOOKUP('Données projet'!$B$15,Paramètres!$A$1:$I$89,3,0)*VLOOKUP('Données projet'!$B$15,Paramètres!$A$1:$I$89,5,0)</f>
        <v>163.99999999999991</v>
      </c>
      <c r="EL114" s="13">
        <f t="shared" si="99"/>
        <v>41.743425908362248</v>
      </c>
      <c r="EM114" s="20">
        <f t="shared" si="73"/>
        <v>358.33646679039742</v>
      </c>
      <c r="EN114" s="59">
        <f t="shared" si="74"/>
        <v>638.52982908502099</v>
      </c>
      <c r="EO114" s="59">
        <f ca="1">AVERAGE(OFFSET($EN$3,0,0,'Données projet'!$E$15+1,1))-AVERAGE(OFFSET($H$3,0,0,'Données projet'!$E$15+1,1))</f>
        <v>217.53602321474159</v>
      </c>
      <c r="EP114" s="59">
        <f t="shared" si="100"/>
        <v>215.75909414893025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14.057214500968783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14.057214500968783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9.4029999999999916</v>
      </c>
      <c r="FE114" s="12">
        <f>IF('Données projet'!$A$218&gt;35,FE113+FD114-FM113,IF(A114&lt;'Données projet'!$A$218,$FB$205^A114,IF(A114='Données projet'!$A$218,'Données projet'!$B$218,FE113+FD114-FM113)))</f>
        <v>450.81600000000026</v>
      </c>
      <c r="FF114" s="17">
        <f>FE114*VLOOKUP('Données projet'!$B$16,Paramètres!$A$1:$I$89,3,0)*VLOOKUP('Données projet'!$B$16,Paramètres!$A$1:$I$89,5,0)</f>
        <v>302.40737280000019</v>
      </c>
      <c r="FG114" s="13">
        <f t="shared" si="101"/>
        <v>71.680906283814451</v>
      </c>
      <c r="FH114" s="20">
        <f t="shared" si="76"/>
        <v>651.53708607097724</v>
      </c>
      <c r="FI114" s="59">
        <f t="shared" si="77"/>
        <v>931.73044836560075</v>
      </c>
      <c r="FJ114" s="59">
        <f ca="1">AVERAGE(OFFSET($FI$3,0,0,'Données projet'!$E$16+1,1))-AVERAGE(OFFSET($H$3,0,0,'Données projet'!$E$16+1,1))</f>
        <v>441.20130048888439</v>
      </c>
      <c r="FK114" s="59">
        <f t="shared" si="102"/>
        <v>237.47732532183946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116.54749993278809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116.54749993278809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204.00000000000017</v>
      </c>
      <c r="GA114" s="17">
        <f>FZ114*VLOOKUP('Données projet'!$B$17,Paramètres!$A$1:$I$89,3,0)*VLOOKUP('Données projet'!$B$17,Paramètres!$A$1:$I$89,5,0)</f>
        <v>133.66080000000011</v>
      </c>
      <c r="GB114" s="13">
        <f t="shared" si="103"/>
        <v>34.840890682716783</v>
      </c>
      <c r="GC114" s="20">
        <f t="shared" si="79"/>
        <v>293.4737779390652</v>
      </c>
      <c r="GD114" s="59">
        <f t="shared" si="80"/>
        <v>573.66714023368877</v>
      </c>
      <c r="GE114" s="59">
        <f ca="1">AVERAGE(OFFSET($GD$3,0,0,'Données projet'!$E$17+1,1))-AVERAGE(OFFSET($H$3,0,0,'Données projet'!$E$17+1,1))</f>
        <v>257.66104339896992</v>
      </c>
      <c r="GF114" s="59">
        <f t="shared" si="104"/>
        <v>254.79488636184996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26.002780277189313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26.002780277189313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234.00000000000003</v>
      </c>
      <c r="GV114" s="17">
        <f>GU114*VLOOKUP('Données projet'!$B$18,Paramètres!$A$1:$I$89,3,0)*VLOOKUP('Données projet'!$B$18,Paramètres!$A$1:$I$89,5,0)</f>
        <v>189.82080000000005</v>
      </c>
      <c r="GW114" s="13">
        <f t="shared" si="105"/>
        <v>47.500332100049796</v>
      </c>
      <c r="GX114" s="20">
        <f t="shared" si="82"/>
        <v>413.33430507425345</v>
      </c>
      <c r="GY114" s="59">
        <f t="shared" si="83"/>
        <v>693.52766736887702</v>
      </c>
      <c r="GZ114" s="59">
        <f ca="1">AVERAGE(OFFSET($GY$3,0,0,'Données projet'!$E$18+1,1))-AVERAGE(OFFSET($H$3,0,0,'Données projet'!$E$18+1,1))</f>
        <v>299.98377156721153</v>
      </c>
      <c r="HA114" s="59">
        <f t="shared" si="106"/>
        <v>241.36164657721102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25.052103967634253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25.052103967634253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9.4029999999999916</v>
      </c>
      <c r="N115" s="13">
        <f>IF('Données projet'!$A$36&gt;35,N114+M115-V114,IF(A115&lt;'Données projet'!$A$36,$K$205^A115,IF(A115='Données projet'!$A$36,'Données projet'!$B$36,N114+M115-V114)))</f>
        <v>460.21900000000028</v>
      </c>
      <c r="O115" s="13">
        <f>N115*VLOOKUP('Données projet'!$B$9,Paramètres!$A$1:$I$89,3,0)*VLOOKUP('Données projet'!$B$9,Paramètres!$A$1:$I$89,5,0)</f>
        <v>416.40615120000024</v>
      </c>
      <c r="P115" s="13">
        <f t="shared" si="87"/>
        <v>95.094939514723933</v>
      </c>
      <c r="Q115" s="20">
        <f t="shared" si="107"/>
        <v>890.86439966147793</v>
      </c>
      <c r="R115" s="59">
        <f t="shared" si="55"/>
        <v>1171.2857110770487</v>
      </c>
      <c r="S115" s="59">
        <f ca="1">AVERAGE(OFFSET($R$3,0,0,'Données projet'!$E$9+1,1))-AVERAGE(OFFSET($H$3,0,0,'Données projet'!$E$9+1,1))</f>
        <v>567.42635821507474</v>
      </c>
      <c r="T115" s="59">
        <f t="shared" si="88"/>
        <v>299.04735309930152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125.04151554097329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125.04151554097329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</v>
      </c>
      <c r="AI115" s="13">
        <f>IF('Données projet'!$A$62&gt;35,AI114+AH115-AQ114,IF(A115&lt;'Données projet'!$A$62,$AF$205^A115,IF(A115='Données projet'!$A$62,'Données projet'!$B$62,AI114+AH115-AQ114)))</f>
        <v>479.99999999999994</v>
      </c>
      <c r="AJ115" s="13">
        <f>AI115*VLOOKUP('Données projet'!$B$10,Paramètres!$A$1:$I$89,3,0)*VLOOKUP('Données projet'!$B$10,Paramètres!$A$1:$I$89,5,0)</f>
        <v>411.84000000000003</v>
      </c>
      <c r="AK115" s="13">
        <f t="shared" si="89"/>
        <v>94.172953187816049</v>
      </c>
      <c r="AL115" s="20">
        <f t="shared" si="58"/>
        <v>881.30589346877969</v>
      </c>
      <c r="AM115" s="59">
        <f t="shared" si="59"/>
        <v>1161.7272048843506</v>
      </c>
      <c r="AN115" s="59">
        <f ca="1">AVERAGE(OFFSET($AM$3,0,0,'Données projet'!$E$10+1,1))-AVERAGE(OFFSET($H$3,0,0,'Données projet'!$E$10+1,1))</f>
        <v>569.97793593332699</v>
      </c>
      <c r="AO115" s="59">
        <f t="shared" si="90"/>
        <v>331.25104323342907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129.33361333767672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129.33361333767672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277.99999999999994</v>
      </c>
      <c r="BE115" s="13">
        <f>BD115*VLOOKUP('Données projet'!$B$11,Paramètres!$A$1:$I$89,3,0)*VLOOKUP('Données projet'!$B$11,Paramètres!$A$1:$I$89,5,0)</f>
        <v>151.78799999999998</v>
      </c>
      <c r="BF115" s="13">
        <f t="shared" si="91"/>
        <v>38.984634390835623</v>
      </c>
      <c r="BG115" s="20">
        <f t="shared" si="61"/>
        <v>332.26233823070532</v>
      </c>
      <c r="BH115" s="59">
        <f t="shared" si="62"/>
        <v>612.68364964627619</v>
      </c>
      <c r="BI115" s="59">
        <f ca="1">AVERAGE(OFFSET($BH$3,0,0,'Données projet'!$E$11+1,1))-AVERAGE(OFFSET($H$3,0,0,'Données projet'!$E$11+1,1))</f>
        <v>215.37314197175104</v>
      </c>
      <c r="BJ115" s="59">
        <f t="shared" si="92"/>
        <v>361.17630426655978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7.2354971946947106</v>
      </c>
      <c r="BQ115" s="21">
        <f>EXP(-LN(2)/25)*BQ114+(1-EXP(-LN(2)/25))/(LN(2)/25)*Calculateur!BL115*Calculateur!BN115*VLOOKUP('Données projet'!$B$11,Paramètres!$A$1:$I$89,3,0)*0.475*44/12</f>
        <v>9.8873615343561916</v>
      </c>
      <c r="BR115" s="21">
        <f>EXP(-LN(2)/2)*BR114+(1-EXP(-LN(2)/2))/(LN(2)/2)*BL115*BO115*VLOOKUP('Données projet'!$B$11,Paramètres!$A$1:$I$89,3,0)*0.475*44/12</f>
        <v>1.1530488140677215E-14</v>
      </c>
      <c r="BS115" s="22">
        <f t="shared" si="63"/>
        <v>17.122858729050915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0.8600000000003547</v>
      </c>
      <c r="BZ115" s="13">
        <f>BY115*VLOOKUP('Données projet'!$B$12,Paramètres!$A$1:$I$89,3,0)*VLOOKUP('Données projet'!$B$12,Paramètres!$A$1:$I$89,5,0)</f>
        <v>0.48074000000019829</v>
      </c>
      <c r="CA115" s="13">
        <f t="shared" si="93"/>
        <v>0.24126147010950588</v>
      </c>
      <c r="CB115" s="20">
        <f t="shared" si="64"/>
        <v>1.2574858937744013</v>
      </c>
      <c r="CC115" s="59">
        <f t="shared" si="65"/>
        <v>281.67879730934527</v>
      </c>
      <c r="CD115" s="59">
        <f ca="1">AVERAGE(OFFSET($CC$3,0,0,'Données projet'!$E$12+1,1))-AVERAGE(OFFSET($H$3,0,0,'Données projet'!$E$12+1,1))</f>
        <v>420.4890915162182</v>
      </c>
      <c r="CE115" s="59">
        <f t="shared" si="94"/>
        <v>553.48432338023565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120.2399151905334</v>
      </c>
      <c r="CL115" s="21">
        <f>EXP(-LN(2)/25)*CL114+(1-EXP(-LN(2)/25))/(LN(2)/25)*Calculateur!CG115*Calculateur!CI115*VLOOKUP('Données projet'!$B$12,Paramètres!$A$1:$I$89,3,0)*0.475*44/12</f>
        <v>5.2062556215335691</v>
      </c>
      <c r="CM115" s="21">
        <f>EXP(-LN(2)/2)*CM114+(1-EXP(-LN(2)/2))/(LN(2)/2)*CG115*CJ115*VLOOKUP('Données projet'!$B$12,Paramètres!$A$1:$I$89,3,0)*0.475*44/12</f>
        <v>3.364769004578248E-13</v>
      </c>
      <c r="CN115" s="22">
        <f t="shared" si="66"/>
        <v>125.44617081206731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367.99999999999972</v>
      </c>
      <c r="CU115" s="17">
        <f>CT115*VLOOKUP('Données projet'!$B$13,Paramètres!$A$1:$I$89,3,0)*VLOOKUP('Données projet'!$B$13,Paramètres!$A$1:$I$89,5,0)</f>
        <v>269.8175999999998</v>
      </c>
      <c r="CV115" s="13">
        <f t="shared" si="95"/>
        <v>64.810557882019467</v>
      </c>
      <c r="CW115" s="20">
        <f t="shared" si="67"/>
        <v>582.81070831118348</v>
      </c>
      <c r="CX115" s="59">
        <f t="shared" si="68"/>
        <v>863.23201972675429</v>
      </c>
      <c r="CY115" s="59">
        <f ca="1">AVERAGE(OFFSET($CX$3,0,0,'Données projet'!$E$13+1,1))-AVERAGE(OFFSET($H$3,0,0,'Données projet'!$E$13+1,1))</f>
        <v>400.48995908576177</v>
      </c>
      <c r="CZ115" s="59">
        <f t="shared" si="96"/>
        <v>384.86917865380076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24.451412955196549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24.451412955196549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367.99999999999972</v>
      </c>
      <c r="DP115" s="17">
        <f>DO115*VLOOKUP('Données projet'!$B$14,Paramètres!$A$1:$I$89,3,0)*VLOOKUP('Données projet'!$B$14,Paramètres!$A$1:$I$89,5,0)</f>
        <v>292.78079999999977</v>
      </c>
      <c r="DQ115" s="13">
        <f t="shared" si="97"/>
        <v>69.660903052386217</v>
      </c>
      <c r="DR115" s="20">
        <f t="shared" si="70"/>
        <v>631.25263281623893</v>
      </c>
      <c r="DS115" s="59">
        <f t="shared" si="71"/>
        <v>911.67394423180986</v>
      </c>
      <c r="DT115" s="59">
        <f ca="1">AVERAGE(OFFSET($DS$3,0,0,'Données projet'!$E$14+1,1))-AVERAGE(OFFSET($H$3,0,0,'Données projet'!$E$14+1,1))</f>
        <v>429.30603040255431</v>
      </c>
      <c r="DU115" s="59">
        <f t="shared" si="98"/>
        <v>412.18613903804726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32.702706193912029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32.702706193912029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210.25641025641013</v>
      </c>
      <c r="EK115" s="17">
        <f>EJ115*VLOOKUP('Données projet'!$B$15,Paramètres!$A$1:$I$89,3,0)*VLOOKUP('Données projet'!$B$15,Paramètres!$A$1:$I$89,5,0)</f>
        <v>163.99999999999991</v>
      </c>
      <c r="EL115" s="13">
        <f t="shared" si="99"/>
        <v>41.743425908362248</v>
      </c>
      <c r="EM115" s="20">
        <f t="shared" si="73"/>
        <v>358.33646679039742</v>
      </c>
      <c r="EN115" s="59">
        <f t="shared" si="74"/>
        <v>638.75777820596829</v>
      </c>
      <c r="EO115" s="59">
        <f ca="1">AVERAGE(OFFSET($EN$3,0,0,'Données projet'!$E$15+1,1))-AVERAGE(OFFSET($H$3,0,0,'Données projet'!$E$15+1,1))</f>
        <v>217.53602321474159</v>
      </c>
      <c r="EP115" s="59">
        <f t="shared" si="100"/>
        <v>215.75909414893025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13.781561098659013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13.781561098659013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9.4029999999999916</v>
      </c>
      <c r="FE115" s="12">
        <f>IF('Données projet'!$A$218&gt;35,FE114+FD115-FM114,IF(A115&lt;'Données projet'!$A$218,$FB$205^A115,IF(A115='Données projet'!$A$218,'Données projet'!$B$218,FE114+FD115-FM114)))</f>
        <v>460.21900000000028</v>
      </c>
      <c r="FF115" s="17">
        <f>FE115*VLOOKUP('Données projet'!$B$16,Paramètres!$A$1:$I$89,3,0)*VLOOKUP('Données projet'!$B$16,Paramètres!$A$1:$I$89,5,0)</f>
        <v>308.7149052000002</v>
      </c>
      <c r="FG115" s="13">
        <f t="shared" si="101"/>
        <v>73.000386378487093</v>
      </c>
      <c r="FH115" s="20">
        <f t="shared" si="76"/>
        <v>664.82079949919864</v>
      </c>
      <c r="FI115" s="59">
        <f t="shared" si="77"/>
        <v>945.24211091476946</v>
      </c>
      <c r="FJ115" s="59">
        <f ca="1">AVERAGE(OFFSET($FI$3,0,0,'Données projet'!$E$16+1,1))-AVERAGE(OFFSET($H$3,0,0,'Données projet'!$E$16+1,1))</f>
        <v>441.20130048888439</v>
      </c>
      <c r="FK115" s="59">
        <f t="shared" si="102"/>
        <v>237.47732532183946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114.26207454606181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114.26207454606181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204.00000000000017</v>
      </c>
      <c r="GA115" s="17">
        <f>FZ115*VLOOKUP('Données projet'!$B$17,Paramètres!$A$1:$I$89,3,0)*VLOOKUP('Données projet'!$B$17,Paramètres!$A$1:$I$89,5,0)</f>
        <v>133.66080000000011</v>
      </c>
      <c r="GB115" s="13">
        <f t="shared" si="103"/>
        <v>34.840890682716783</v>
      </c>
      <c r="GC115" s="20">
        <f t="shared" si="79"/>
        <v>293.4737779390652</v>
      </c>
      <c r="GD115" s="59">
        <f t="shared" si="80"/>
        <v>573.89508935463607</v>
      </c>
      <c r="GE115" s="59">
        <f ca="1">AVERAGE(OFFSET($GD$3,0,0,'Données projet'!$E$17+1,1))-AVERAGE(OFFSET($H$3,0,0,'Données projet'!$E$17+1,1))</f>
        <v>257.66104339896992</v>
      </c>
      <c r="GF115" s="59">
        <f t="shared" si="104"/>
        <v>254.79488636184996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25.49288161608354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25.49288161608354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234.00000000000003</v>
      </c>
      <c r="GV115" s="17">
        <f>GU115*VLOOKUP('Données projet'!$B$18,Paramètres!$A$1:$I$89,3,0)*VLOOKUP('Données projet'!$B$18,Paramètres!$A$1:$I$89,5,0)</f>
        <v>189.82080000000005</v>
      </c>
      <c r="GW115" s="13">
        <f t="shared" si="105"/>
        <v>47.500332100049796</v>
      </c>
      <c r="GX115" s="20">
        <f t="shared" si="82"/>
        <v>413.33430507425345</v>
      </c>
      <c r="GY115" s="59">
        <f t="shared" si="83"/>
        <v>693.75561648982432</v>
      </c>
      <c r="GZ115" s="59">
        <f ca="1">AVERAGE(OFFSET($GY$3,0,0,'Données projet'!$E$18+1,1))-AVERAGE(OFFSET($H$3,0,0,'Données projet'!$E$18+1,1))</f>
        <v>299.98377156721153</v>
      </c>
      <c r="HA115" s="59">
        <f t="shared" si="106"/>
        <v>241.36164657721102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24.560847489103562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24.560847489103562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9.4029999999999916</v>
      </c>
      <c r="N116" s="13">
        <f>IF('Données projet'!$A$36&gt;35,N115+M116-V115,IF(A116&lt;'Données projet'!$A$36,$K$205^A116,IF(A116='Données projet'!$A$36,'Données projet'!$B$36,N115+M116-V115)))</f>
        <v>469.6220000000003</v>
      </c>
      <c r="O116" s="13">
        <f>N116*VLOOKUP('Données projet'!$B$9,Paramètres!$A$1:$I$89,3,0)*VLOOKUP('Données projet'!$B$9,Paramètres!$A$1:$I$89,5,0)</f>
        <v>424.91398560000027</v>
      </c>
      <c r="P116" s="13">
        <f t="shared" si="87"/>
        <v>96.809694839252401</v>
      </c>
      <c r="Q116" s="20">
        <f t="shared" si="107"/>
        <v>908.66874343169832</v>
      </c>
      <c r="R116" s="59">
        <f t="shared" si="55"/>
        <v>1189.314049560586</v>
      </c>
      <c r="S116" s="59">
        <f ca="1">AVERAGE(OFFSET($R$3,0,0,'Données projet'!$E$9+1,1))-AVERAGE(OFFSET($H$3,0,0,'Données projet'!$E$9+1,1))</f>
        <v>567.42635821507474</v>
      </c>
      <c r="T116" s="59">
        <f t="shared" si="88"/>
        <v>299.04735309930152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122.58952768900846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122.58952768900846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</v>
      </c>
      <c r="AI116" s="13">
        <f>IF('Données projet'!$A$62&gt;35,AI115+AH116-AQ115,IF(A116&lt;'Données projet'!$A$62,$AF$205^A116,IF(A116='Données projet'!$A$62,'Données projet'!$B$62,AI115+AH116-AQ115)))</f>
        <v>486.99999999999994</v>
      </c>
      <c r="AJ116" s="13">
        <f>AI116*VLOOKUP('Données projet'!$B$10,Paramètres!$A$1:$I$89,3,0)*VLOOKUP('Données projet'!$B$10,Paramètres!$A$1:$I$89,5,0)</f>
        <v>417.84599999999995</v>
      </c>
      <c r="AK116" s="13">
        <f t="shared" si="89"/>
        <v>95.385425758311655</v>
      </c>
      <c r="AL116" s="20">
        <f t="shared" si="58"/>
        <v>893.87806652905931</v>
      </c>
      <c r="AM116" s="59">
        <f t="shared" si="59"/>
        <v>1174.523372657947</v>
      </c>
      <c r="AN116" s="59">
        <f ca="1">AVERAGE(OFFSET($AM$3,0,0,'Données projet'!$E$10+1,1))-AVERAGE(OFFSET($H$3,0,0,'Données projet'!$E$10+1,1))</f>
        <v>569.97793593332699</v>
      </c>
      <c r="AO116" s="59">
        <f t="shared" si="90"/>
        <v>331.25104323342907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126.7974600658397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126.7974600658397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277.99999999999994</v>
      </c>
      <c r="BE116" s="13">
        <f>BD116*VLOOKUP('Données projet'!$B$11,Paramètres!$A$1:$I$89,3,0)*VLOOKUP('Données projet'!$B$11,Paramètres!$A$1:$I$89,5,0)</f>
        <v>151.78799999999998</v>
      </c>
      <c r="BF116" s="13">
        <f t="shared" si="91"/>
        <v>38.984634390835623</v>
      </c>
      <c r="BG116" s="20">
        <f t="shared" si="61"/>
        <v>332.26233823070532</v>
      </c>
      <c r="BH116" s="59">
        <f t="shared" si="62"/>
        <v>612.90764435959295</v>
      </c>
      <c r="BI116" s="59">
        <f ca="1">AVERAGE(OFFSET($BH$3,0,0,'Données projet'!$E$11+1,1))-AVERAGE(OFFSET($H$3,0,0,'Données projet'!$E$11+1,1))</f>
        <v>215.37314197175104</v>
      </c>
      <c r="BJ116" s="59">
        <f t="shared" si="92"/>
        <v>361.17630426655978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7.0936135079242675</v>
      </c>
      <c r="BQ116" s="21">
        <f>EXP(-LN(2)/25)*BQ115+(1-EXP(-LN(2)/25))/(LN(2)/25)*Calculateur!BL116*Calculateur!BN116*VLOOKUP('Données projet'!$B$11,Paramètres!$A$1:$I$89,3,0)*0.475*44/12</f>
        <v>9.6169911132454757</v>
      </c>
      <c r="BR116" s="21">
        <f>EXP(-LN(2)/2)*BR115+(1-EXP(-LN(2)/2))/(LN(2)/2)*BL116*BO116*VLOOKUP('Données projet'!$B$11,Paramètres!$A$1:$I$89,3,0)*0.475*44/12</f>
        <v>8.1532863546639242E-15</v>
      </c>
      <c r="BS116" s="22">
        <f t="shared" si="63"/>
        <v>16.71060462116975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0.8600000000003547</v>
      </c>
      <c r="BZ116" s="13">
        <f>BY116*VLOOKUP('Données projet'!$B$12,Paramètres!$A$1:$I$89,3,0)*VLOOKUP('Données projet'!$B$12,Paramètres!$A$1:$I$89,5,0)</f>
        <v>0.48074000000019829</v>
      </c>
      <c r="CA116" s="13">
        <f t="shared" si="93"/>
        <v>0.24126147010950588</v>
      </c>
      <c r="CB116" s="20">
        <f t="shared" si="64"/>
        <v>1.2574858937744013</v>
      </c>
      <c r="CC116" s="59">
        <f t="shared" si="65"/>
        <v>281.90279202266203</v>
      </c>
      <c r="CD116" s="59">
        <f ca="1">AVERAGE(OFFSET($CC$3,0,0,'Données projet'!$E$12+1,1))-AVERAGE(OFFSET($H$3,0,0,'Données projet'!$E$12+1,1))</f>
        <v>420.4890915162182</v>
      </c>
      <c r="CE116" s="59">
        <f t="shared" si="94"/>
        <v>553.48432338023565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117.88208379275366</v>
      </c>
      <c r="CL116" s="21">
        <f>EXP(-LN(2)/25)*CL115+(1-EXP(-LN(2)/25))/(LN(2)/25)*Calculateur!CG116*Calculateur!CI116*VLOOKUP('Données projet'!$B$12,Paramètres!$A$1:$I$89,3,0)*0.475*44/12</f>
        <v>5.0638902877776495</v>
      </c>
      <c r="CM116" s="21">
        <f>EXP(-LN(2)/2)*CM115+(1-EXP(-LN(2)/2))/(LN(2)/2)*CG116*CJ116*VLOOKUP('Données projet'!$B$12,Paramètres!$A$1:$I$89,3,0)*0.475*44/12</f>
        <v>2.3792509802635885E-13</v>
      </c>
      <c r="CN116" s="22">
        <f t="shared" si="66"/>
        <v>122.94597408053156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367.99999999999972</v>
      </c>
      <c r="CU116" s="17">
        <f>CT116*VLOOKUP('Données projet'!$B$13,Paramètres!$A$1:$I$89,3,0)*VLOOKUP('Données projet'!$B$13,Paramètres!$A$1:$I$89,5,0)</f>
        <v>269.8175999999998</v>
      </c>
      <c r="CV116" s="13">
        <f t="shared" si="95"/>
        <v>64.810557882019467</v>
      </c>
      <c r="CW116" s="20">
        <f t="shared" si="67"/>
        <v>582.81070831118348</v>
      </c>
      <c r="CX116" s="59">
        <f t="shared" si="68"/>
        <v>863.45601444007116</v>
      </c>
      <c r="CY116" s="59">
        <f ca="1">AVERAGE(OFFSET($CX$3,0,0,'Données projet'!$E$13+1,1))-AVERAGE(OFFSET($H$3,0,0,'Données projet'!$E$13+1,1))</f>
        <v>400.48995908576177</v>
      </c>
      <c r="CZ116" s="59">
        <f t="shared" si="96"/>
        <v>384.86917865380076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23.971935661034422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23.971935661034422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367.99999999999972</v>
      </c>
      <c r="DP116" s="17">
        <f>DO116*VLOOKUP('Données projet'!$B$14,Paramètres!$A$1:$I$89,3,0)*VLOOKUP('Données projet'!$B$14,Paramètres!$A$1:$I$89,5,0)</f>
        <v>292.78079999999977</v>
      </c>
      <c r="DQ116" s="13">
        <f t="shared" si="97"/>
        <v>69.660903052386217</v>
      </c>
      <c r="DR116" s="20">
        <f t="shared" si="70"/>
        <v>631.25263281623893</v>
      </c>
      <c r="DS116" s="59">
        <f t="shared" si="71"/>
        <v>911.8979389451265</v>
      </c>
      <c r="DT116" s="59">
        <f ca="1">AVERAGE(OFFSET($DS$3,0,0,'Données projet'!$E$14+1,1))-AVERAGE(OFFSET($H$3,0,0,'Données projet'!$E$14+1,1))</f>
        <v>429.30603040255431</v>
      </c>
      <c r="DU116" s="59">
        <f t="shared" si="98"/>
        <v>412.18613903804726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32.061426072130622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32.061426072130622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210.25641025641013</v>
      </c>
      <c r="EK116" s="17">
        <f>EJ116*VLOOKUP('Données projet'!$B$15,Paramètres!$A$1:$I$89,3,0)*VLOOKUP('Données projet'!$B$15,Paramètres!$A$1:$I$89,5,0)</f>
        <v>163.99999999999991</v>
      </c>
      <c r="EL116" s="13">
        <f t="shared" si="99"/>
        <v>41.743425908362248</v>
      </c>
      <c r="EM116" s="20">
        <f t="shared" si="73"/>
        <v>358.33646679039742</v>
      </c>
      <c r="EN116" s="59">
        <f t="shared" si="74"/>
        <v>638.98177291928505</v>
      </c>
      <c r="EO116" s="59">
        <f ca="1">AVERAGE(OFFSET($EN$3,0,0,'Données projet'!$E$15+1,1))-AVERAGE(OFFSET($H$3,0,0,'Données projet'!$E$15+1,1))</f>
        <v>217.53602321474159</v>
      </c>
      <c r="EP116" s="59">
        <f t="shared" si="100"/>
        <v>215.75909414893025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13.511313091436564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13.511313091436564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9.4029999999999916</v>
      </c>
      <c r="FE116" s="12">
        <f>IF('Données projet'!$A$218&gt;35,FE115+FD116-FM115,IF(A116&lt;'Données projet'!$A$218,$FB$205^A116,IF(A116='Données projet'!$A$218,'Données projet'!$B$218,FE115+FD116-FM115)))</f>
        <v>469.6220000000003</v>
      </c>
      <c r="FF116" s="17">
        <f>FE116*VLOOKUP('Données projet'!$B$16,Paramètres!$A$1:$I$89,3,0)*VLOOKUP('Données projet'!$B$16,Paramètres!$A$1:$I$89,5,0)</f>
        <v>315.02243760000022</v>
      </c>
      <c r="FG116" s="13">
        <f t="shared" si="101"/>
        <v>74.31673193666235</v>
      </c>
      <c r="FH116" s="20">
        <f t="shared" si="76"/>
        <v>678.0990536096873</v>
      </c>
      <c r="FI116" s="59">
        <f t="shared" si="77"/>
        <v>958.74435973857499</v>
      </c>
      <c r="FJ116" s="59">
        <f ca="1">AVERAGE(OFFSET($FI$3,0,0,'Données projet'!$E$16+1,1))-AVERAGE(OFFSET($H$3,0,0,'Données projet'!$E$16+1,1))</f>
        <v>441.20130048888439</v>
      </c>
      <c r="FK116" s="59">
        <f t="shared" si="102"/>
        <v>237.47732532183946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112.0214649571974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112.0214649571974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204.00000000000017</v>
      </c>
      <c r="GA116" s="17">
        <f>FZ116*VLOOKUP('Données projet'!$B$17,Paramètres!$A$1:$I$89,3,0)*VLOOKUP('Données projet'!$B$17,Paramètres!$A$1:$I$89,5,0)</f>
        <v>133.66080000000011</v>
      </c>
      <c r="GB116" s="13">
        <f t="shared" si="103"/>
        <v>34.840890682716783</v>
      </c>
      <c r="GC116" s="20">
        <f t="shared" si="79"/>
        <v>293.4737779390652</v>
      </c>
      <c r="GD116" s="59">
        <f t="shared" si="80"/>
        <v>574.11908406795283</v>
      </c>
      <c r="GE116" s="59">
        <f ca="1">AVERAGE(OFFSET($GD$3,0,0,'Données projet'!$E$17+1,1))-AVERAGE(OFFSET($H$3,0,0,'Données projet'!$E$17+1,1))</f>
        <v>257.66104339896992</v>
      </c>
      <c r="GF116" s="59">
        <f t="shared" si="104"/>
        <v>254.79488636184996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24.992981756714581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24.992981756714581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234.00000000000003</v>
      </c>
      <c r="GV116" s="17">
        <f>GU116*VLOOKUP('Données projet'!$B$18,Paramètres!$A$1:$I$89,3,0)*VLOOKUP('Données projet'!$B$18,Paramètres!$A$1:$I$89,5,0)</f>
        <v>189.82080000000005</v>
      </c>
      <c r="GW116" s="13">
        <f t="shared" si="105"/>
        <v>47.500332100049796</v>
      </c>
      <c r="GX116" s="20">
        <f t="shared" si="82"/>
        <v>413.33430507425345</v>
      </c>
      <c r="GY116" s="59">
        <f t="shared" si="83"/>
        <v>693.97961120314108</v>
      </c>
      <c r="GZ116" s="59">
        <f ca="1">AVERAGE(OFFSET($GY$3,0,0,'Données projet'!$E$18+1,1))-AVERAGE(OFFSET($H$3,0,0,'Données projet'!$E$18+1,1))</f>
        <v>299.98377156721153</v>
      </c>
      <c r="HA116" s="59">
        <f t="shared" si="106"/>
        <v>241.36164657721102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24.079224250479996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24.079224250479996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9.4029999999999916</v>
      </c>
      <c r="N117" s="13">
        <f>IF('Données projet'!$A$36&gt;35,N116+M117-V116,IF(A117&lt;'Données projet'!$A$36,$K$205^A117,IF(A117='Données projet'!$A$36,'Données projet'!$B$36,N116+M117-V116)))</f>
        <v>479.02500000000032</v>
      </c>
      <c r="O117" s="13">
        <f>N117*VLOOKUP('Données projet'!$B$9,Paramètres!$A$1:$I$89,3,0)*VLOOKUP('Données projet'!$B$9,Paramètres!$A$1:$I$89,5,0)</f>
        <v>433.42182000000025</v>
      </c>
      <c r="P117" s="13">
        <f t="shared" si="87"/>
        <v>98.520458096711138</v>
      </c>
      <c r="Q117" s="20">
        <f t="shared" si="107"/>
        <v>926.46613435177221</v>
      </c>
      <c r="R117" s="59">
        <f t="shared" si="55"/>
        <v>1207.3315493864777</v>
      </c>
      <c r="S117" s="59">
        <f ca="1">AVERAGE(OFFSET($R$3,0,0,'Données projet'!$E$9+1,1))-AVERAGE(OFFSET($H$3,0,0,'Données projet'!$E$9+1,1))</f>
        <v>567.42635821507474</v>
      </c>
      <c r="T117" s="59">
        <f t="shared" si="88"/>
        <v>299.04735309930152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120.18562182325576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120.18562182325576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</v>
      </c>
      <c r="AI117" s="13">
        <f>IF('Données projet'!$A$62&gt;35,AI116+AH117-AQ116,IF(A117&lt;'Données projet'!$A$62,$AF$205^A117,IF(A117='Données projet'!$A$62,'Données projet'!$B$62,AI116+AH117-AQ116)))</f>
        <v>493.99999999999994</v>
      </c>
      <c r="AJ117" s="13">
        <f>AI117*VLOOKUP('Données projet'!$B$10,Paramètres!$A$1:$I$89,3,0)*VLOOKUP('Données projet'!$B$10,Paramètres!$A$1:$I$89,5,0)</f>
        <v>423.85199999999998</v>
      </c>
      <c r="AK117" s="13">
        <f t="shared" si="89"/>
        <v>96.595871362472579</v>
      </c>
      <c r="AL117" s="20">
        <f t="shared" si="58"/>
        <v>906.44670928963967</v>
      </c>
      <c r="AM117" s="59">
        <f t="shared" si="59"/>
        <v>1187.3121243243452</v>
      </c>
      <c r="AN117" s="59">
        <f ca="1">AVERAGE(OFFSET($AM$3,0,0,'Données projet'!$E$10+1,1))-AVERAGE(OFFSET($H$3,0,0,'Données projet'!$E$10+1,1))</f>
        <v>569.97793593332699</v>
      </c>
      <c r="AO117" s="59">
        <f t="shared" si="90"/>
        <v>331.25104323342907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124.31103921276265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124.31103921276265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277.99999999999994</v>
      </c>
      <c r="BE117" s="13">
        <f>BD117*VLOOKUP('Données projet'!$B$11,Paramètres!$A$1:$I$89,3,0)*VLOOKUP('Données projet'!$B$11,Paramètres!$A$1:$I$89,5,0)</f>
        <v>151.78799999999998</v>
      </c>
      <c r="BF117" s="13">
        <f t="shared" si="91"/>
        <v>38.984634390835623</v>
      </c>
      <c r="BG117" s="20">
        <f t="shared" si="61"/>
        <v>332.26233823070532</v>
      </c>
      <c r="BH117" s="59">
        <f t="shared" si="62"/>
        <v>613.12775326541077</v>
      </c>
      <c r="BI117" s="59">
        <f ca="1">AVERAGE(OFFSET($BH$3,0,0,'Données projet'!$E$11+1,1))-AVERAGE(OFFSET($H$3,0,0,'Données projet'!$E$11+1,1))</f>
        <v>215.37314197175104</v>
      </c>
      <c r="BJ117" s="59">
        <f t="shared" si="92"/>
        <v>361.17630426655978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6.9545120737108883</v>
      </c>
      <c r="BQ117" s="21">
        <f>EXP(-LN(2)/25)*BQ116+(1-EXP(-LN(2)/25))/(LN(2)/25)*Calculateur!BL117*Calculateur!BN117*VLOOKUP('Données projet'!$B$11,Paramètres!$A$1:$I$89,3,0)*0.475*44/12</f>
        <v>9.3540139855181952</v>
      </c>
      <c r="BR117" s="21">
        <f>EXP(-LN(2)/2)*BR116+(1-EXP(-LN(2)/2))/(LN(2)/2)*BL117*BO117*VLOOKUP('Données projet'!$B$11,Paramètres!$A$1:$I$89,3,0)*0.475*44/12</f>
        <v>5.7652440703386073E-15</v>
      </c>
      <c r="BS117" s="22">
        <f t="shared" si="63"/>
        <v>16.308526059229091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0.8600000000003547</v>
      </c>
      <c r="BZ117" s="13">
        <f>BY117*VLOOKUP('Données projet'!$B$12,Paramètres!$A$1:$I$89,3,0)*VLOOKUP('Données projet'!$B$12,Paramètres!$A$1:$I$89,5,0)</f>
        <v>0.48074000000019829</v>
      </c>
      <c r="CA117" s="13">
        <f t="shared" si="93"/>
        <v>0.24126147010950588</v>
      </c>
      <c r="CB117" s="20">
        <f t="shared" si="64"/>
        <v>1.2574858937744013</v>
      </c>
      <c r="CC117" s="59">
        <f t="shared" si="65"/>
        <v>282.12290092847985</v>
      </c>
      <c r="CD117" s="59">
        <f ca="1">AVERAGE(OFFSET($CC$3,0,0,'Données projet'!$E$12+1,1))-AVERAGE(OFFSET($H$3,0,0,'Données projet'!$E$12+1,1))</f>
        <v>420.4890915162182</v>
      </c>
      <c r="CE117" s="59">
        <f t="shared" si="94"/>
        <v>553.48432338023565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115.57048803054924</v>
      </c>
      <c r="CL117" s="21">
        <f>EXP(-LN(2)/25)*CL116+(1-EXP(-LN(2)/25))/(LN(2)/25)*Calculateur!CG117*Calculateur!CI117*VLOOKUP('Données projet'!$B$12,Paramètres!$A$1:$I$89,3,0)*0.475*44/12</f>
        <v>4.9254179415599531</v>
      </c>
      <c r="CM117" s="21">
        <f>EXP(-LN(2)/2)*CM116+(1-EXP(-LN(2)/2))/(LN(2)/2)*CG117*CJ117*VLOOKUP('Données projet'!$B$12,Paramètres!$A$1:$I$89,3,0)*0.475*44/12</f>
        <v>1.682384502289124E-13</v>
      </c>
      <c r="CN117" s="22">
        <f t="shared" si="66"/>
        <v>120.49590597210937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367.99999999999972</v>
      </c>
      <c r="CU117" s="17">
        <f>CT117*VLOOKUP('Données projet'!$B$13,Paramètres!$A$1:$I$89,3,0)*VLOOKUP('Données projet'!$B$13,Paramètres!$A$1:$I$89,5,0)</f>
        <v>269.8175999999998</v>
      </c>
      <c r="CV117" s="13">
        <f t="shared" si="95"/>
        <v>64.810557882019467</v>
      </c>
      <c r="CW117" s="20">
        <f t="shared" si="67"/>
        <v>582.81070831118348</v>
      </c>
      <c r="CX117" s="59">
        <f t="shared" si="68"/>
        <v>863.67612334588898</v>
      </c>
      <c r="CY117" s="59">
        <f ca="1">AVERAGE(OFFSET($CX$3,0,0,'Données projet'!$E$13+1,1))-AVERAGE(OFFSET($H$3,0,0,'Données projet'!$E$13+1,1))</f>
        <v>400.48995908576177</v>
      </c>
      <c r="CZ117" s="59">
        <f t="shared" si="96"/>
        <v>384.86917865380076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23.501860624158542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23.501860624158542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367.99999999999972</v>
      </c>
      <c r="DP117" s="17">
        <f>DO117*VLOOKUP('Données projet'!$B$14,Paramètres!$A$1:$I$89,3,0)*VLOOKUP('Données projet'!$B$14,Paramètres!$A$1:$I$89,5,0)</f>
        <v>292.78079999999977</v>
      </c>
      <c r="DQ117" s="13">
        <f t="shared" si="97"/>
        <v>69.660903052386217</v>
      </c>
      <c r="DR117" s="20">
        <f t="shared" si="70"/>
        <v>631.25263281623893</v>
      </c>
      <c r="DS117" s="59">
        <f t="shared" si="71"/>
        <v>912.11804785094432</v>
      </c>
      <c r="DT117" s="59">
        <f ca="1">AVERAGE(OFFSET($DS$3,0,0,'Données projet'!$E$14+1,1))-AVERAGE(OFFSET($H$3,0,0,'Données projet'!$E$14+1,1))</f>
        <v>429.30603040255431</v>
      </c>
      <c r="DU117" s="59">
        <f t="shared" si="98"/>
        <v>412.18613903804726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31.432721062395096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31.432721062395096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210.25641025641013</v>
      </c>
      <c r="EK117" s="17">
        <f>EJ117*VLOOKUP('Données projet'!$B$15,Paramètres!$A$1:$I$89,3,0)*VLOOKUP('Données projet'!$B$15,Paramètres!$A$1:$I$89,5,0)</f>
        <v>163.99999999999991</v>
      </c>
      <c r="EL117" s="13">
        <f t="shared" si="99"/>
        <v>41.743425908362248</v>
      </c>
      <c r="EM117" s="20">
        <f t="shared" si="73"/>
        <v>358.33646679039742</v>
      </c>
      <c r="EN117" s="59">
        <f t="shared" si="74"/>
        <v>639.20188182510287</v>
      </c>
      <c r="EO117" s="59">
        <f ca="1">AVERAGE(OFFSET($EN$3,0,0,'Données projet'!$E$15+1,1))-AVERAGE(OFFSET($H$3,0,0,'Données projet'!$E$15+1,1))</f>
        <v>217.53602321474159</v>
      </c>
      <c r="EP117" s="59">
        <f t="shared" si="100"/>
        <v>215.75909414893025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13.24636448280074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13.24636448280074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9.4029999999999916</v>
      </c>
      <c r="FE117" s="12">
        <f>IF('Données projet'!$A$218&gt;35,FE116+FD117-FM116,IF(A117&lt;'Données projet'!$A$218,$FB$205^A117,IF(A117='Données projet'!$A$218,'Données projet'!$B$218,FE116+FD117-FM116)))</f>
        <v>479.02500000000032</v>
      </c>
      <c r="FF117" s="17">
        <f>FE117*VLOOKUP('Données projet'!$B$16,Paramètres!$A$1:$I$89,3,0)*VLOOKUP('Données projet'!$B$16,Paramètres!$A$1:$I$89,5,0)</f>
        <v>321.32997000000023</v>
      </c>
      <c r="FG117" s="13">
        <f t="shared" si="101"/>
        <v>75.630012952812223</v>
      </c>
      <c r="FH117" s="20">
        <f t="shared" si="76"/>
        <v>691.37197030948164</v>
      </c>
      <c r="FI117" s="59">
        <f t="shared" si="77"/>
        <v>972.23738534418703</v>
      </c>
      <c r="FJ117" s="59">
        <f ca="1">AVERAGE(OFFSET($FI$3,0,0,'Données projet'!$E$16+1,1))-AVERAGE(OFFSET($H$3,0,0,'Données projet'!$E$16+1,1))</f>
        <v>441.20130048888439</v>
      </c>
      <c r="FK117" s="59">
        <f t="shared" si="102"/>
        <v>237.47732532183946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109.82479235573371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109.82479235573371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204.00000000000017</v>
      </c>
      <c r="GA117" s="17">
        <f>FZ117*VLOOKUP('Données projet'!$B$17,Paramètres!$A$1:$I$89,3,0)*VLOOKUP('Données projet'!$B$17,Paramètres!$A$1:$I$89,5,0)</f>
        <v>133.66080000000011</v>
      </c>
      <c r="GB117" s="13">
        <f t="shared" si="103"/>
        <v>34.840890682716783</v>
      </c>
      <c r="GC117" s="20">
        <f t="shared" si="79"/>
        <v>293.4737779390652</v>
      </c>
      <c r="GD117" s="59">
        <f t="shared" si="80"/>
        <v>574.33919297377065</v>
      </c>
      <c r="GE117" s="59">
        <f ca="1">AVERAGE(OFFSET($GD$3,0,0,'Données projet'!$E$17+1,1))-AVERAGE(OFFSET($H$3,0,0,'Données projet'!$E$17+1,1))</f>
        <v>257.66104339896992</v>
      </c>
      <c r="GF117" s="59">
        <f t="shared" si="104"/>
        <v>254.79488636184996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24.502884628679038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24.502884628679038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234.00000000000003</v>
      </c>
      <c r="GV117" s="17">
        <f>GU117*VLOOKUP('Données projet'!$B$18,Paramètres!$A$1:$I$89,3,0)*VLOOKUP('Données projet'!$B$18,Paramètres!$A$1:$I$89,5,0)</f>
        <v>189.82080000000005</v>
      </c>
      <c r="GW117" s="13">
        <f t="shared" si="105"/>
        <v>47.500332100049796</v>
      </c>
      <c r="GX117" s="20">
        <f t="shared" si="82"/>
        <v>413.33430507425345</v>
      </c>
      <c r="GY117" s="59">
        <f t="shared" si="83"/>
        <v>694.1997201089589</v>
      </c>
      <c r="GZ117" s="59">
        <f ca="1">AVERAGE(OFFSET($GY$3,0,0,'Données projet'!$E$18+1,1))-AVERAGE(OFFSET($H$3,0,0,'Données projet'!$E$18+1,1))</f>
        <v>299.98377156721153</v>
      </c>
      <c r="HA117" s="59">
        <f t="shared" si="106"/>
        <v>241.36164657721102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23.607045349804668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23.607045349804668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9.4029999999999916</v>
      </c>
      <c r="N118" s="13">
        <f>IF('Données projet'!$A$36&gt;35,N117+M118-V117,IF(A118&lt;'Données projet'!$A$36,$K$205^A118,IF(A118='Données projet'!$A$36,'Données projet'!$B$36,N117+M118-V117)))</f>
        <v>488.42800000000034</v>
      </c>
      <c r="O118" s="13">
        <f>N118*VLOOKUP('Données projet'!$B$9,Paramètres!$A$1:$I$89,3,0)*VLOOKUP('Données projet'!$B$9,Paramètres!$A$1:$I$89,5,0)</f>
        <v>441.92965440000035</v>
      </c>
      <c r="P118" s="13">
        <f t="shared" si="87"/>
        <v>100.22731668201004</v>
      </c>
      <c r="Q118" s="20">
        <f t="shared" si="107"/>
        <v>944.25672463450144</v>
      </c>
      <c r="R118" s="59">
        <f t="shared" si="55"/>
        <v>1225.3384301775986</v>
      </c>
      <c r="S118" s="59">
        <f ca="1">AVERAGE(OFFSET($R$3,0,0,'Données projet'!$E$9+1,1))-AVERAGE(OFFSET($H$3,0,0,'Données projet'!$E$9+1,1))</f>
        <v>567.42635821507474</v>
      </c>
      <c r="T118" s="59">
        <f t="shared" si="88"/>
        <v>299.04735309930152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117.82885508529266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117.82885508529266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501</v>
      </c>
      <c r="AG118" s="12">
        <f>VLOOKUP(A118,'Données projet'!$A$61:$I$81,9,0)</f>
        <v>7</v>
      </c>
      <c r="AH118" s="12">
        <f t="array" ref="AH118">INDEX(AG:AG,MIN(IF(ISNUMBER(AG118:AG314),ROW(AG118:AG314),"")))</f>
        <v>7</v>
      </c>
      <c r="AI118" s="13">
        <f>IF('Données projet'!$A$62&gt;35,AI117+AH118-AQ117,IF(A118&lt;'Données projet'!$A$62,$AF$205^A118,IF(A118='Données projet'!$A$62,'Données projet'!$B$62,AI117+AH118-AQ117)))</f>
        <v>500.99999999999994</v>
      </c>
      <c r="AJ118" s="13">
        <f>AI118*VLOOKUP('Données projet'!$B$10,Paramètres!$A$1:$I$89,3,0)*VLOOKUP('Données projet'!$B$10,Paramètres!$A$1:$I$89,5,0)</f>
        <v>429.858</v>
      </c>
      <c r="AK118" s="13">
        <f t="shared" si="89"/>
        <v>97.804322041485804</v>
      </c>
      <c r="AL118" s="20">
        <f t="shared" si="58"/>
        <v>919.01187755558783</v>
      </c>
      <c r="AM118" s="59">
        <f t="shared" si="59"/>
        <v>1200.093583098685</v>
      </c>
      <c r="AN118" s="59">
        <f ca="1">AVERAGE(OFFSET($AM$3,0,0,'Données projet'!$E$10+1,1))-AVERAGE(OFFSET($H$3,0,0,'Données projet'!$E$10+1,1))</f>
        <v>569.97793593332699</v>
      </c>
      <c r="AO118" s="59">
        <f t="shared" si="90"/>
        <v>331.25104323342907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26</v>
      </c>
      <c r="AR118" s="16">
        <f>IF(ISNA(VLOOKUP(A118,'Données projet'!$A$61:$I$81,5,0)),0%,VLOOKUP(A118,'Données projet'!$A$61:$I$81,5,0)*VLOOKUP('Données projet'!$B$10,Paramètres!$A$1:$I$89,7,0))</f>
        <v>0.53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134.94361716615663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134.94361716615663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277.99999999999994</v>
      </c>
      <c r="BE118" s="13">
        <f>BD118*VLOOKUP('Données projet'!$B$11,Paramètres!$A$1:$I$89,3,0)*VLOOKUP('Données projet'!$B$11,Paramètres!$A$1:$I$89,5,0)</f>
        <v>151.78799999999998</v>
      </c>
      <c r="BF118" s="13">
        <f t="shared" si="91"/>
        <v>38.984634390835623</v>
      </c>
      <c r="BG118" s="20">
        <f t="shared" si="61"/>
        <v>332.26233823070532</v>
      </c>
      <c r="BH118" s="59">
        <f t="shared" si="62"/>
        <v>613.34404377380258</v>
      </c>
      <c r="BI118" s="59">
        <f ca="1">AVERAGE(OFFSET($BH$3,0,0,'Données projet'!$E$11+1,1))-AVERAGE(OFFSET($H$3,0,0,'Données projet'!$E$11+1,1))</f>
        <v>215.37314197175104</v>
      </c>
      <c r="BJ118" s="59">
        <f t="shared" si="92"/>
        <v>361.17630426655978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6.8181383337789363</v>
      </c>
      <c r="BQ118" s="21">
        <f>EXP(-LN(2)/25)*BQ117+(1-EXP(-LN(2)/25))/(LN(2)/25)*Calculateur!BL118*Calculateur!BN118*VLOOKUP('Données projet'!$B$11,Paramètres!$A$1:$I$89,3,0)*0.475*44/12</f>
        <v>9.0982279811779829</v>
      </c>
      <c r="BR118" s="21">
        <f>EXP(-LN(2)/2)*BR117+(1-EXP(-LN(2)/2))/(LN(2)/2)*BL118*BO118*VLOOKUP('Données projet'!$B$11,Paramètres!$A$1:$I$89,3,0)*0.475*44/12</f>
        <v>4.0766431773319621E-15</v>
      </c>
      <c r="BS118" s="22">
        <f t="shared" si="63"/>
        <v>15.916366314956923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0.8600000000003547</v>
      </c>
      <c r="BZ118" s="13">
        <f>BY118*VLOOKUP('Données projet'!$B$12,Paramètres!$A$1:$I$89,3,0)*VLOOKUP('Données projet'!$B$12,Paramètres!$A$1:$I$89,5,0)</f>
        <v>0.48074000000019829</v>
      </c>
      <c r="CA118" s="13">
        <f t="shared" si="93"/>
        <v>0.24126147010950588</v>
      </c>
      <c r="CB118" s="20">
        <f t="shared" si="64"/>
        <v>1.2574858937744013</v>
      </c>
      <c r="CC118" s="59">
        <f t="shared" si="65"/>
        <v>282.33919143687166</v>
      </c>
      <c r="CD118" s="59">
        <f ca="1">AVERAGE(OFFSET($CC$3,0,0,'Données projet'!$E$12+1,1))-AVERAGE(OFFSET($H$3,0,0,'Données projet'!$E$12+1,1))</f>
        <v>420.4890915162182</v>
      </c>
      <c r="CE118" s="59">
        <f t="shared" si="94"/>
        <v>553.48432338023565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113.30422125130745</v>
      </c>
      <c r="CL118" s="21">
        <f>EXP(-LN(2)/25)*CL117+(1-EXP(-LN(2)/25))/(LN(2)/25)*Calculateur!CG118*Calculateur!CI118*VLOOKUP('Données projet'!$B$12,Paramètres!$A$1:$I$89,3,0)*0.475*44/12</f>
        <v>4.7907321289315234</v>
      </c>
      <c r="CM118" s="21">
        <f>EXP(-LN(2)/2)*CM117+(1-EXP(-LN(2)/2))/(LN(2)/2)*CG118*CJ118*VLOOKUP('Données projet'!$B$12,Paramètres!$A$1:$I$89,3,0)*0.475*44/12</f>
        <v>1.1896254901317942E-13</v>
      </c>
      <c r="CN118" s="22">
        <f t="shared" si="66"/>
        <v>118.09495338023909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367.99999999999972</v>
      </c>
      <c r="CU118" s="17">
        <f>CT118*VLOOKUP('Données projet'!$B$13,Paramètres!$A$1:$I$89,3,0)*VLOOKUP('Données projet'!$B$13,Paramètres!$A$1:$I$89,5,0)</f>
        <v>269.8175999999998</v>
      </c>
      <c r="CV118" s="13">
        <f t="shared" si="95"/>
        <v>64.810557882019467</v>
      </c>
      <c r="CW118" s="20">
        <f t="shared" si="67"/>
        <v>582.81070831118348</v>
      </c>
      <c r="CX118" s="59">
        <f t="shared" si="68"/>
        <v>863.89241385428068</v>
      </c>
      <c r="CY118" s="59">
        <f ca="1">AVERAGE(OFFSET($CX$3,0,0,'Données projet'!$E$13+1,1))-AVERAGE(OFFSET($H$3,0,0,'Données projet'!$E$13+1,1))</f>
        <v>400.48995908576177</v>
      </c>
      <c r="CZ118" s="59">
        <f t="shared" si="96"/>
        <v>384.86917865380076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23.041003472038337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23.041003472038337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367.99999999999972</v>
      </c>
      <c r="DP118" s="17">
        <f>DO118*VLOOKUP('Données projet'!$B$14,Paramètres!$A$1:$I$89,3,0)*VLOOKUP('Données projet'!$B$14,Paramètres!$A$1:$I$89,5,0)</f>
        <v>292.78079999999977</v>
      </c>
      <c r="DQ118" s="13">
        <f t="shared" si="97"/>
        <v>69.660903052386217</v>
      </c>
      <c r="DR118" s="20">
        <f t="shared" si="70"/>
        <v>631.25263281623893</v>
      </c>
      <c r="DS118" s="59">
        <f t="shared" si="71"/>
        <v>912.33433835933624</v>
      </c>
      <c r="DT118" s="59">
        <f ca="1">AVERAGE(OFFSET($DS$3,0,0,'Données projet'!$E$14+1,1))-AVERAGE(OFFSET($H$3,0,0,'Données projet'!$E$14+1,1))</f>
        <v>429.30603040255431</v>
      </c>
      <c r="DU118" s="59">
        <f t="shared" si="98"/>
        <v>412.18613903804726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30.816344574428292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30.816344574428292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210.25641025641013</v>
      </c>
      <c r="EK118" s="17">
        <f>EJ118*VLOOKUP('Données projet'!$B$15,Paramètres!$A$1:$I$89,3,0)*VLOOKUP('Données projet'!$B$15,Paramètres!$A$1:$I$89,5,0)</f>
        <v>163.99999999999991</v>
      </c>
      <c r="EL118" s="13">
        <f t="shared" si="99"/>
        <v>41.743425908362248</v>
      </c>
      <c r="EM118" s="20">
        <f t="shared" si="73"/>
        <v>358.33646679039742</v>
      </c>
      <c r="EN118" s="59">
        <f t="shared" si="74"/>
        <v>639.41817233349468</v>
      </c>
      <c r="EO118" s="59">
        <f ca="1">AVERAGE(OFFSET($EN$3,0,0,'Données projet'!$E$15+1,1))-AVERAGE(OFFSET($H$3,0,0,'Données projet'!$E$15+1,1))</f>
        <v>217.53602321474159</v>
      </c>
      <c r="EP118" s="59">
        <f t="shared" si="100"/>
        <v>215.75909414893025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12.986611354777569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12.986611354777569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9.4029999999999916</v>
      </c>
      <c r="FE118" s="12">
        <f>IF('Données projet'!$A$218&gt;35,FE117+FD118-FM117,IF(A118&lt;'Données projet'!$A$218,$FB$205^A118,IF(A118='Données projet'!$A$218,'Données projet'!$B$218,FE117+FD118-FM117)))</f>
        <v>488.42800000000034</v>
      </c>
      <c r="FF118" s="17">
        <f>FE118*VLOOKUP('Données projet'!$B$16,Paramètres!$A$1:$I$89,3,0)*VLOOKUP('Données projet'!$B$16,Paramètres!$A$1:$I$89,5,0)</f>
        <v>327.63750240000024</v>
      </c>
      <c r="FG118" s="13">
        <f t="shared" si="101"/>
        <v>76.940296516334129</v>
      </c>
      <c r="FH118" s="20">
        <f t="shared" si="76"/>
        <v>704.63966644594893</v>
      </c>
      <c r="FI118" s="59">
        <f t="shared" si="77"/>
        <v>985.72137198904625</v>
      </c>
      <c r="FJ118" s="59">
        <f ca="1">AVERAGE(OFFSET($FI$3,0,0,'Données projet'!$E$16+1,1))-AVERAGE(OFFSET($H$3,0,0,'Données projet'!$E$16+1,1))</f>
        <v>441.20130048888439</v>
      </c>
      <c r="FK118" s="59">
        <f t="shared" si="102"/>
        <v>237.47732532183946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107.67119516414674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107.67119516414674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204.00000000000017</v>
      </c>
      <c r="GA118" s="17">
        <f>FZ118*VLOOKUP('Données projet'!$B$17,Paramètres!$A$1:$I$89,3,0)*VLOOKUP('Données projet'!$B$17,Paramètres!$A$1:$I$89,5,0)</f>
        <v>133.66080000000011</v>
      </c>
      <c r="GB118" s="13">
        <f t="shared" si="103"/>
        <v>34.840890682716783</v>
      </c>
      <c r="GC118" s="20">
        <f t="shared" si="79"/>
        <v>293.4737779390652</v>
      </c>
      <c r="GD118" s="59">
        <f t="shared" si="80"/>
        <v>574.55548348216246</v>
      </c>
      <c r="GE118" s="59">
        <f ca="1">AVERAGE(OFFSET($GD$3,0,0,'Données projet'!$E$17+1,1))-AVERAGE(OFFSET($H$3,0,0,'Données projet'!$E$17+1,1))</f>
        <v>257.66104339896992</v>
      </c>
      <c r="GF118" s="59">
        <f t="shared" si="104"/>
        <v>254.79488636184996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24.022398006394543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24.022398006394543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234.00000000000003</v>
      </c>
      <c r="GV118" s="17">
        <f>GU118*VLOOKUP('Données projet'!$B$18,Paramètres!$A$1:$I$89,3,0)*VLOOKUP('Données projet'!$B$18,Paramètres!$A$1:$I$89,5,0)</f>
        <v>189.82080000000005</v>
      </c>
      <c r="GW118" s="13">
        <f t="shared" si="105"/>
        <v>47.500332100049796</v>
      </c>
      <c r="GX118" s="20">
        <f t="shared" si="82"/>
        <v>413.33430507425345</v>
      </c>
      <c r="GY118" s="59">
        <f t="shared" si="83"/>
        <v>694.41601061735071</v>
      </c>
      <c r="GZ118" s="59">
        <f ca="1">AVERAGE(OFFSET($GY$3,0,0,'Données projet'!$E$18+1,1))-AVERAGE(OFFSET($H$3,0,0,'Données projet'!$E$18+1,1))</f>
        <v>299.98377156721153</v>
      </c>
      <c r="HA118" s="59">
        <f t="shared" si="106"/>
        <v>241.36164657721102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23.144125589370891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23.144125589370891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9.4029999999999916</v>
      </c>
      <c r="N119" s="13">
        <f>IF('Données projet'!$A$36&gt;35,N118+M119-V118,IF(A119&lt;'Données projet'!$A$36,$K$205^A119,IF(A119='Données projet'!$A$36,'Données projet'!$B$36,N118+M119-V118)))</f>
        <v>497.83100000000036</v>
      </c>
      <c r="O119" s="13">
        <f>N119*VLOOKUP('Données projet'!$B$9,Paramètres!$A$1:$I$89,3,0)*VLOOKUP('Données projet'!$B$9,Paramètres!$A$1:$I$89,5,0)</f>
        <v>450.43748880000032</v>
      </c>
      <c r="P119" s="13">
        <f t="shared" si="87"/>
        <v>101.93035443256859</v>
      </c>
      <c r="Q119" s="20">
        <f t="shared" si="107"/>
        <v>962.04066029672424</v>
      </c>
      <c r="R119" s="59">
        <f t="shared" si="55"/>
        <v>1243.3349041914457</v>
      </c>
      <c r="S119" s="59">
        <f ca="1">AVERAGE(OFFSET($R$3,0,0,'Données projet'!$E$9+1,1))-AVERAGE(OFFSET($H$3,0,0,'Données projet'!$E$9+1,1))</f>
        <v>567.42635821507474</v>
      </c>
      <c r="T119" s="59">
        <f t="shared" si="88"/>
        <v>299.04735309930152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115.51830310557524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115.51830310557524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474.99999999999994</v>
      </c>
      <c r="AJ119" s="13">
        <f>AI119*VLOOKUP('Données projet'!$B$10,Paramètres!$A$1:$I$89,3,0)*VLOOKUP('Données projet'!$B$10,Paramètres!$A$1:$I$89,5,0)</f>
        <v>407.55</v>
      </c>
      <c r="AK119" s="13">
        <f t="shared" si="89"/>
        <v>93.305642095357683</v>
      </c>
      <c r="AL119" s="20">
        <f t="shared" si="58"/>
        <v>872.32357664941446</v>
      </c>
      <c r="AM119" s="59">
        <f t="shared" si="59"/>
        <v>1153.6178205441361</v>
      </c>
      <c r="AN119" s="59">
        <f ca="1">AVERAGE(OFFSET($AM$3,0,0,'Données projet'!$E$10+1,1))-AVERAGE(OFFSET($H$3,0,0,'Données projet'!$E$10+1,1))</f>
        <v>569.97793593332699</v>
      </c>
      <c r="AO119" s="59">
        <f t="shared" si="90"/>
        <v>331.25104323342907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132.29745514100759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132.29745514100759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277.99999999999994</v>
      </c>
      <c r="BE119" s="13">
        <f>BD119*VLOOKUP('Données projet'!$B$11,Paramètres!$A$1:$I$89,3,0)*VLOOKUP('Données projet'!$B$11,Paramètres!$A$1:$I$89,5,0)</f>
        <v>151.78799999999998</v>
      </c>
      <c r="BF119" s="13">
        <f t="shared" si="91"/>
        <v>38.984634390835623</v>
      </c>
      <c r="BG119" s="20">
        <f t="shared" si="61"/>
        <v>332.26233823070532</v>
      </c>
      <c r="BH119" s="59">
        <f t="shared" si="62"/>
        <v>613.55658212542676</v>
      </c>
      <c r="BI119" s="59">
        <f ca="1">AVERAGE(OFFSET($BH$3,0,0,'Données projet'!$E$11+1,1))-AVERAGE(OFFSET($H$3,0,0,'Données projet'!$E$11+1,1))</f>
        <v>215.37314197175104</v>
      </c>
      <c r="BJ119" s="59">
        <f t="shared" si="92"/>
        <v>361.17630426655978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6.6844387997072818</v>
      </c>
      <c r="BQ119" s="21">
        <f>EXP(-LN(2)/25)*BQ118+(1-EXP(-LN(2)/25))/(LN(2)/25)*Calculateur!BL119*Calculateur!BN119*VLOOKUP('Données projet'!$B$11,Paramètres!$A$1:$I$89,3,0)*0.475*44/12</f>
        <v>8.8494364585776566</v>
      </c>
      <c r="BR119" s="21">
        <f>EXP(-LN(2)/2)*BR118+(1-EXP(-LN(2)/2))/(LN(2)/2)*BL119*BO119*VLOOKUP('Données projet'!$B$11,Paramètres!$A$1:$I$89,3,0)*0.475*44/12</f>
        <v>2.8826220351693037E-15</v>
      </c>
      <c r="BS119" s="22">
        <f t="shared" si="63"/>
        <v>15.533875258284942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0.8600000000003547</v>
      </c>
      <c r="BZ119" s="13">
        <f>BY119*VLOOKUP('Données projet'!$B$12,Paramètres!$A$1:$I$89,3,0)*VLOOKUP('Données projet'!$B$12,Paramètres!$A$1:$I$89,5,0)</f>
        <v>0.48074000000019829</v>
      </c>
      <c r="CA119" s="13">
        <f t="shared" si="93"/>
        <v>0.24126147010950588</v>
      </c>
      <c r="CB119" s="20">
        <f t="shared" si="64"/>
        <v>1.2574858937744013</v>
      </c>
      <c r="CC119" s="59">
        <f t="shared" si="65"/>
        <v>282.55172978849589</v>
      </c>
      <c r="CD119" s="59">
        <f ca="1">AVERAGE(OFFSET($CC$3,0,0,'Données projet'!$E$12+1,1))-AVERAGE(OFFSET($H$3,0,0,'Données projet'!$E$12+1,1))</f>
        <v>420.4890915162182</v>
      </c>
      <c r="CE119" s="59">
        <f t="shared" si="94"/>
        <v>553.48432338023565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111.08239458132036</v>
      </c>
      <c r="CL119" s="21">
        <f>EXP(-LN(2)/25)*CL118+(1-EXP(-LN(2)/25))/(LN(2)/25)*Calculateur!CG119*Calculateur!CI119*VLOOKUP('Données projet'!$B$12,Paramètres!$A$1:$I$89,3,0)*0.475*44/12</f>
        <v>4.6597293069322374</v>
      </c>
      <c r="CM119" s="21">
        <f>EXP(-LN(2)/2)*CM118+(1-EXP(-LN(2)/2))/(LN(2)/2)*CG119*CJ119*VLOOKUP('Données projet'!$B$12,Paramètres!$A$1:$I$89,3,0)*0.475*44/12</f>
        <v>8.4119225114456201E-14</v>
      </c>
      <c r="CN119" s="22">
        <f t="shared" si="66"/>
        <v>115.74212388825268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367.99999999999972</v>
      </c>
      <c r="CU119" s="17">
        <f>CT119*VLOOKUP('Données projet'!$B$13,Paramètres!$A$1:$I$89,3,0)*VLOOKUP('Données projet'!$B$13,Paramètres!$A$1:$I$89,5,0)</f>
        <v>269.8175999999998</v>
      </c>
      <c r="CV119" s="13">
        <f t="shared" si="95"/>
        <v>64.810557882019467</v>
      </c>
      <c r="CW119" s="20">
        <f t="shared" si="67"/>
        <v>582.81070831118348</v>
      </c>
      <c r="CX119" s="59">
        <f t="shared" si="68"/>
        <v>864.10495220590497</v>
      </c>
      <c r="CY119" s="59">
        <f ca="1">AVERAGE(OFFSET($CX$3,0,0,'Données projet'!$E$13+1,1))-AVERAGE(OFFSET($H$3,0,0,'Données projet'!$E$13+1,1))</f>
        <v>400.48995908576177</v>
      </c>
      <c r="CZ119" s="59">
        <f t="shared" si="96"/>
        <v>384.86917865380076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22.589183447576104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22.589183447576104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367.99999999999972</v>
      </c>
      <c r="DP119" s="17">
        <f>DO119*VLOOKUP('Données projet'!$B$14,Paramètres!$A$1:$I$89,3,0)*VLOOKUP('Données projet'!$B$14,Paramètres!$A$1:$I$89,5,0)</f>
        <v>292.78079999999977</v>
      </c>
      <c r="DQ119" s="13">
        <f t="shared" si="97"/>
        <v>69.660903052386217</v>
      </c>
      <c r="DR119" s="20">
        <f t="shared" si="70"/>
        <v>631.25263281623893</v>
      </c>
      <c r="DS119" s="59">
        <f t="shared" si="71"/>
        <v>912.54687671096042</v>
      </c>
      <c r="DT119" s="59">
        <f ca="1">AVERAGE(OFFSET($DS$3,0,0,'Données projet'!$E$14+1,1))-AVERAGE(OFFSET($H$3,0,0,'Données projet'!$E$14+1,1))</f>
        <v>429.30603040255431</v>
      </c>
      <c r="DU119" s="59">
        <f t="shared" si="98"/>
        <v>412.18613903804726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30.212054853437984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30.212054853437984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210.25641025641013</v>
      </c>
      <c r="EK119" s="17">
        <f>EJ119*VLOOKUP('Données projet'!$B$15,Paramètres!$A$1:$I$89,3,0)*VLOOKUP('Données projet'!$B$15,Paramètres!$A$1:$I$89,5,0)</f>
        <v>163.99999999999991</v>
      </c>
      <c r="EL119" s="13">
        <f t="shared" si="99"/>
        <v>41.743425908362248</v>
      </c>
      <c r="EM119" s="20">
        <f t="shared" si="73"/>
        <v>358.33646679039742</v>
      </c>
      <c r="EN119" s="59">
        <f t="shared" si="74"/>
        <v>639.63071068511886</v>
      </c>
      <c r="EO119" s="59">
        <f ca="1">AVERAGE(OFFSET($EN$3,0,0,'Données projet'!$E$15+1,1))-AVERAGE(OFFSET($H$3,0,0,'Données projet'!$E$15+1,1))</f>
        <v>217.53602321474159</v>
      </c>
      <c r="EP119" s="59">
        <f t="shared" si="100"/>
        <v>215.75909414893025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12.731951827161168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12.731951827161168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9.4029999999999916</v>
      </c>
      <c r="FE119" s="12">
        <f>IF('Données projet'!$A$218&gt;35,FE118+FD119-FM118,IF(A119&lt;'Données projet'!$A$218,$FB$205^A119,IF(A119='Données projet'!$A$218,'Données projet'!$B$218,FE118+FD119-FM118)))</f>
        <v>497.83100000000036</v>
      </c>
      <c r="FF119" s="17">
        <f>FE119*VLOOKUP('Données projet'!$B$16,Paramètres!$A$1:$I$89,3,0)*VLOOKUP('Données projet'!$B$16,Paramètres!$A$1:$I$89,5,0)</f>
        <v>333.94503480000026</v>
      </c>
      <c r="FG119" s="13">
        <f t="shared" si="101"/>
        <v>78.247646985689798</v>
      </c>
      <c r="FH119" s="20">
        <f t="shared" si="76"/>
        <v>717.9022541100768</v>
      </c>
      <c r="FI119" s="59">
        <f t="shared" si="77"/>
        <v>999.19649800479829</v>
      </c>
      <c r="FJ119" s="59">
        <f ca="1">AVERAGE(OFFSET($FI$3,0,0,'Données projet'!$E$16+1,1))-AVERAGE(OFFSET($H$3,0,0,'Données projet'!$E$16+1,1))</f>
        <v>441.20130048888439</v>
      </c>
      <c r="FK119" s="59">
        <f t="shared" si="102"/>
        <v>237.47732532183946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105.55982869992221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105.55982869992221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204.00000000000017</v>
      </c>
      <c r="GA119" s="17">
        <f>FZ119*VLOOKUP('Données projet'!$B$17,Paramètres!$A$1:$I$89,3,0)*VLOOKUP('Données projet'!$B$17,Paramètres!$A$1:$I$89,5,0)</f>
        <v>133.66080000000011</v>
      </c>
      <c r="GB119" s="13">
        <f t="shared" si="103"/>
        <v>34.840890682716783</v>
      </c>
      <c r="GC119" s="20">
        <f t="shared" si="79"/>
        <v>293.4737779390652</v>
      </c>
      <c r="GD119" s="59">
        <f t="shared" si="80"/>
        <v>574.76802183378663</v>
      </c>
      <c r="GE119" s="59">
        <f ca="1">AVERAGE(OFFSET($GD$3,0,0,'Données projet'!$E$17+1,1))-AVERAGE(OFFSET($H$3,0,0,'Données projet'!$E$17+1,1))</f>
        <v>257.66104339896992</v>
      </c>
      <c r="GF119" s="59">
        <f t="shared" si="104"/>
        <v>254.79488636184996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23.551333433705143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23.551333433705143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234.00000000000003</v>
      </c>
      <c r="GV119" s="17">
        <f>GU119*VLOOKUP('Données projet'!$B$18,Paramètres!$A$1:$I$89,3,0)*VLOOKUP('Données projet'!$B$18,Paramètres!$A$1:$I$89,5,0)</f>
        <v>189.82080000000005</v>
      </c>
      <c r="GW119" s="13">
        <f t="shared" si="105"/>
        <v>47.500332100049796</v>
      </c>
      <c r="GX119" s="20">
        <f t="shared" si="82"/>
        <v>413.33430507425345</v>
      </c>
      <c r="GY119" s="59">
        <f t="shared" si="83"/>
        <v>694.62854896897488</v>
      </c>
      <c r="GZ119" s="59">
        <f ca="1">AVERAGE(OFFSET($GY$3,0,0,'Données projet'!$E$18+1,1))-AVERAGE(OFFSET($H$3,0,0,'Données projet'!$E$18+1,1))</f>
        <v>299.98377156721153</v>
      </c>
      <c r="HA119" s="59">
        <f t="shared" si="106"/>
        <v>241.36164657721102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22.690283403086045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22.690283403086045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9.4029999999999916</v>
      </c>
      <c r="N120" s="13">
        <f>IF('Données projet'!$A$36&gt;35,N119+M120-V119,IF(A120&lt;'Données projet'!$A$36,$K$205^A120,IF(A120='Données projet'!$A$36,'Données projet'!$B$36,N119+M120-V119)))</f>
        <v>507.23400000000038</v>
      </c>
      <c r="O120" s="13">
        <f>N120*VLOOKUP('Données projet'!$B$9,Paramètres!$A$1:$I$89,3,0)*VLOOKUP('Données projet'!$B$9,Paramètres!$A$1:$I$89,5,0)</f>
        <v>458.94532320000036</v>
      </c>
      <c r="P120" s="13">
        <f t="shared" si="87"/>
        <v>103.62965183753882</v>
      </c>
      <c r="Q120" s="20">
        <f t="shared" si="107"/>
        <v>979.81808152371411</v>
      </c>
      <c r="R120" s="59">
        <f t="shared" si="55"/>
        <v>1261.3211767048238</v>
      </c>
      <c r="S120" s="59">
        <f ca="1">AVERAGE(OFFSET($R$3,0,0,'Données projet'!$E$9+1,1))-AVERAGE(OFFSET($H$3,0,0,'Données projet'!$E$9+1,1))</f>
        <v>567.42635821507474</v>
      </c>
      <c r="T120" s="59">
        <f t="shared" si="88"/>
        <v>299.04735309930152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113.25305964088254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113.25305964088254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474.99999999999994</v>
      </c>
      <c r="AJ120" s="13">
        <f>AI120*VLOOKUP('Données projet'!$B$10,Paramètres!$A$1:$I$89,3,0)*VLOOKUP('Données projet'!$B$10,Paramètres!$A$1:$I$89,5,0)</f>
        <v>407.55</v>
      </c>
      <c r="AK120" s="13">
        <f t="shared" si="89"/>
        <v>93.305642095357683</v>
      </c>
      <c r="AL120" s="20">
        <f t="shared" si="58"/>
        <v>872.32357664941446</v>
      </c>
      <c r="AM120" s="59">
        <f t="shared" si="59"/>
        <v>1153.826671830524</v>
      </c>
      <c r="AN120" s="59">
        <f ca="1">AVERAGE(OFFSET($AM$3,0,0,'Données projet'!$E$10+1,1))-AVERAGE(OFFSET($H$3,0,0,'Données projet'!$E$10+1,1))</f>
        <v>569.97793593332699</v>
      </c>
      <c r="AO120" s="59">
        <f t="shared" si="90"/>
        <v>331.25104323342907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129.70318273917223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129.70318273917223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277.99999999999994</v>
      </c>
      <c r="BE120" s="13">
        <f>BD120*VLOOKUP('Données projet'!$B$11,Paramètres!$A$1:$I$89,3,0)*VLOOKUP('Données projet'!$B$11,Paramètres!$A$1:$I$89,5,0)</f>
        <v>151.78799999999998</v>
      </c>
      <c r="BF120" s="13">
        <f t="shared" si="91"/>
        <v>38.984634390835623</v>
      </c>
      <c r="BG120" s="20">
        <f t="shared" si="61"/>
        <v>332.26233823070532</v>
      </c>
      <c r="BH120" s="59">
        <f t="shared" si="62"/>
        <v>613.76543341181491</v>
      </c>
      <c r="BI120" s="59">
        <f ca="1">AVERAGE(OFFSET($BH$3,0,0,'Données projet'!$E$11+1,1))-AVERAGE(OFFSET($H$3,0,0,'Données projet'!$E$11+1,1))</f>
        <v>215.37314197175104</v>
      </c>
      <c r="BJ120" s="59">
        <f t="shared" si="92"/>
        <v>361.17630426655978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6.553361031950109</v>
      </c>
      <c r="BQ120" s="21">
        <f>EXP(-LN(2)/25)*BQ119+(1-EXP(-LN(2)/25))/(LN(2)/25)*Calculateur!BL120*Calculateur!BN120*VLOOKUP('Données projet'!$B$11,Paramètres!$A$1:$I$89,3,0)*0.475*44/12</f>
        <v>8.6074481532462137</v>
      </c>
      <c r="BR120" s="21">
        <f>EXP(-LN(2)/2)*BR119+(1-EXP(-LN(2)/2))/(LN(2)/2)*BL120*BO120*VLOOKUP('Données projet'!$B$11,Paramètres!$A$1:$I$89,3,0)*0.475*44/12</f>
        <v>2.0383215886659811E-15</v>
      </c>
      <c r="BS120" s="22">
        <f t="shared" si="63"/>
        <v>15.160809185196324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0.8600000000003547</v>
      </c>
      <c r="BZ120" s="13">
        <f>BY120*VLOOKUP('Données projet'!$B$12,Paramètres!$A$1:$I$89,3,0)*VLOOKUP('Données projet'!$B$12,Paramètres!$A$1:$I$89,5,0)</f>
        <v>0.48074000000019829</v>
      </c>
      <c r="CA120" s="13">
        <f t="shared" si="93"/>
        <v>0.24126147010950588</v>
      </c>
      <c r="CB120" s="20">
        <f t="shared" si="64"/>
        <v>1.2574858937744013</v>
      </c>
      <c r="CC120" s="59">
        <f t="shared" si="65"/>
        <v>282.76058107488404</v>
      </c>
      <c r="CD120" s="59">
        <f ca="1">AVERAGE(OFFSET($CC$3,0,0,'Données projet'!$E$12+1,1))-AVERAGE(OFFSET($H$3,0,0,'Données projet'!$E$12+1,1))</f>
        <v>420.4890915162182</v>
      </c>
      <c r="CE120" s="59">
        <f t="shared" si="94"/>
        <v>553.48432338023565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108.90413657715125</v>
      </c>
      <c r="CL120" s="21">
        <f>EXP(-LN(2)/25)*CL119+(1-EXP(-LN(2)/25))/(LN(2)/25)*Calculateur!CG120*Calculateur!CI120*VLOOKUP('Données projet'!$B$12,Paramètres!$A$1:$I$89,3,0)*0.475*44/12</f>
        <v>4.5323087639896613</v>
      </c>
      <c r="CM120" s="21">
        <f>EXP(-LN(2)/2)*CM119+(1-EXP(-LN(2)/2))/(LN(2)/2)*CG120*CJ120*VLOOKUP('Données projet'!$B$12,Paramètres!$A$1:$I$89,3,0)*0.475*44/12</f>
        <v>5.9481274506589712E-14</v>
      </c>
      <c r="CN120" s="22">
        <f t="shared" si="66"/>
        <v>113.43644534114097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367.99999999999972</v>
      </c>
      <c r="CU120" s="17">
        <f>CT120*VLOOKUP('Données projet'!$B$13,Paramètres!$A$1:$I$89,3,0)*VLOOKUP('Données projet'!$B$13,Paramètres!$A$1:$I$89,5,0)</f>
        <v>269.8175999999998</v>
      </c>
      <c r="CV120" s="13">
        <f t="shared" si="95"/>
        <v>64.810557882019467</v>
      </c>
      <c r="CW120" s="20">
        <f t="shared" si="67"/>
        <v>582.81070831118348</v>
      </c>
      <c r="CX120" s="59">
        <f t="shared" si="68"/>
        <v>864.31380349229312</v>
      </c>
      <c r="CY120" s="59">
        <f ca="1">AVERAGE(OFFSET($CX$3,0,0,'Données projet'!$E$13+1,1))-AVERAGE(OFFSET($H$3,0,0,'Données projet'!$E$13+1,1))</f>
        <v>400.48995908576177</v>
      </c>
      <c r="CZ120" s="59">
        <f t="shared" si="96"/>
        <v>384.86917865380076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22.146223338210572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22.146223338210572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367.99999999999972</v>
      </c>
      <c r="DP120" s="17">
        <f>DO120*VLOOKUP('Données projet'!$B$14,Paramètres!$A$1:$I$89,3,0)*VLOOKUP('Données projet'!$B$14,Paramètres!$A$1:$I$89,5,0)</f>
        <v>292.78079999999977</v>
      </c>
      <c r="DQ120" s="13">
        <f t="shared" si="97"/>
        <v>69.660903052386217</v>
      </c>
      <c r="DR120" s="20">
        <f t="shared" si="70"/>
        <v>631.25263281623893</v>
      </c>
      <c r="DS120" s="59">
        <f t="shared" si="71"/>
        <v>912.75572799734857</v>
      </c>
      <c r="DT120" s="59">
        <f ca="1">AVERAGE(OFFSET($DS$3,0,0,'Données projet'!$E$14+1,1))-AVERAGE(OFFSET($H$3,0,0,'Données projet'!$E$14+1,1))</f>
        <v>429.30603040255431</v>
      </c>
      <c r="DU120" s="59">
        <f t="shared" si="98"/>
        <v>412.18613903804726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29.619614885295956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29.619614885295956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210.25641025641013</v>
      </c>
      <c r="EK120" s="17">
        <f>EJ120*VLOOKUP('Données projet'!$B$15,Paramètres!$A$1:$I$89,3,0)*VLOOKUP('Données projet'!$B$15,Paramètres!$A$1:$I$89,5,0)</f>
        <v>163.99999999999991</v>
      </c>
      <c r="EL120" s="13">
        <f t="shared" si="99"/>
        <v>41.743425908362248</v>
      </c>
      <c r="EM120" s="20">
        <f t="shared" si="73"/>
        <v>358.33646679039742</v>
      </c>
      <c r="EN120" s="59">
        <f t="shared" si="74"/>
        <v>639.83956197150701</v>
      </c>
      <c r="EO120" s="59">
        <f ca="1">AVERAGE(OFFSET($EN$3,0,0,'Données projet'!$E$15+1,1))-AVERAGE(OFFSET($H$3,0,0,'Données projet'!$E$15+1,1))</f>
        <v>217.53602321474159</v>
      </c>
      <c r="EP120" s="59">
        <f t="shared" si="100"/>
        <v>215.75909414893025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12.482286017554351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12.482286017554351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9.4029999999999916</v>
      </c>
      <c r="FE120" s="12">
        <f>IF('Données projet'!$A$218&gt;35,FE119+FD120-FM119,IF(A120&lt;'Données projet'!$A$218,$FB$205^A120,IF(A120='Données projet'!$A$218,'Données projet'!$B$218,FE119+FD120-FM119)))</f>
        <v>507.23400000000038</v>
      </c>
      <c r="FF120" s="17">
        <f>FE120*VLOOKUP('Données projet'!$B$16,Paramètres!$A$1:$I$89,3,0)*VLOOKUP('Données projet'!$B$16,Paramètres!$A$1:$I$89,5,0)</f>
        <v>340.25256720000027</v>
      </c>
      <c r="FG120" s="13">
        <f t="shared" si="101"/>
        <v>79.552126149016743</v>
      </c>
      <c r="FH120" s="20">
        <f t="shared" si="76"/>
        <v>731.15984091620464</v>
      </c>
      <c r="FI120" s="59">
        <f t="shared" si="77"/>
        <v>1012.6629360973143</v>
      </c>
      <c r="FJ120" s="59">
        <f ca="1">AVERAGE(OFFSET($FI$3,0,0,'Données projet'!$E$16+1,1))-AVERAGE(OFFSET($H$3,0,0,'Données projet'!$E$16+1,1))</f>
        <v>441.20130048888439</v>
      </c>
      <c r="FK120" s="59">
        <f t="shared" si="102"/>
        <v>237.47732532183946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103.48986484425474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103.48986484425474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204.00000000000017</v>
      </c>
      <c r="GA120" s="17">
        <f>FZ120*VLOOKUP('Données projet'!$B$17,Paramètres!$A$1:$I$89,3,0)*VLOOKUP('Données projet'!$B$17,Paramètres!$A$1:$I$89,5,0)</f>
        <v>133.66080000000011</v>
      </c>
      <c r="GB120" s="13">
        <f t="shared" si="103"/>
        <v>34.840890682716783</v>
      </c>
      <c r="GC120" s="20">
        <f t="shared" si="79"/>
        <v>293.4737779390652</v>
      </c>
      <c r="GD120" s="59">
        <f t="shared" si="80"/>
        <v>574.97687312017479</v>
      </c>
      <c r="GE120" s="59">
        <f ca="1">AVERAGE(OFFSET($GD$3,0,0,'Données projet'!$E$17+1,1))-AVERAGE(OFFSET($H$3,0,0,'Données projet'!$E$17+1,1))</f>
        <v>257.66104339896992</v>
      </c>
      <c r="GF120" s="59">
        <f t="shared" si="104"/>
        <v>254.79488636184996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23.089506149965164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23.089506149965164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234.00000000000003</v>
      </c>
      <c r="GV120" s="17">
        <f>GU120*VLOOKUP('Données projet'!$B$18,Paramètres!$A$1:$I$89,3,0)*VLOOKUP('Données projet'!$B$18,Paramètres!$A$1:$I$89,5,0)</f>
        <v>189.82080000000005</v>
      </c>
      <c r="GW120" s="13">
        <f t="shared" si="105"/>
        <v>47.500332100049796</v>
      </c>
      <c r="GX120" s="20">
        <f t="shared" si="82"/>
        <v>413.33430507425345</v>
      </c>
      <c r="GY120" s="59">
        <f t="shared" si="83"/>
        <v>694.83740025536304</v>
      </c>
      <c r="GZ120" s="59">
        <f ca="1">AVERAGE(OFFSET($GY$3,0,0,'Données projet'!$E$18+1,1))-AVERAGE(OFFSET($H$3,0,0,'Données projet'!$E$18+1,1))</f>
        <v>299.98377156721153</v>
      </c>
      <c r="HA120" s="59">
        <f t="shared" si="106"/>
        <v>241.36164657721102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22.245340785257845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22.245340785257845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9.4029999999999916</v>
      </c>
      <c r="N121" s="13">
        <f>IF('Données projet'!$A$36&gt;35,N120+M121-V120,IF(A121&lt;'Données projet'!$A$36,$K$205^A121,IF(A121='Données projet'!$A$36,'Données projet'!$B$36,N120+M121-V120)))</f>
        <v>516.6370000000004</v>
      </c>
      <c r="O121" s="13">
        <f>N121*VLOOKUP('Données projet'!$B$9,Paramètres!$A$1:$I$89,3,0)*VLOOKUP('Données projet'!$B$9,Paramètres!$A$1:$I$89,5,0)</f>
        <v>467.45315760000034</v>
      </c>
      <c r="P121" s="13">
        <f t="shared" si="87"/>
        <v>105.3252862310737</v>
      </c>
      <c r="Q121" s="20">
        <f t="shared" si="107"/>
        <v>997.5891230057872</v>
      </c>
      <c r="R121" s="59">
        <f t="shared" si="55"/>
        <v>1279.2974463703877</v>
      </c>
      <c r="S121" s="59">
        <f ca="1">AVERAGE(OFFSET($R$3,0,0,'Données projet'!$E$9+1,1))-AVERAGE(OFFSET($H$3,0,0,'Données projet'!$E$9+1,1))</f>
        <v>567.42635821507474</v>
      </c>
      <c r="T121" s="59">
        <f t="shared" si="88"/>
        <v>299.04735309930152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111.03223621887037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111.03223621887037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474.99999999999994</v>
      </c>
      <c r="AJ121" s="13">
        <f>AI121*VLOOKUP('Données projet'!$B$10,Paramètres!$A$1:$I$89,3,0)*VLOOKUP('Données projet'!$B$10,Paramètres!$A$1:$I$89,5,0)</f>
        <v>407.55</v>
      </c>
      <c r="AK121" s="13">
        <f t="shared" si="89"/>
        <v>93.305642095357683</v>
      </c>
      <c r="AL121" s="20">
        <f t="shared" si="58"/>
        <v>872.32357664941446</v>
      </c>
      <c r="AM121" s="59">
        <f t="shared" si="59"/>
        <v>1154.0319000140148</v>
      </c>
      <c r="AN121" s="59">
        <f ca="1">AVERAGE(OFFSET($AM$3,0,0,'Données projet'!$E$10+1,1))-AVERAGE(OFFSET($H$3,0,0,'Données projet'!$E$10+1,1))</f>
        <v>569.97793593332699</v>
      </c>
      <c r="AO121" s="59">
        <f t="shared" si="90"/>
        <v>331.25104323342907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127.15978243678697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127.15978243678697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277.99999999999994</v>
      </c>
      <c r="BE121" s="13">
        <f>BD121*VLOOKUP('Données projet'!$B$11,Paramètres!$A$1:$I$89,3,0)*VLOOKUP('Données projet'!$B$11,Paramètres!$A$1:$I$89,5,0)</f>
        <v>151.78799999999998</v>
      </c>
      <c r="BF121" s="13">
        <f t="shared" si="91"/>
        <v>38.984634390835623</v>
      </c>
      <c r="BG121" s="20">
        <f t="shared" si="61"/>
        <v>332.26233823070532</v>
      </c>
      <c r="BH121" s="59">
        <f t="shared" si="62"/>
        <v>613.97066159530573</v>
      </c>
      <c r="BI121" s="59">
        <f ca="1">AVERAGE(OFFSET($BH$3,0,0,'Données projet'!$E$11+1,1))-AVERAGE(OFFSET($H$3,0,0,'Données projet'!$E$11+1,1))</f>
        <v>215.37314197175104</v>
      </c>
      <c r="BJ121" s="59">
        <f t="shared" si="92"/>
        <v>361.17630426655978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6.4248536192691104</v>
      </c>
      <c r="BQ121" s="21">
        <f>EXP(-LN(2)/25)*BQ120+(1-EXP(-LN(2)/25))/(LN(2)/25)*Calculateur!BL121*Calculateur!BN121*VLOOKUP('Données projet'!$B$11,Paramètres!$A$1:$I$89,3,0)*0.475*44/12</f>
        <v>8.3720770308496704</v>
      </c>
      <c r="BR121" s="21">
        <f>EXP(-LN(2)/2)*BR120+(1-EXP(-LN(2)/2))/(LN(2)/2)*BL121*BO121*VLOOKUP('Données projet'!$B$11,Paramètres!$A$1:$I$89,3,0)*0.475*44/12</f>
        <v>1.4413110175846518E-15</v>
      </c>
      <c r="BS121" s="22">
        <f t="shared" si="63"/>
        <v>14.796930650118783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0.8600000000003547</v>
      </c>
      <c r="BZ121" s="13">
        <f>BY121*VLOOKUP('Données projet'!$B$12,Paramètres!$A$1:$I$89,3,0)*VLOOKUP('Données projet'!$B$12,Paramètres!$A$1:$I$89,5,0)</f>
        <v>0.48074000000019829</v>
      </c>
      <c r="CA121" s="13">
        <f t="shared" si="93"/>
        <v>0.24126147010950588</v>
      </c>
      <c r="CB121" s="20">
        <f t="shared" si="64"/>
        <v>1.2574858937744013</v>
      </c>
      <c r="CC121" s="59">
        <f t="shared" si="65"/>
        <v>282.9658092583748</v>
      </c>
      <c r="CD121" s="59">
        <f ca="1">AVERAGE(OFFSET($CC$3,0,0,'Données projet'!$E$12+1,1))-AVERAGE(OFFSET($H$3,0,0,'Données projet'!$E$12+1,1))</f>
        <v>420.4890915162182</v>
      </c>
      <c r="CE121" s="59">
        <f t="shared" si="94"/>
        <v>553.48432338023565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106.7685928838377</v>
      </c>
      <c r="CL121" s="21">
        <f>EXP(-LN(2)/25)*CL120+(1-EXP(-LN(2)/25))/(LN(2)/25)*Calculateur!CG121*Calculateur!CI121*VLOOKUP('Données projet'!$B$12,Paramètres!$A$1:$I$89,3,0)*0.475*44/12</f>
        <v>4.4083725424946048</v>
      </c>
      <c r="CM121" s="21">
        <f>EXP(-LN(2)/2)*CM120+(1-EXP(-LN(2)/2))/(LN(2)/2)*CG121*CJ121*VLOOKUP('Données projet'!$B$12,Paramètres!$A$1:$I$89,3,0)*0.475*44/12</f>
        <v>4.20596125572281E-14</v>
      </c>
      <c r="CN121" s="22">
        <f t="shared" si="66"/>
        <v>111.17696542633234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367.99999999999972</v>
      </c>
      <c r="CU121" s="17">
        <f>CT121*VLOOKUP('Données projet'!$B$13,Paramètres!$A$1:$I$89,3,0)*VLOOKUP('Données projet'!$B$13,Paramètres!$A$1:$I$89,5,0)</f>
        <v>269.8175999999998</v>
      </c>
      <c r="CV121" s="13">
        <f t="shared" si="95"/>
        <v>64.810557882019467</v>
      </c>
      <c r="CW121" s="20">
        <f t="shared" si="67"/>
        <v>582.81070831118348</v>
      </c>
      <c r="CX121" s="59">
        <f t="shared" si="68"/>
        <v>864.51903167578394</v>
      </c>
      <c r="CY121" s="59">
        <f ca="1">AVERAGE(OFFSET($CX$3,0,0,'Données projet'!$E$13+1,1))-AVERAGE(OFFSET($H$3,0,0,'Données projet'!$E$13+1,1))</f>
        <v>400.48995908576177</v>
      </c>
      <c r="CZ121" s="59">
        <f t="shared" si="96"/>
        <v>384.86917865380076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21.711949406410707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21.711949406410707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367.99999999999972</v>
      </c>
      <c r="DP121" s="17">
        <f>DO121*VLOOKUP('Données projet'!$B$14,Paramètres!$A$1:$I$89,3,0)*VLOOKUP('Données projet'!$B$14,Paramètres!$A$1:$I$89,5,0)</f>
        <v>292.78079999999977</v>
      </c>
      <c r="DQ121" s="13">
        <f t="shared" si="97"/>
        <v>69.660903052386217</v>
      </c>
      <c r="DR121" s="20">
        <f t="shared" si="70"/>
        <v>631.25263281623893</v>
      </c>
      <c r="DS121" s="59">
        <f t="shared" si="71"/>
        <v>912.96095618083928</v>
      </c>
      <c r="DT121" s="59">
        <f ca="1">AVERAGE(OFFSET($DS$3,0,0,'Données projet'!$E$14+1,1))-AVERAGE(OFFSET($H$3,0,0,'Données projet'!$E$14+1,1))</f>
        <v>429.30603040255431</v>
      </c>
      <c r="DU121" s="59">
        <f t="shared" si="98"/>
        <v>412.18613903804726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29.038792303576496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29.038792303576496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210.25641025641013</v>
      </c>
      <c r="EK121" s="17">
        <f>EJ121*VLOOKUP('Données projet'!$B$15,Paramètres!$A$1:$I$89,3,0)*VLOOKUP('Données projet'!$B$15,Paramètres!$A$1:$I$89,5,0)</f>
        <v>163.99999999999991</v>
      </c>
      <c r="EL121" s="13">
        <f t="shared" si="99"/>
        <v>41.743425908362248</v>
      </c>
      <c r="EM121" s="20">
        <f t="shared" si="73"/>
        <v>358.33646679039742</v>
      </c>
      <c r="EN121" s="59">
        <f t="shared" si="74"/>
        <v>640.04479015499783</v>
      </c>
      <c r="EO121" s="59">
        <f ca="1">AVERAGE(OFFSET($EN$3,0,0,'Données projet'!$E$15+1,1))-AVERAGE(OFFSET($H$3,0,0,'Données projet'!$E$15+1,1))</f>
        <v>217.53602321474159</v>
      </c>
      <c r="EP121" s="59">
        <f t="shared" si="100"/>
        <v>215.75909414893025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12.237516002192816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12.237516002192816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9.4029999999999916</v>
      </c>
      <c r="FE121" s="12">
        <f>IF('Données projet'!$A$218&gt;35,FE120+FD121-FM120,IF(A121&lt;'Données projet'!$A$218,$FB$205^A121,IF(A121='Données projet'!$A$218,'Données projet'!$B$218,FE120+FD121-FM120)))</f>
        <v>516.6370000000004</v>
      </c>
      <c r="FF121" s="17">
        <f>FE121*VLOOKUP('Données projet'!$B$16,Paramètres!$A$1:$I$89,3,0)*VLOOKUP('Données projet'!$B$16,Paramètres!$A$1:$I$89,5,0)</f>
        <v>346.56009960000029</v>
      </c>
      <c r="FG121" s="13">
        <f t="shared" si="101"/>
        <v>80.853793372492134</v>
      </c>
      <c r="FH121" s="20">
        <f t="shared" si="76"/>
        <v>744.41253026042432</v>
      </c>
      <c r="FI121" s="59">
        <f t="shared" si="77"/>
        <v>1026.1208536250247</v>
      </c>
      <c r="FJ121" s="59">
        <f ca="1">AVERAGE(OFFSET($FI$3,0,0,'Données projet'!$E$16+1,1))-AVERAGE(OFFSET($H$3,0,0,'Données projet'!$E$16+1,1))</f>
        <v>441.20130048888439</v>
      </c>
      <c r="FK121" s="59">
        <f t="shared" si="102"/>
        <v>237.47732532183946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101.46049171724363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101.46049171724363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204.00000000000017</v>
      </c>
      <c r="GA121" s="17">
        <f>FZ121*VLOOKUP('Données projet'!$B$17,Paramètres!$A$1:$I$89,3,0)*VLOOKUP('Données projet'!$B$17,Paramètres!$A$1:$I$89,5,0)</f>
        <v>133.66080000000011</v>
      </c>
      <c r="GB121" s="13">
        <f t="shared" si="103"/>
        <v>34.840890682716783</v>
      </c>
      <c r="GC121" s="20">
        <f t="shared" si="79"/>
        <v>293.4737779390652</v>
      </c>
      <c r="GD121" s="59">
        <f t="shared" si="80"/>
        <v>575.1821013036656</v>
      </c>
      <c r="GE121" s="59">
        <f ca="1">AVERAGE(OFFSET($GD$3,0,0,'Données projet'!$E$17+1,1))-AVERAGE(OFFSET($H$3,0,0,'Données projet'!$E$17+1,1))</f>
        <v>257.66104339896992</v>
      </c>
      <c r="GF121" s="59">
        <f t="shared" si="104"/>
        <v>254.79488636184996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22.636735017572498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22.636735017572498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234.00000000000003</v>
      </c>
      <c r="GV121" s="17">
        <f>GU121*VLOOKUP('Données projet'!$B$18,Paramètres!$A$1:$I$89,3,0)*VLOOKUP('Données projet'!$B$18,Paramètres!$A$1:$I$89,5,0)</f>
        <v>189.82080000000005</v>
      </c>
      <c r="GW121" s="13">
        <f t="shared" si="105"/>
        <v>47.500332100049796</v>
      </c>
      <c r="GX121" s="20">
        <f t="shared" si="82"/>
        <v>413.33430507425345</v>
      </c>
      <c r="GY121" s="59">
        <f t="shared" si="83"/>
        <v>695.04262843885385</v>
      </c>
      <c r="GZ121" s="59">
        <f ca="1">AVERAGE(OFFSET($GY$3,0,0,'Données projet'!$E$18+1,1))-AVERAGE(OFFSET($H$3,0,0,'Données projet'!$E$18+1,1))</f>
        <v>299.98377156721153</v>
      </c>
      <c r="HA121" s="59">
        <f t="shared" si="106"/>
        <v>241.36164657721102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21.809123220777057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21.809123220777057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526.04</v>
      </c>
      <c r="L122" s="12">
        <f>VLOOKUP(A122,'Données projet'!$A$35:$I$55,9,0)</f>
        <v>9.4029999999999916</v>
      </c>
      <c r="M122" s="12">
        <f t="array" ref="M122">INDEX(L:L,MIN(IF(ISNUMBER(L122:L318),ROW(L122:L318),"")))</f>
        <v>9.4029999999999916</v>
      </c>
      <c r="N122" s="13">
        <f>IF('Données projet'!$A$36&gt;35,N121+M122-V121,IF(A122&lt;'Données projet'!$A$36,$K$205^A122,IF(A122='Données projet'!$A$36,'Données projet'!$B$36,N121+M122-V121)))</f>
        <v>526.04000000000042</v>
      </c>
      <c r="O122" s="13">
        <f>N122*VLOOKUP('Données projet'!$B$9,Paramètres!$A$1:$I$89,3,0)*VLOOKUP('Données projet'!$B$9,Paramètres!$A$1:$I$89,5,0)</f>
        <v>475.96099200000037</v>
      </c>
      <c r="P122" s="13">
        <f t="shared" si="87"/>
        <v>107.01733197112763</v>
      </c>
      <c r="Q122" s="20">
        <f t="shared" si="107"/>
        <v>1015.3539142497146</v>
      </c>
      <c r="R122" s="59">
        <f t="shared" si="55"/>
        <v>1297.2639055476438</v>
      </c>
      <c r="S122" s="59">
        <f ca="1">AVERAGE(OFFSET($R$3,0,0,'Données projet'!$E$9+1,1))-AVERAGE(OFFSET($H$3,0,0,'Données projet'!$E$9+1,1))</f>
        <v>567.42635821507474</v>
      </c>
      <c r="T122" s="59">
        <f t="shared" si="88"/>
        <v>299.04735309930152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196.46</v>
      </c>
      <c r="W122" s="16">
        <f>IF(ISNA(VLOOKUP(A122,'Données projet'!$A$35:$I$55,5,0)),0%,VLOOKUP(A122,'Données projet'!$A$35:$I$55,5,0)*VLOOKUP('Données projet'!$B$9,Paramètres!$A$1:$I$89,7,0))</f>
        <v>0.43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193.35215784190802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193.35215784190802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474.99999999999994</v>
      </c>
      <c r="AJ122" s="13">
        <f>AI122*VLOOKUP('Données projet'!$B$10,Paramètres!$A$1:$I$89,3,0)*VLOOKUP('Données projet'!$B$10,Paramètres!$A$1:$I$89,5,0)</f>
        <v>407.55</v>
      </c>
      <c r="AK122" s="13">
        <f t="shared" si="89"/>
        <v>93.305642095357683</v>
      </c>
      <c r="AL122" s="20">
        <f t="shared" si="58"/>
        <v>872.32357664941446</v>
      </c>
      <c r="AM122" s="59">
        <f t="shared" si="59"/>
        <v>1154.2335679473435</v>
      </c>
      <c r="AN122" s="59">
        <f ca="1">AVERAGE(OFFSET($AM$3,0,0,'Données projet'!$E$10+1,1))-AVERAGE(OFFSET($H$3,0,0,'Données projet'!$E$10+1,1))</f>
        <v>569.97793593332699</v>
      </c>
      <c r="AO122" s="59">
        <f t="shared" si="90"/>
        <v>331.25104323342907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124.66625666301047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124.66625666301047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277.99999999999994</v>
      </c>
      <c r="BE122" s="13">
        <f>BD122*VLOOKUP('Données projet'!$B$11,Paramètres!$A$1:$I$89,3,0)*VLOOKUP('Données projet'!$B$11,Paramètres!$A$1:$I$89,5,0)</f>
        <v>151.78799999999998</v>
      </c>
      <c r="BF122" s="13">
        <f t="shared" si="91"/>
        <v>38.984634390835623</v>
      </c>
      <c r="BG122" s="20">
        <f t="shared" si="61"/>
        <v>332.26233823070532</v>
      </c>
      <c r="BH122" s="59">
        <f t="shared" si="62"/>
        <v>614.17232952863446</v>
      </c>
      <c r="BI122" s="59">
        <f ca="1">AVERAGE(OFFSET($BH$3,0,0,'Données projet'!$E$11+1,1))-AVERAGE(OFFSET($H$3,0,0,'Données projet'!$E$11+1,1))</f>
        <v>215.37314197175104</v>
      </c>
      <c r="BJ122" s="59">
        <f t="shared" si="92"/>
        <v>361.17630426655978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6.2988661585690044</v>
      </c>
      <c r="BQ122" s="21">
        <f>EXP(-LN(2)/25)*BQ121+(1-EXP(-LN(2)/25))/(LN(2)/25)*Calculateur!BL122*Calculateur!BN122*VLOOKUP('Données projet'!$B$11,Paramètres!$A$1:$I$89,3,0)*0.475*44/12</f>
        <v>8.143142144172689</v>
      </c>
      <c r="BR122" s="21">
        <f>EXP(-LN(2)/2)*BR121+(1-EXP(-LN(2)/2))/(LN(2)/2)*BL122*BO122*VLOOKUP('Données projet'!$B$11,Paramètres!$A$1:$I$89,3,0)*0.475*44/12</f>
        <v>1.0191607943329905E-15</v>
      </c>
      <c r="BS122" s="22">
        <f t="shared" si="63"/>
        <v>14.442008302741696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0.8600000000003547</v>
      </c>
      <c r="BZ122" s="13">
        <f>BY122*VLOOKUP('Données projet'!$B$12,Paramètres!$A$1:$I$89,3,0)*VLOOKUP('Données projet'!$B$12,Paramètres!$A$1:$I$89,5,0)</f>
        <v>0.48074000000019829</v>
      </c>
      <c r="CA122" s="13">
        <f t="shared" si="93"/>
        <v>0.24126147010950588</v>
      </c>
      <c r="CB122" s="20">
        <f t="shared" si="64"/>
        <v>1.2574858937744013</v>
      </c>
      <c r="CC122" s="59">
        <f t="shared" si="65"/>
        <v>283.16747719170354</v>
      </c>
      <c r="CD122" s="59">
        <f ca="1">AVERAGE(OFFSET($CC$3,0,0,'Données projet'!$E$12+1,1))-AVERAGE(OFFSET($H$3,0,0,'Données projet'!$E$12+1,1))</f>
        <v>420.4890915162182</v>
      </c>
      <c r="CE122" s="59">
        <f t="shared" si="94"/>
        <v>553.48432338023565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104.67492589979699</v>
      </c>
      <c r="CL122" s="21">
        <f>EXP(-LN(2)/25)*CL121+(1-EXP(-LN(2)/25))/(LN(2)/25)*Calculateur!CG122*Calculateur!CI122*VLOOKUP('Données projet'!$B$12,Paramètres!$A$1:$I$89,3,0)*0.475*44/12</f>
        <v>4.2878253634938535</v>
      </c>
      <c r="CM122" s="21">
        <f>EXP(-LN(2)/2)*CM121+(1-EXP(-LN(2)/2))/(LN(2)/2)*CG122*CJ122*VLOOKUP('Données projet'!$B$12,Paramètres!$A$1:$I$89,3,0)*0.475*44/12</f>
        <v>2.9740637253294856E-14</v>
      </c>
      <c r="CN122" s="22">
        <f t="shared" si="66"/>
        <v>108.96275126329087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367.99999999999972</v>
      </c>
      <c r="CU122" s="17">
        <f>CT122*VLOOKUP('Données projet'!$B$13,Paramètres!$A$1:$I$89,3,0)*VLOOKUP('Données projet'!$B$13,Paramètres!$A$1:$I$89,5,0)</f>
        <v>269.8175999999998</v>
      </c>
      <c r="CV122" s="13">
        <f t="shared" si="95"/>
        <v>64.810557882019467</v>
      </c>
      <c r="CW122" s="20">
        <f t="shared" si="67"/>
        <v>582.81070831118348</v>
      </c>
      <c r="CX122" s="59">
        <f t="shared" si="68"/>
        <v>864.72069960911267</v>
      </c>
      <c r="CY122" s="59">
        <f ca="1">AVERAGE(OFFSET($CX$3,0,0,'Données projet'!$E$13+1,1))-AVERAGE(OFFSET($H$3,0,0,'Données projet'!$E$13+1,1))</f>
        <v>400.48995908576177</v>
      </c>
      <c r="CZ122" s="59">
        <f t="shared" si="96"/>
        <v>384.86917865380076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21.286191321532495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21.286191321532495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367.99999999999972</v>
      </c>
      <c r="DP122" s="17">
        <f>DO122*VLOOKUP('Données projet'!$B$14,Paramètres!$A$1:$I$89,3,0)*VLOOKUP('Données projet'!$B$14,Paramètres!$A$1:$I$89,5,0)</f>
        <v>292.78079999999977</v>
      </c>
      <c r="DQ122" s="13">
        <f t="shared" si="97"/>
        <v>69.660903052386217</v>
      </c>
      <c r="DR122" s="20">
        <f t="shared" si="70"/>
        <v>631.25263281623893</v>
      </c>
      <c r="DS122" s="59">
        <f t="shared" si="71"/>
        <v>913.16262411416801</v>
      </c>
      <c r="DT122" s="59">
        <f ca="1">AVERAGE(OFFSET($DS$3,0,0,'Données projet'!$E$14+1,1))-AVERAGE(OFFSET($H$3,0,0,'Données projet'!$E$14+1,1))</f>
        <v>429.30603040255431</v>
      </c>
      <c r="DU122" s="59">
        <f t="shared" si="98"/>
        <v>412.18613903804726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28.469359298417761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28.469359298417761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210.25641025641013</v>
      </c>
      <c r="EK122" s="17">
        <f>EJ122*VLOOKUP('Données projet'!$B$15,Paramètres!$A$1:$I$89,3,0)*VLOOKUP('Données projet'!$B$15,Paramètres!$A$1:$I$89,5,0)</f>
        <v>163.99999999999991</v>
      </c>
      <c r="EL122" s="13">
        <f t="shared" si="99"/>
        <v>41.743425908362248</v>
      </c>
      <c r="EM122" s="20">
        <f t="shared" si="73"/>
        <v>358.33646679039742</v>
      </c>
      <c r="EN122" s="59">
        <f t="shared" si="74"/>
        <v>640.24645808832656</v>
      </c>
      <c r="EO122" s="59">
        <f ca="1">AVERAGE(OFFSET($EN$3,0,0,'Données projet'!$E$15+1,1))-AVERAGE(OFFSET($H$3,0,0,'Données projet'!$E$15+1,1))</f>
        <v>217.53602321474159</v>
      </c>
      <c r="EP122" s="59">
        <f t="shared" si="100"/>
        <v>215.75909414893025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11.997545777537553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11.997545777537553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>
        <f>VLOOKUP(A122,'Données projet'!$A$217:$I$237,2,0)</f>
        <v>526.04</v>
      </c>
      <c r="FC122" s="12">
        <f>VLOOKUP(A122,'Données projet'!$A$217:$I$237,9,0)</f>
        <v>9.4029999999999916</v>
      </c>
      <c r="FD122" s="12">
        <f t="array" ref="FD122">INDEX(FC:FC,MIN(IF(ISNUMBER(FC122:FC318),ROW(FC122:FC318),"")))</f>
        <v>9.4029999999999916</v>
      </c>
      <c r="FE122" s="12">
        <f>IF('Données projet'!$A$218&gt;35,FE121+FD122-FM121,IF(A122&lt;'Données projet'!$A$218,$FB$205^A122,IF(A122='Données projet'!$A$218,'Données projet'!$B$218,FE121+FD122-FM121)))</f>
        <v>526.04000000000042</v>
      </c>
      <c r="FF122" s="17">
        <f>FE122*VLOOKUP('Données projet'!$B$16,Paramètres!$A$1:$I$89,3,0)*VLOOKUP('Données projet'!$B$16,Paramètres!$A$1:$I$89,5,0)</f>
        <v>352.8676320000003</v>
      </c>
      <c r="FG122" s="13">
        <f t="shared" si="101"/>
        <v>82.152705737591219</v>
      </c>
      <c r="FH122" s="20">
        <f t="shared" si="76"/>
        <v>757.66042155963851</v>
      </c>
      <c r="FI122" s="59">
        <f t="shared" si="77"/>
        <v>1039.5704128575676</v>
      </c>
      <c r="FJ122" s="59">
        <f ca="1">AVERAGE(OFFSET($FI$3,0,0,'Données projet'!$E$16+1,1))-AVERAGE(OFFSET($H$3,0,0,'Données projet'!$E$16+1,1))</f>
        <v>441.20130048888439</v>
      </c>
      <c r="FK122" s="59">
        <f t="shared" si="102"/>
        <v>237.47732532183946</v>
      </c>
      <c r="FL122" s="15">
        <f>IF(ISNA(VLOOKUP(A122,'Données projet'!$A$217:$I$237,3,0)),0,VLOOKUP(A122,'Données projet'!$A$217:$I$237,3,0))</f>
        <v>11</v>
      </c>
      <c r="FM122" s="15">
        <f>IF(ISNA(VLOOKUP(A122,'Données projet'!$A$217:$I$237,4,0)),0,VLOOKUP(A122,'Données projet'!$A$217:$I$237,4,0))</f>
        <v>196.46</v>
      </c>
      <c r="FN122" s="16">
        <f>IF(ISNA(VLOOKUP(A122,'Données projet'!$A$217:$I$237,5,0)),0%,VLOOKUP(A122,'Données projet'!$A$217:$I$237,5,0)*VLOOKUP('Données projet'!$B$16,Paramètres!$A$1:$I$89,7,0))</f>
        <v>0.53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176.68386837277805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176.68386837277805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204.00000000000017</v>
      </c>
      <c r="GA122" s="17">
        <f>FZ122*VLOOKUP('Données projet'!$B$17,Paramètres!$A$1:$I$89,3,0)*VLOOKUP('Données projet'!$B$17,Paramètres!$A$1:$I$89,5,0)</f>
        <v>133.66080000000011</v>
      </c>
      <c r="GB122" s="13">
        <f t="shared" si="103"/>
        <v>34.840890682716783</v>
      </c>
      <c r="GC122" s="20">
        <f t="shared" si="79"/>
        <v>293.4737779390652</v>
      </c>
      <c r="GD122" s="59">
        <f t="shared" si="80"/>
        <v>575.38376923699434</v>
      </c>
      <c r="GE122" s="59">
        <f ca="1">AVERAGE(OFFSET($GD$3,0,0,'Données projet'!$E$17+1,1))-AVERAGE(OFFSET($H$3,0,0,'Données projet'!$E$17+1,1))</f>
        <v>257.66104339896992</v>
      </c>
      <c r="GF122" s="59">
        <f t="shared" si="104"/>
        <v>254.79488636184996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22.192842450922928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22.192842450922928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234.00000000000003</v>
      </c>
      <c r="GV122" s="17">
        <f>GU122*VLOOKUP('Données projet'!$B$18,Paramètres!$A$1:$I$89,3,0)*VLOOKUP('Données projet'!$B$18,Paramètres!$A$1:$I$89,5,0)</f>
        <v>189.82080000000005</v>
      </c>
      <c r="GW122" s="13">
        <f t="shared" si="105"/>
        <v>47.500332100049796</v>
      </c>
      <c r="GX122" s="20">
        <f t="shared" si="82"/>
        <v>413.33430507425345</v>
      </c>
      <c r="GY122" s="59">
        <f t="shared" si="83"/>
        <v>695.24429637218259</v>
      </c>
      <c r="GZ122" s="59">
        <f ca="1">AVERAGE(OFFSET($GY$3,0,0,'Données projet'!$E$18+1,1))-AVERAGE(OFFSET($H$3,0,0,'Données projet'!$E$18+1,1))</f>
        <v>299.98377156721153</v>
      </c>
      <c r="HA122" s="59">
        <f t="shared" si="106"/>
        <v>241.36164657721102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21.381459616669297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21.381459616669297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-0.37249999999998806</v>
      </c>
      <c r="N123" s="13">
        <f>IF('Données projet'!$A$36&gt;35,N122+M123-V122,IF(A123&lt;'Données projet'!$A$36,$K$205^A123,IF(A123='Données projet'!$A$36,'Données projet'!$B$36,N122+M123-V122)))</f>
        <v>329.20750000000044</v>
      </c>
      <c r="O123" s="13">
        <f>N123*VLOOKUP('Données projet'!$B$9,Paramètres!$A$1:$I$89,3,0)*VLOOKUP('Données projet'!$B$9,Paramètres!$A$1:$I$89,5,0)</f>
        <v>297.86694600000038</v>
      </c>
      <c r="P123" s="13">
        <f t="shared" si="87"/>
        <v>70.729107889768898</v>
      </c>
      <c r="Q123" s="20">
        <f t="shared" si="107"/>
        <v>641.97146052468145</v>
      </c>
      <c r="R123" s="59">
        <f t="shared" si="55"/>
        <v>924.07962126815801</v>
      </c>
      <c r="S123" s="59">
        <f ca="1">AVERAGE(OFFSET($R$3,0,0,'Données projet'!$E$9+1,1))-AVERAGE(OFFSET($H$3,0,0,'Données projet'!$E$9+1,1))</f>
        <v>567.42635821507474</v>
      </c>
      <c r="T123" s="59">
        <f t="shared" si="88"/>
        <v>299.04735309930152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189.56063995979954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189.56063995979954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474.99999999999994</v>
      </c>
      <c r="AJ123" s="13">
        <f>AI123*VLOOKUP('Données projet'!$B$10,Paramètres!$A$1:$I$89,3,0)*VLOOKUP('Données projet'!$B$10,Paramètres!$A$1:$I$89,5,0)</f>
        <v>407.55</v>
      </c>
      <c r="AK123" s="13">
        <f t="shared" si="89"/>
        <v>93.305642095357683</v>
      </c>
      <c r="AL123" s="20">
        <f t="shared" si="58"/>
        <v>872.32357664941446</v>
      </c>
      <c r="AM123" s="59">
        <f t="shared" si="59"/>
        <v>1154.4317373928911</v>
      </c>
      <c r="AN123" s="59">
        <f ca="1">AVERAGE(OFFSET($AM$3,0,0,'Données projet'!$E$10+1,1))-AVERAGE(OFFSET($H$3,0,0,'Données projet'!$E$10+1,1))</f>
        <v>569.97793593332699</v>
      </c>
      <c r="AO123" s="59">
        <f t="shared" si="90"/>
        <v>331.25104323342907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122.22162740875719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122.22162740875719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277.99999999999994</v>
      </c>
      <c r="BE123" s="13">
        <f>BD123*VLOOKUP('Données projet'!$B$11,Paramètres!$A$1:$I$89,3,0)*VLOOKUP('Données projet'!$B$11,Paramètres!$A$1:$I$89,5,0)</f>
        <v>151.78799999999998</v>
      </c>
      <c r="BF123" s="13">
        <f t="shared" si="91"/>
        <v>38.984634390835623</v>
      </c>
      <c r="BG123" s="20">
        <f t="shared" si="61"/>
        <v>332.26233823070532</v>
      </c>
      <c r="BH123" s="59">
        <f t="shared" si="62"/>
        <v>614.37049897418194</v>
      </c>
      <c r="BI123" s="59">
        <f ca="1">AVERAGE(OFFSET($BH$3,0,0,'Données projet'!$E$11+1,1))-AVERAGE(OFFSET($H$3,0,0,'Données projet'!$E$11+1,1))</f>
        <v>215.37314197175104</v>
      </c>
      <c r="BJ123" s="59">
        <f t="shared" si="92"/>
        <v>361.17630426655978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6.175349235128464</v>
      </c>
      <c r="BQ123" s="21">
        <f>EXP(-LN(2)/25)*BQ122+(1-EXP(-LN(2)/25))/(LN(2)/25)*Calculateur!BL123*Calculateur!BN123*VLOOKUP('Données projet'!$B$11,Paramètres!$A$1:$I$89,3,0)*0.475*44/12</f>
        <v>7.9204674940110529</v>
      </c>
      <c r="BR123" s="21">
        <f>EXP(-LN(2)/2)*BR122+(1-EXP(-LN(2)/2))/(LN(2)/2)*BL123*BO123*VLOOKUP('Données projet'!$B$11,Paramètres!$A$1:$I$89,3,0)*0.475*44/12</f>
        <v>7.2065550879232592E-16</v>
      </c>
      <c r="BS123" s="22">
        <f t="shared" si="63"/>
        <v>14.095816729139518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0.8600000000003547</v>
      </c>
      <c r="BZ123" s="13">
        <f>BY123*VLOOKUP('Données projet'!$B$12,Paramètres!$A$1:$I$89,3,0)*VLOOKUP('Données projet'!$B$12,Paramètres!$A$1:$I$89,5,0)</f>
        <v>0.48074000000019829</v>
      </c>
      <c r="CA123" s="13">
        <f t="shared" si="93"/>
        <v>0.24126147010950588</v>
      </c>
      <c r="CB123" s="20">
        <f t="shared" si="64"/>
        <v>1.2574858937744013</v>
      </c>
      <c r="CC123" s="59">
        <f t="shared" si="65"/>
        <v>283.36564663725102</v>
      </c>
      <c r="CD123" s="59">
        <f ca="1">AVERAGE(OFFSET($CC$3,0,0,'Données projet'!$E$12+1,1))-AVERAGE(OFFSET($H$3,0,0,'Données projet'!$E$12+1,1))</f>
        <v>420.4890915162182</v>
      </c>
      <c r="CE123" s="59">
        <f t="shared" si="94"/>
        <v>553.48432338023565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102.62231444830256</v>
      </c>
      <c r="CL123" s="21">
        <f>EXP(-LN(2)/25)*CL122+(1-EXP(-LN(2)/25))/(LN(2)/25)*Calculateur!CG123*Calculateur!CI123*VLOOKUP('Données projet'!$B$12,Paramètres!$A$1:$I$89,3,0)*0.475*44/12</f>
        <v>4.1705745534421785</v>
      </c>
      <c r="CM123" s="21">
        <f>EXP(-LN(2)/2)*CM122+(1-EXP(-LN(2)/2))/(LN(2)/2)*CG123*CJ123*VLOOKUP('Données projet'!$B$12,Paramètres!$A$1:$I$89,3,0)*0.475*44/12</f>
        <v>2.102980627861405E-14</v>
      </c>
      <c r="CN123" s="22">
        <f t="shared" si="66"/>
        <v>106.79288900174475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367.99999999999972</v>
      </c>
      <c r="CU123" s="17">
        <f>CT123*VLOOKUP('Données projet'!$B$13,Paramètres!$A$1:$I$89,3,0)*VLOOKUP('Données projet'!$B$13,Paramètres!$A$1:$I$89,5,0)</f>
        <v>269.8175999999998</v>
      </c>
      <c r="CV123" s="13">
        <f t="shared" si="95"/>
        <v>64.810557882019467</v>
      </c>
      <c r="CW123" s="20">
        <f t="shared" si="67"/>
        <v>582.81070831118348</v>
      </c>
      <c r="CX123" s="59">
        <f t="shared" si="68"/>
        <v>864.91886905466004</v>
      </c>
      <c r="CY123" s="59">
        <f ca="1">AVERAGE(OFFSET($CX$3,0,0,'Données projet'!$E$13+1,1))-AVERAGE(OFFSET($H$3,0,0,'Données projet'!$E$13+1,1))</f>
        <v>400.48995908576177</v>
      </c>
      <c r="CZ123" s="59">
        <f t="shared" si="96"/>
        <v>384.86917865380076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20.868782093011955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20.868782093011955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367.99999999999972</v>
      </c>
      <c r="DP123" s="17">
        <f>DO123*VLOOKUP('Données projet'!$B$14,Paramètres!$A$1:$I$89,3,0)*VLOOKUP('Données projet'!$B$14,Paramètres!$A$1:$I$89,5,0)</f>
        <v>292.78079999999977</v>
      </c>
      <c r="DQ123" s="13">
        <f t="shared" si="97"/>
        <v>69.660903052386217</v>
      </c>
      <c r="DR123" s="20">
        <f t="shared" si="70"/>
        <v>631.25263281623893</v>
      </c>
      <c r="DS123" s="59">
        <f t="shared" si="71"/>
        <v>913.3607935597156</v>
      </c>
      <c r="DT123" s="59">
        <f ca="1">AVERAGE(OFFSET($DS$3,0,0,'Données projet'!$E$14+1,1))-AVERAGE(OFFSET($H$3,0,0,'Données projet'!$E$14+1,1))</f>
        <v>429.30603040255431</v>
      </c>
      <c r="DU123" s="59">
        <f t="shared" si="98"/>
        <v>412.18613903804726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27.91109252717035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27.91109252717035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210.25641025641013</v>
      </c>
      <c r="EK123" s="17">
        <f>EJ123*VLOOKUP('Données projet'!$B$15,Paramètres!$A$1:$I$89,3,0)*VLOOKUP('Données projet'!$B$15,Paramètres!$A$1:$I$89,5,0)</f>
        <v>163.99999999999991</v>
      </c>
      <c r="EL123" s="13">
        <f t="shared" si="99"/>
        <v>41.743425908362248</v>
      </c>
      <c r="EM123" s="20">
        <f t="shared" si="73"/>
        <v>358.33646679039742</v>
      </c>
      <c r="EN123" s="59">
        <f t="shared" si="74"/>
        <v>640.44462753387404</v>
      </c>
      <c r="EO123" s="59">
        <f ca="1">AVERAGE(OFFSET($EN$3,0,0,'Données projet'!$E$15+1,1))-AVERAGE(OFFSET($H$3,0,0,'Données projet'!$E$15+1,1))</f>
        <v>217.53602321474159</v>
      </c>
      <c r="EP123" s="59">
        <f t="shared" si="100"/>
        <v>215.75909414893025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11.762281222620395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11.762281222620395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-0.37249999999998806</v>
      </c>
      <c r="FE123" s="12">
        <f>IF('Données projet'!$A$218&gt;35,FE122+FD123-FM122,IF(A123&lt;'Données projet'!$A$218,$FB$205^A123,IF(A123='Données projet'!$A$218,'Données projet'!$B$218,FE122+FD123-FM122)))</f>
        <v>329.20750000000044</v>
      </c>
      <c r="FF123" s="17">
        <f>FE123*VLOOKUP('Données projet'!$B$16,Paramètres!$A$1:$I$89,3,0)*VLOOKUP('Données projet'!$B$16,Paramètres!$A$1:$I$89,5,0)</f>
        <v>220.83239100000031</v>
      </c>
      <c r="FG123" s="13">
        <f t="shared" si="101"/>
        <v>54.295762009074963</v>
      </c>
      <c r="FH123" s="20">
        <f t="shared" si="76"/>
        <v>479.18153315747281</v>
      </c>
      <c r="FI123" s="59">
        <f t="shared" si="77"/>
        <v>761.28969390094949</v>
      </c>
      <c r="FJ123" s="59">
        <f ca="1">AVERAGE(OFFSET($FI$3,0,0,'Données projet'!$E$16+1,1))-AVERAGE(OFFSET($H$3,0,0,'Données projet'!$E$16+1,1))</f>
        <v>441.20130048888439</v>
      </c>
      <c r="FK123" s="59">
        <f t="shared" si="102"/>
        <v>237.47732532183946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173.21920548050653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173.21920548050653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204.00000000000017</v>
      </c>
      <c r="GA123" s="17">
        <f>FZ123*VLOOKUP('Données projet'!$B$17,Paramètres!$A$1:$I$89,3,0)*VLOOKUP('Données projet'!$B$17,Paramètres!$A$1:$I$89,5,0)</f>
        <v>133.66080000000011</v>
      </c>
      <c r="GB123" s="13">
        <f t="shared" si="103"/>
        <v>34.840890682716783</v>
      </c>
      <c r="GC123" s="20">
        <f t="shared" si="79"/>
        <v>293.4737779390652</v>
      </c>
      <c r="GD123" s="59">
        <f t="shared" si="80"/>
        <v>575.58193868254182</v>
      </c>
      <c r="GE123" s="59">
        <f ca="1">AVERAGE(OFFSET($GD$3,0,0,'Données projet'!$E$17+1,1))-AVERAGE(OFFSET($H$3,0,0,'Données projet'!$E$17+1,1))</f>
        <v>257.66104339896992</v>
      </c>
      <c r="GF123" s="59">
        <f t="shared" si="104"/>
        <v>254.79488636184996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21.757654346757626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21.757654346757626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234.00000000000003</v>
      </c>
      <c r="GV123" s="17">
        <f>GU123*VLOOKUP('Données projet'!$B$18,Paramètres!$A$1:$I$89,3,0)*VLOOKUP('Données projet'!$B$18,Paramètres!$A$1:$I$89,5,0)</f>
        <v>189.82080000000005</v>
      </c>
      <c r="GW123" s="13">
        <f t="shared" si="105"/>
        <v>47.500332100049796</v>
      </c>
      <c r="GX123" s="20">
        <f t="shared" si="82"/>
        <v>413.33430507425345</v>
      </c>
      <c r="GY123" s="59">
        <f t="shared" si="83"/>
        <v>695.44246581773007</v>
      </c>
      <c r="GZ123" s="59">
        <f ca="1">AVERAGE(OFFSET($GY$3,0,0,'Données projet'!$E$18+1,1))-AVERAGE(OFFSET($H$3,0,0,'Données projet'!$E$18+1,1))</f>
        <v>299.98377156721153</v>
      </c>
      <c r="HA123" s="59">
        <f t="shared" si="106"/>
        <v>241.36164657721102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20.962182234989047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20.962182234989047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-0.37249999999998806</v>
      </c>
      <c r="N124" s="13">
        <f>IF('Données projet'!$A$36&gt;35,N123+M124-V123,IF(A124&lt;'Données projet'!$A$36,$K$205^A124,IF(A124='Données projet'!$A$36,'Données projet'!$B$36,N123+M124-V123)))</f>
        <v>328.83500000000043</v>
      </c>
      <c r="O124" s="13">
        <f>N124*VLOOKUP('Données projet'!$B$9,Paramètres!$A$1:$I$89,3,0)*VLOOKUP('Données projet'!$B$9,Paramètres!$A$1:$I$89,5,0)</f>
        <v>297.52990800000038</v>
      </c>
      <c r="P124" s="13">
        <f t="shared" si="87"/>
        <v>70.658388410389392</v>
      </c>
      <c r="Q124" s="20">
        <f t="shared" si="107"/>
        <v>641.26128291476209</v>
      </c>
      <c r="R124" s="59">
        <f t="shared" si="55"/>
        <v>923.56417530694648</v>
      </c>
      <c r="S124" s="59">
        <f ca="1">AVERAGE(OFFSET($R$3,0,0,'Données projet'!$E$9+1,1))-AVERAGE(OFFSET($H$3,0,0,'Données projet'!$E$9+1,1))</f>
        <v>567.42635821507474</v>
      </c>
      <c r="T124" s="59">
        <f t="shared" si="88"/>
        <v>299.04735309930152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185.84347143076167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185.84347143076167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474.99999999999994</v>
      </c>
      <c r="AJ124" s="13">
        <f>AI124*VLOOKUP('Données projet'!$B$10,Paramètres!$A$1:$I$89,3,0)*VLOOKUP('Données projet'!$B$10,Paramètres!$A$1:$I$89,5,0)</f>
        <v>407.55</v>
      </c>
      <c r="AK124" s="13">
        <f t="shared" si="89"/>
        <v>93.305642095357683</v>
      </c>
      <c r="AL124" s="20">
        <f t="shared" si="58"/>
        <v>872.32357664941446</v>
      </c>
      <c r="AM124" s="59">
        <f t="shared" si="59"/>
        <v>1154.6264690415987</v>
      </c>
      <c r="AN124" s="59">
        <f ca="1">AVERAGE(OFFSET($AM$3,0,0,'Données projet'!$E$10+1,1))-AVERAGE(OFFSET($H$3,0,0,'Données projet'!$E$10+1,1))</f>
        <v>569.97793593332699</v>
      </c>
      <c r="AO124" s="59">
        <f t="shared" si="90"/>
        <v>331.25104323342907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119.82493584310319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119.82493584310319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277.99999999999994</v>
      </c>
      <c r="BE124" s="13">
        <f>BD124*VLOOKUP('Données projet'!$B$11,Paramètres!$A$1:$I$89,3,0)*VLOOKUP('Données projet'!$B$11,Paramètres!$A$1:$I$89,5,0)</f>
        <v>151.78799999999998</v>
      </c>
      <c r="BF124" s="13">
        <f t="shared" si="91"/>
        <v>38.984634390835623</v>
      </c>
      <c r="BG124" s="20">
        <f t="shared" si="61"/>
        <v>332.26233823070532</v>
      </c>
      <c r="BH124" s="59">
        <f t="shared" si="62"/>
        <v>614.56523062288966</v>
      </c>
      <c r="BI124" s="59">
        <f ca="1">AVERAGE(OFFSET($BH$3,0,0,'Données projet'!$E$11+1,1))-AVERAGE(OFFSET($H$3,0,0,'Données projet'!$E$11+1,1))</f>
        <v>215.37314197175104</v>
      </c>
      <c r="BJ124" s="59">
        <f t="shared" si="92"/>
        <v>361.17630426655978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6.0542544032187084</v>
      </c>
      <c r="BQ124" s="21">
        <f>EXP(-LN(2)/25)*BQ123+(1-EXP(-LN(2)/25))/(LN(2)/25)*Calculateur!BL124*Calculateur!BN124*VLOOKUP('Données projet'!$B$11,Paramètres!$A$1:$I$89,3,0)*0.475*44/12</f>
        <v>7.7038818938680373</v>
      </c>
      <c r="BR124" s="21">
        <f>EXP(-LN(2)/2)*BR123+(1-EXP(-LN(2)/2))/(LN(2)/2)*BL124*BO124*VLOOKUP('Données projet'!$B$11,Paramètres!$A$1:$I$89,3,0)*0.475*44/12</f>
        <v>5.0958039716649526E-16</v>
      </c>
      <c r="BS124" s="22">
        <f t="shared" si="63"/>
        <v>13.758136297086747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0.8600000000003547</v>
      </c>
      <c r="BZ124" s="13">
        <f>BY124*VLOOKUP('Données projet'!$B$12,Paramètres!$A$1:$I$89,3,0)*VLOOKUP('Données projet'!$B$12,Paramètres!$A$1:$I$89,5,0)</f>
        <v>0.48074000000019829</v>
      </c>
      <c r="CA124" s="13">
        <f t="shared" si="93"/>
        <v>0.24126147010950588</v>
      </c>
      <c r="CB124" s="20">
        <f t="shared" si="64"/>
        <v>1.2574858937744013</v>
      </c>
      <c r="CC124" s="59">
        <f t="shared" si="65"/>
        <v>283.56037828595879</v>
      </c>
      <c r="CD124" s="59">
        <f ca="1">AVERAGE(OFFSET($CC$3,0,0,'Données projet'!$E$12+1,1))-AVERAGE(OFFSET($H$3,0,0,'Données projet'!$E$12+1,1))</f>
        <v>420.4890915162182</v>
      </c>
      <c r="CE124" s="59">
        <f t="shared" si="94"/>
        <v>553.48432338023565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100.60995345540258</v>
      </c>
      <c r="CL124" s="21">
        <f>EXP(-LN(2)/25)*CL123+(1-EXP(-LN(2)/25))/(LN(2)/25)*Calculateur!CG124*Calculateur!CI124*VLOOKUP('Données projet'!$B$12,Paramètres!$A$1:$I$89,3,0)*0.475*44/12</f>
        <v>4.0565299729573185</v>
      </c>
      <c r="CM124" s="21">
        <f>EXP(-LN(2)/2)*CM123+(1-EXP(-LN(2)/2))/(LN(2)/2)*CG124*CJ124*VLOOKUP('Données projet'!$B$12,Paramètres!$A$1:$I$89,3,0)*0.475*44/12</f>
        <v>1.4870318626647428E-14</v>
      </c>
      <c r="CN124" s="22">
        <f t="shared" si="66"/>
        <v>104.66648342835991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367.99999999999972</v>
      </c>
      <c r="CU124" s="17">
        <f>CT124*VLOOKUP('Données projet'!$B$13,Paramètres!$A$1:$I$89,3,0)*VLOOKUP('Données projet'!$B$13,Paramètres!$A$1:$I$89,5,0)</f>
        <v>269.8175999999998</v>
      </c>
      <c r="CV124" s="13">
        <f t="shared" si="95"/>
        <v>64.810557882019467</v>
      </c>
      <c r="CW124" s="20">
        <f t="shared" si="67"/>
        <v>582.81070831118348</v>
      </c>
      <c r="CX124" s="59">
        <f t="shared" si="68"/>
        <v>865.11360070336787</v>
      </c>
      <c r="CY124" s="59">
        <f ca="1">AVERAGE(OFFSET($CX$3,0,0,'Données projet'!$E$13+1,1))-AVERAGE(OFFSET($H$3,0,0,'Données projet'!$E$13+1,1))</f>
        <v>400.48995908576177</v>
      </c>
      <c r="CZ124" s="59">
        <f t="shared" si="96"/>
        <v>384.86917865380076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20.459558004868214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20.459558004868214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367.99999999999972</v>
      </c>
      <c r="DP124" s="17">
        <f>DO124*VLOOKUP('Données projet'!$B$14,Paramètres!$A$1:$I$89,3,0)*VLOOKUP('Données projet'!$B$14,Paramètres!$A$1:$I$89,5,0)</f>
        <v>292.78079999999977</v>
      </c>
      <c r="DQ124" s="13">
        <f t="shared" si="97"/>
        <v>69.660903052386217</v>
      </c>
      <c r="DR124" s="20">
        <f t="shared" si="70"/>
        <v>631.25263281623893</v>
      </c>
      <c r="DS124" s="59">
        <f t="shared" si="71"/>
        <v>913.55552520842332</v>
      </c>
      <c r="DT124" s="59">
        <f ca="1">AVERAGE(OFFSET($DS$3,0,0,'Données projet'!$E$14+1,1))-AVERAGE(OFFSET($H$3,0,0,'Données projet'!$E$14+1,1))</f>
        <v>429.30603040255431</v>
      </c>
      <c r="DU124" s="59">
        <f t="shared" si="98"/>
        <v>412.18613903804726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27.363773026797993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27.363773026797993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210.25641025641013</v>
      </c>
      <c r="EK124" s="17">
        <f>EJ124*VLOOKUP('Données projet'!$B$15,Paramètres!$A$1:$I$89,3,0)*VLOOKUP('Données projet'!$B$15,Paramètres!$A$1:$I$89,5,0)</f>
        <v>163.99999999999991</v>
      </c>
      <c r="EL124" s="13">
        <f t="shared" si="99"/>
        <v>41.743425908362248</v>
      </c>
      <c r="EM124" s="20">
        <f t="shared" si="73"/>
        <v>358.33646679039742</v>
      </c>
      <c r="EN124" s="59">
        <f t="shared" si="74"/>
        <v>640.63935918258176</v>
      </c>
      <c r="EO124" s="59">
        <f ca="1">AVERAGE(OFFSET($EN$3,0,0,'Données projet'!$E$15+1,1))-AVERAGE(OFFSET($H$3,0,0,'Données projet'!$E$15+1,1))</f>
        <v>217.53602321474159</v>
      </c>
      <c r="EP124" s="59">
        <f t="shared" si="100"/>
        <v>215.75909414893025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11.531630062127952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11.531630062127952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-0.37249999999998806</v>
      </c>
      <c r="FE124" s="12">
        <f>IF('Données projet'!$A$218&gt;35,FE123+FD124-FM123,IF(A124&lt;'Données projet'!$A$218,$FB$205^A124,IF(A124='Données projet'!$A$218,'Données projet'!$B$218,FE123+FD124-FM123)))</f>
        <v>328.83500000000043</v>
      </c>
      <c r="FF124" s="17">
        <f>FE124*VLOOKUP('Données projet'!$B$16,Paramètres!$A$1:$I$89,3,0)*VLOOKUP('Données projet'!$B$16,Paramètres!$A$1:$I$89,5,0)</f>
        <v>220.58251800000031</v>
      </c>
      <c r="FG124" s="13">
        <f t="shared" si="101"/>
        <v>54.241473638468392</v>
      </c>
      <c r="FH124" s="20">
        <f t="shared" si="76"/>
        <v>478.65178543699955</v>
      </c>
      <c r="FI124" s="59">
        <f t="shared" si="77"/>
        <v>760.95467782918399</v>
      </c>
      <c r="FJ124" s="59">
        <f ca="1">AVERAGE(OFFSET($FI$3,0,0,'Données projet'!$E$16+1,1))-AVERAGE(OFFSET($H$3,0,0,'Données projet'!$E$16+1,1))</f>
        <v>441.20130048888439</v>
      </c>
      <c r="FK124" s="59">
        <f t="shared" si="102"/>
        <v>237.47732532183946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169.82248251431673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169.82248251431673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204.00000000000017</v>
      </c>
      <c r="GA124" s="17">
        <f>FZ124*VLOOKUP('Données projet'!$B$17,Paramètres!$A$1:$I$89,3,0)*VLOOKUP('Données projet'!$B$17,Paramètres!$A$1:$I$89,5,0)</f>
        <v>133.66080000000011</v>
      </c>
      <c r="GB124" s="13">
        <f t="shared" si="103"/>
        <v>34.840890682716783</v>
      </c>
      <c r="GC124" s="20">
        <f t="shared" si="79"/>
        <v>293.4737779390652</v>
      </c>
      <c r="GD124" s="59">
        <f t="shared" si="80"/>
        <v>575.77667033124953</v>
      </c>
      <c r="GE124" s="59">
        <f ca="1">AVERAGE(OFFSET($GD$3,0,0,'Données projet'!$E$17+1,1))-AVERAGE(OFFSET($H$3,0,0,'Données projet'!$E$17+1,1))</f>
        <v>257.66104339896992</v>
      </c>
      <c r="GF124" s="59">
        <f t="shared" si="104"/>
        <v>254.79488636184996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21.331000015876473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21.331000015876473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234.00000000000003</v>
      </c>
      <c r="GV124" s="17">
        <f>GU124*VLOOKUP('Données projet'!$B$18,Paramètres!$A$1:$I$89,3,0)*VLOOKUP('Données projet'!$B$18,Paramètres!$A$1:$I$89,5,0)</f>
        <v>189.82080000000005</v>
      </c>
      <c r="GW124" s="13">
        <f t="shared" si="105"/>
        <v>47.500332100049796</v>
      </c>
      <c r="GX124" s="20">
        <f t="shared" si="82"/>
        <v>413.33430507425345</v>
      </c>
      <c r="GY124" s="59">
        <f t="shared" si="83"/>
        <v>695.63719746643778</v>
      </c>
      <c r="GZ124" s="59">
        <f ca="1">AVERAGE(OFFSET($GY$3,0,0,'Données projet'!$E$18+1,1))-AVERAGE(OFFSET($H$3,0,0,'Données projet'!$E$18+1,1))</f>
        <v>299.98377156721153</v>
      </c>
      <c r="HA124" s="59">
        <f t="shared" si="106"/>
        <v>241.36164657721102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20.551126627029596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20.551126627029596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-0.37249999999998806</v>
      </c>
      <c r="N125" s="13">
        <f>IF('Données projet'!$A$36&gt;35,N124+M125-V124,IF(A125&lt;'Données projet'!$A$36,$K$205^A125,IF(A125='Données projet'!$A$36,'Données projet'!$B$36,N124+M125-V124)))</f>
        <v>328.46250000000043</v>
      </c>
      <c r="O125" s="13">
        <f>N125*VLOOKUP('Données projet'!$B$9,Paramètres!$A$1:$I$89,3,0)*VLOOKUP('Données projet'!$B$9,Paramètres!$A$1:$I$89,5,0)</f>
        <v>297.19287000000037</v>
      </c>
      <c r="P125" s="13">
        <f t="shared" si="87"/>
        <v>70.587659605576917</v>
      </c>
      <c r="Q125" s="20">
        <f t="shared" si="107"/>
        <v>640.55108906304713</v>
      </c>
      <c r="R125" s="59">
        <f t="shared" si="55"/>
        <v>923.04533494518887</v>
      </c>
      <c r="S125" s="59">
        <f ca="1">AVERAGE(OFFSET($R$3,0,0,'Données projet'!$E$9+1,1))-AVERAGE(OFFSET($H$3,0,0,'Données projet'!$E$9+1,1))</f>
        <v>567.42635821507474</v>
      </c>
      <c r="T125" s="59">
        <f t="shared" si="88"/>
        <v>299.04735309930152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182.1991943093293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182.1991943093293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474.99999999999994</v>
      </c>
      <c r="AJ125" s="13">
        <f>AI125*VLOOKUP('Données projet'!$B$10,Paramètres!$A$1:$I$89,3,0)*VLOOKUP('Données projet'!$B$10,Paramètres!$A$1:$I$89,5,0)</f>
        <v>407.55</v>
      </c>
      <c r="AK125" s="13">
        <f t="shared" si="89"/>
        <v>93.305642095357683</v>
      </c>
      <c r="AL125" s="20">
        <f t="shared" si="58"/>
        <v>872.32357664941446</v>
      </c>
      <c r="AM125" s="59">
        <f t="shared" si="59"/>
        <v>1154.8178225315562</v>
      </c>
      <c r="AN125" s="59">
        <f ca="1">AVERAGE(OFFSET($AM$3,0,0,'Données projet'!$E$10+1,1))-AVERAGE(OFFSET($H$3,0,0,'Données projet'!$E$10+1,1))</f>
        <v>569.97793593332699</v>
      </c>
      <c r="AO125" s="59">
        <f t="shared" si="90"/>
        <v>331.25104323342907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117.47524193721416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117.47524193721416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277.99999999999994</v>
      </c>
      <c r="BE125" s="13">
        <f>BD125*VLOOKUP('Données projet'!$B$11,Paramètres!$A$1:$I$89,3,0)*VLOOKUP('Données projet'!$B$11,Paramètres!$A$1:$I$89,5,0)</f>
        <v>151.78799999999998</v>
      </c>
      <c r="BF125" s="13">
        <f t="shared" si="91"/>
        <v>38.984634390835623</v>
      </c>
      <c r="BG125" s="20">
        <f t="shared" si="61"/>
        <v>332.26233823070532</v>
      </c>
      <c r="BH125" s="59">
        <f t="shared" si="62"/>
        <v>614.75658411284712</v>
      </c>
      <c r="BI125" s="59">
        <f ca="1">AVERAGE(OFFSET($BH$3,0,0,'Données projet'!$E$11+1,1))-AVERAGE(OFFSET($H$3,0,0,'Données projet'!$E$11+1,1))</f>
        <v>215.37314197175104</v>
      </c>
      <c r="BJ125" s="59">
        <f t="shared" si="92"/>
        <v>361.17630426655978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5.9355341671021487</v>
      </c>
      <c r="BQ125" s="21">
        <f>EXP(-LN(2)/25)*BQ124+(1-EXP(-LN(2)/25))/(LN(2)/25)*Calculateur!BL125*Calculateur!BN125*VLOOKUP('Données projet'!$B$11,Paramètres!$A$1:$I$89,3,0)*0.475*44/12</f>
        <v>7.4932188383506748</v>
      </c>
      <c r="BR125" s="21">
        <f>EXP(-LN(2)/2)*BR124+(1-EXP(-LN(2)/2))/(LN(2)/2)*BL125*BO125*VLOOKUP('Données projet'!$B$11,Paramètres!$A$1:$I$89,3,0)*0.475*44/12</f>
        <v>3.6032775439616296E-16</v>
      </c>
      <c r="BS125" s="22">
        <f t="shared" si="63"/>
        <v>13.428753005452823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0.8600000000003547</v>
      </c>
      <c r="BZ125" s="13">
        <f>BY125*VLOOKUP('Données projet'!$B$12,Paramètres!$A$1:$I$89,3,0)*VLOOKUP('Données projet'!$B$12,Paramètres!$A$1:$I$89,5,0)</f>
        <v>0.48074000000019829</v>
      </c>
      <c r="CA125" s="13">
        <f t="shared" si="93"/>
        <v>0.24126147010950588</v>
      </c>
      <c r="CB125" s="20">
        <f t="shared" si="64"/>
        <v>1.2574858937744013</v>
      </c>
      <c r="CC125" s="59">
        <f t="shared" si="65"/>
        <v>283.7517317759162</v>
      </c>
      <c r="CD125" s="59">
        <f ca="1">AVERAGE(OFFSET($CC$3,0,0,'Données projet'!$E$12+1,1))-AVERAGE(OFFSET($H$3,0,0,'Données projet'!$E$12+1,1))</f>
        <v>420.4890915162182</v>
      </c>
      <c r="CE125" s="59">
        <f t="shared" si="94"/>
        <v>553.48432338023565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98.637053634154341</v>
      </c>
      <c r="CL125" s="21">
        <f>EXP(-LN(2)/25)*CL124+(1-EXP(-LN(2)/25))/(LN(2)/25)*Calculateur!CG125*Calculateur!CI125*VLOOKUP('Données projet'!$B$12,Paramètres!$A$1:$I$89,3,0)*0.475*44/12</f>
        <v>3.9456039475231606</v>
      </c>
      <c r="CM125" s="21">
        <f>EXP(-LN(2)/2)*CM124+(1-EXP(-LN(2)/2))/(LN(2)/2)*CG125*CJ125*VLOOKUP('Données projet'!$B$12,Paramètres!$A$1:$I$89,3,0)*0.475*44/12</f>
        <v>1.0514903139307025E-14</v>
      </c>
      <c r="CN125" s="22">
        <f t="shared" si="66"/>
        <v>102.58265758167751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367.99999999999972</v>
      </c>
      <c r="CU125" s="17">
        <f>CT125*VLOOKUP('Données projet'!$B$13,Paramètres!$A$1:$I$89,3,0)*VLOOKUP('Données projet'!$B$13,Paramètres!$A$1:$I$89,5,0)</f>
        <v>269.8175999999998</v>
      </c>
      <c r="CV125" s="13">
        <f t="shared" si="95"/>
        <v>64.810557882019467</v>
      </c>
      <c r="CW125" s="20">
        <f t="shared" si="67"/>
        <v>582.81070831118348</v>
      </c>
      <c r="CX125" s="59">
        <f t="shared" si="68"/>
        <v>865.30495419332533</v>
      </c>
      <c r="CY125" s="59">
        <f ca="1">AVERAGE(OFFSET($CX$3,0,0,'Données projet'!$E$13+1,1))-AVERAGE(OFFSET($H$3,0,0,'Données projet'!$E$13+1,1))</f>
        <v>400.48995908576177</v>
      </c>
      <c r="CZ125" s="59">
        <f t="shared" si="96"/>
        <v>384.86917865380076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20.058358551490922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20.058358551490922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367.99999999999972</v>
      </c>
      <c r="DP125" s="17">
        <f>DO125*VLOOKUP('Données projet'!$B$14,Paramètres!$A$1:$I$89,3,0)*VLOOKUP('Données projet'!$B$14,Paramètres!$A$1:$I$89,5,0)</f>
        <v>292.78079999999977</v>
      </c>
      <c r="DQ125" s="13">
        <f t="shared" si="97"/>
        <v>69.660903052386217</v>
      </c>
      <c r="DR125" s="20">
        <f t="shared" si="70"/>
        <v>631.25263281623893</v>
      </c>
      <c r="DS125" s="59">
        <f t="shared" si="71"/>
        <v>913.74687869838067</v>
      </c>
      <c r="DT125" s="59">
        <f ca="1">AVERAGE(OFFSET($DS$3,0,0,'Données projet'!$E$14+1,1))-AVERAGE(OFFSET($H$3,0,0,'Données projet'!$E$14+1,1))</f>
        <v>429.30603040255431</v>
      </c>
      <c r="DU125" s="59">
        <f t="shared" si="98"/>
        <v>412.18613903804726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26.827186127996004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26.827186127996004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210.25641025641013</v>
      </c>
      <c r="EK125" s="17">
        <f>EJ125*VLOOKUP('Données projet'!$B$15,Paramètres!$A$1:$I$89,3,0)*VLOOKUP('Données projet'!$B$15,Paramètres!$A$1:$I$89,5,0)</f>
        <v>163.99999999999991</v>
      </c>
      <c r="EL125" s="13">
        <f t="shared" si="99"/>
        <v>41.743425908362248</v>
      </c>
      <c r="EM125" s="20">
        <f t="shared" si="73"/>
        <v>358.33646679039742</v>
      </c>
      <c r="EN125" s="59">
        <f t="shared" si="74"/>
        <v>640.83071267253922</v>
      </c>
      <c r="EO125" s="59">
        <f ca="1">AVERAGE(OFFSET($EN$3,0,0,'Données projet'!$E$15+1,1))-AVERAGE(OFFSET($H$3,0,0,'Données projet'!$E$15+1,1))</f>
        <v>217.53602321474159</v>
      </c>
      <c r="EP125" s="59">
        <f t="shared" si="100"/>
        <v>215.75909414893025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11.305501830209451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11.305501830209451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-0.37249999999998806</v>
      </c>
      <c r="FE125" s="12">
        <f>IF('Données projet'!$A$218&gt;35,FE124+FD125-FM124,IF(A125&lt;'Données projet'!$A$218,$FB$205^A125,IF(A125='Données projet'!$A$218,'Données projet'!$B$218,FE124+FD125-FM124)))</f>
        <v>328.46250000000043</v>
      </c>
      <c r="FF125" s="17">
        <f>FE125*VLOOKUP('Données projet'!$B$16,Paramètres!$A$1:$I$89,3,0)*VLOOKUP('Données projet'!$B$16,Paramètres!$A$1:$I$89,5,0)</f>
        <v>220.3326450000003</v>
      </c>
      <c r="FG125" s="13">
        <f t="shared" si="101"/>
        <v>54.187178109119017</v>
      </c>
      <c r="FH125" s="20">
        <f t="shared" si="76"/>
        <v>478.12202524838284</v>
      </c>
      <c r="FI125" s="59">
        <f t="shared" si="77"/>
        <v>760.61627113052464</v>
      </c>
      <c r="FJ125" s="59">
        <f ca="1">AVERAGE(OFFSET($FI$3,0,0,'Données projet'!$E$16+1,1))-AVERAGE(OFFSET($H$3,0,0,'Données projet'!$E$16+1,1))</f>
        <v>441.20130048888439</v>
      </c>
      <c r="FK125" s="59">
        <f t="shared" si="102"/>
        <v>237.47732532183946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166.49236721369749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166.49236721369749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204.00000000000017</v>
      </c>
      <c r="GA125" s="17">
        <f>FZ125*VLOOKUP('Données projet'!$B$17,Paramètres!$A$1:$I$89,3,0)*VLOOKUP('Données projet'!$B$17,Paramètres!$A$1:$I$89,5,0)</f>
        <v>133.66080000000011</v>
      </c>
      <c r="GB125" s="13">
        <f t="shared" si="103"/>
        <v>34.840890682716783</v>
      </c>
      <c r="GC125" s="20">
        <f t="shared" si="79"/>
        <v>293.4737779390652</v>
      </c>
      <c r="GD125" s="59">
        <f t="shared" si="80"/>
        <v>575.968023821207</v>
      </c>
      <c r="GE125" s="59">
        <f ca="1">AVERAGE(OFFSET($GD$3,0,0,'Données projet'!$E$17+1,1))-AVERAGE(OFFSET($H$3,0,0,'Données projet'!$E$17+1,1))</f>
        <v>257.66104339896992</v>
      </c>
      <c r="GF125" s="59">
        <f t="shared" si="104"/>
        <v>254.79488636184996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20.912712116190452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20.912712116190452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234.00000000000003</v>
      </c>
      <c r="GV125" s="17">
        <f>GU125*VLOOKUP('Données projet'!$B$18,Paramètres!$A$1:$I$89,3,0)*VLOOKUP('Données projet'!$B$18,Paramètres!$A$1:$I$89,5,0)</f>
        <v>189.82080000000005</v>
      </c>
      <c r="GW125" s="13">
        <f t="shared" si="105"/>
        <v>47.500332100049796</v>
      </c>
      <c r="GX125" s="20">
        <f t="shared" si="82"/>
        <v>413.33430507425345</v>
      </c>
      <c r="GY125" s="59">
        <f t="shared" si="83"/>
        <v>695.82855095639525</v>
      </c>
      <c r="GZ125" s="59">
        <f ca="1">AVERAGE(OFFSET($GY$3,0,0,'Données projet'!$E$18+1,1))-AVERAGE(OFFSET($H$3,0,0,'Données projet'!$E$18+1,1))</f>
        <v>299.98377156721153</v>
      </c>
      <c r="HA125" s="59">
        <f t="shared" si="106"/>
        <v>241.36164657721102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20.148131568823064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20.148131568823064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328.09</v>
      </c>
      <c r="L126" s="12">
        <f>VLOOKUP(A126,'Données projet'!$A$35:$I$55,9,0)</f>
        <v>-0.37249999999998806</v>
      </c>
      <c r="M126" s="12">
        <f t="array" ref="M126">INDEX(L:L,MIN(IF(ISNUMBER(L126:L322),ROW(L126:L322),"")))</f>
        <v>-0.37249999999998806</v>
      </c>
      <c r="N126" s="13">
        <f>IF('Données projet'!$A$36&gt;35,N125+M126-V125,IF(A126&lt;'Données projet'!$A$36,$K$205^A126,IF(A126='Données projet'!$A$36,'Données projet'!$B$36,N125+M126-V125)))</f>
        <v>328.09000000000043</v>
      </c>
      <c r="O126" s="13">
        <f>N126*VLOOKUP('Données projet'!$B$9,Paramètres!$A$1:$I$89,3,0)*VLOOKUP('Données projet'!$B$9,Paramètres!$A$1:$I$89,5,0)</f>
        <v>296.85583200000036</v>
      </c>
      <c r="P126" s="13">
        <f t="shared" si="87"/>
        <v>70.516921463523971</v>
      </c>
      <c r="Q126" s="20">
        <f t="shared" si="107"/>
        <v>639.84087894897141</v>
      </c>
      <c r="R126" s="59">
        <f t="shared" si="55"/>
        <v>922.52315876582202</v>
      </c>
      <c r="S126" s="59">
        <f ca="1">AVERAGE(OFFSET($R$3,0,0,'Données projet'!$E$9+1,1))-AVERAGE(OFFSET($H$3,0,0,'Données projet'!$E$9+1,1))</f>
        <v>567.42635821507474</v>
      </c>
      <c r="T126" s="59">
        <f t="shared" si="88"/>
        <v>299.04735309930152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100.6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221.89431125036498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221.89431125036498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474.99999999999994</v>
      </c>
      <c r="AJ126" s="13">
        <f>AI126*VLOOKUP('Données projet'!$B$10,Paramètres!$A$1:$I$89,3,0)*VLOOKUP('Données projet'!$B$10,Paramètres!$A$1:$I$89,5,0)</f>
        <v>407.55</v>
      </c>
      <c r="AK126" s="13">
        <f t="shared" si="89"/>
        <v>93.305642095357683</v>
      </c>
      <c r="AL126" s="20">
        <f t="shared" si="58"/>
        <v>872.32357664941446</v>
      </c>
      <c r="AM126" s="59">
        <f t="shared" si="59"/>
        <v>1155.0058564662652</v>
      </c>
      <c r="AN126" s="59">
        <f ca="1">AVERAGE(OFFSET($AM$3,0,0,'Données projet'!$E$10+1,1))-AVERAGE(OFFSET($H$3,0,0,'Données projet'!$E$10+1,1))</f>
        <v>569.97793593332699</v>
      </c>
      <c r="AO126" s="59">
        <f t="shared" si="90"/>
        <v>331.25104323342907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115.17162409564784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115.17162409564784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277.99999999999994</v>
      </c>
      <c r="BE126" s="13">
        <f>BD126*VLOOKUP('Données projet'!$B$11,Paramètres!$A$1:$I$89,3,0)*VLOOKUP('Données projet'!$B$11,Paramètres!$A$1:$I$89,5,0)</f>
        <v>151.78799999999998</v>
      </c>
      <c r="BF126" s="13">
        <f t="shared" si="91"/>
        <v>38.984634390835623</v>
      </c>
      <c r="BG126" s="20">
        <f t="shared" si="61"/>
        <v>332.26233823070532</v>
      </c>
      <c r="BH126" s="59">
        <f t="shared" si="62"/>
        <v>614.94461804755599</v>
      </c>
      <c r="BI126" s="59">
        <f ca="1">AVERAGE(OFFSET($BH$3,0,0,'Données projet'!$E$11+1,1))-AVERAGE(OFFSET($H$3,0,0,'Données projet'!$E$11+1,1))</f>
        <v>215.37314197175104</v>
      </c>
      <c r="BJ126" s="59">
        <f t="shared" si="92"/>
        <v>361.17630426655978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5.8191419624036405</v>
      </c>
      <c r="BQ126" s="21">
        <f>EXP(-LN(2)/25)*BQ125+(1-EXP(-LN(2)/25))/(LN(2)/25)*Calculateur!BL126*Calculateur!BN126*VLOOKUP('Données projet'!$B$11,Paramètres!$A$1:$I$89,3,0)*0.475*44/12</f>
        <v>7.2883163751647233</v>
      </c>
      <c r="BR126" s="21">
        <f>EXP(-LN(2)/2)*BR125+(1-EXP(-LN(2)/2))/(LN(2)/2)*BL126*BO126*VLOOKUP('Données projet'!$B$11,Paramètres!$A$1:$I$89,3,0)*0.475*44/12</f>
        <v>2.5479019858324763E-16</v>
      </c>
      <c r="BS126" s="22">
        <f t="shared" si="63"/>
        <v>13.107458337568364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0.8600000000003547</v>
      </c>
      <c r="BZ126" s="13">
        <f>BY126*VLOOKUP('Données projet'!$B$12,Paramètres!$A$1:$I$89,3,0)*VLOOKUP('Données projet'!$B$12,Paramètres!$A$1:$I$89,5,0)</f>
        <v>0.48074000000019829</v>
      </c>
      <c r="CA126" s="13">
        <f t="shared" si="93"/>
        <v>0.24126147010950588</v>
      </c>
      <c r="CB126" s="20">
        <f t="shared" si="64"/>
        <v>1.2574858937744013</v>
      </c>
      <c r="CC126" s="59">
        <f t="shared" si="65"/>
        <v>283.93976571062507</v>
      </c>
      <c r="CD126" s="59">
        <f ca="1">AVERAGE(OFFSET($CC$3,0,0,'Données projet'!$E$12+1,1))-AVERAGE(OFFSET($H$3,0,0,'Données projet'!$E$12+1,1))</f>
        <v>420.4890915162182</v>
      </c>
      <c r="CE126" s="59">
        <f t="shared" si="94"/>
        <v>553.48432338023565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96.702841175050722</v>
      </c>
      <c r="CL126" s="21">
        <f>EXP(-LN(2)/25)*CL125+(1-EXP(-LN(2)/25))/(LN(2)/25)*Calculateur!CG126*Calculateur!CI126*VLOOKUP('Données projet'!$B$12,Paramètres!$A$1:$I$89,3,0)*0.475*44/12</f>
        <v>3.8377112000878459</v>
      </c>
      <c r="CM126" s="21">
        <f>EXP(-LN(2)/2)*CM125+(1-EXP(-LN(2)/2))/(LN(2)/2)*CG126*CJ126*VLOOKUP('Données projet'!$B$12,Paramètres!$A$1:$I$89,3,0)*0.475*44/12</f>
        <v>7.435159313323714E-15</v>
      </c>
      <c r="CN126" s="22">
        <f t="shared" si="66"/>
        <v>100.54055237513859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367.99999999999972</v>
      </c>
      <c r="CU126" s="17">
        <f>CT126*VLOOKUP('Données projet'!$B$13,Paramètres!$A$1:$I$89,3,0)*VLOOKUP('Données projet'!$B$13,Paramètres!$A$1:$I$89,5,0)</f>
        <v>269.8175999999998</v>
      </c>
      <c r="CV126" s="13">
        <f t="shared" si="95"/>
        <v>64.810557882019467</v>
      </c>
      <c r="CW126" s="20">
        <f t="shared" si="67"/>
        <v>582.81070831118348</v>
      </c>
      <c r="CX126" s="59">
        <f t="shared" si="68"/>
        <v>865.49298812803409</v>
      </c>
      <c r="CY126" s="59">
        <f ca="1">AVERAGE(OFFSET($CX$3,0,0,'Données projet'!$E$13+1,1))-AVERAGE(OFFSET($H$3,0,0,'Données projet'!$E$13+1,1))</f>
        <v>400.48995908576177</v>
      </c>
      <c r="CZ126" s="59">
        <f t="shared" si="96"/>
        <v>384.86917865380076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19.665026374686857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19.665026374686857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367.99999999999972</v>
      </c>
      <c r="DP126" s="17">
        <f>DO126*VLOOKUP('Données projet'!$B$14,Paramètres!$A$1:$I$89,3,0)*VLOOKUP('Données projet'!$B$14,Paramètres!$A$1:$I$89,5,0)</f>
        <v>292.78079999999977</v>
      </c>
      <c r="DQ126" s="13">
        <f t="shared" si="97"/>
        <v>69.660903052386217</v>
      </c>
      <c r="DR126" s="20">
        <f t="shared" si="70"/>
        <v>631.25263281623893</v>
      </c>
      <c r="DS126" s="59">
        <f t="shared" si="71"/>
        <v>913.93491263308965</v>
      </c>
      <c r="DT126" s="59">
        <f ca="1">AVERAGE(OFFSET($DS$3,0,0,'Données projet'!$E$14+1,1))-AVERAGE(OFFSET($H$3,0,0,'Données projet'!$E$14+1,1))</f>
        <v>429.30603040255431</v>
      </c>
      <c r="DU126" s="59">
        <f t="shared" si="98"/>
        <v>412.18613903804726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26.301121370993833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26.301121370993833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210.25641025641013</v>
      </c>
      <c r="EK126" s="17">
        <f>EJ126*VLOOKUP('Données projet'!$B$15,Paramètres!$A$1:$I$89,3,0)*VLOOKUP('Données projet'!$B$15,Paramètres!$A$1:$I$89,5,0)</f>
        <v>163.99999999999991</v>
      </c>
      <c r="EL126" s="13">
        <f t="shared" si="99"/>
        <v>41.743425908362248</v>
      </c>
      <c r="EM126" s="20">
        <f t="shared" si="73"/>
        <v>358.33646679039742</v>
      </c>
      <c r="EN126" s="59">
        <f t="shared" si="74"/>
        <v>641.01874660724809</v>
      </c>
      <c r="EO126" s="59">
        <f ca="1">AVERAGE(OFFSET($EN$3,0,0,'Données projet'!$E$15+1,1))-AVERAGE(OFFSET($H$3,0,0,'Données projet'!$E$15+1,1))</f>
        <v>217.53602321474159</v>
      </c>
      <c r="EP126" s="59">
        <f t="shared" si="100"/>
        <v>215.75909414893025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11.083807834994269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11.083807834994269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>
        <f>VLOOKUP(A126,'Données projet'!$A$217:$I$237,2,0)</f>
        <v>328.09</v>
      </c>
      <c r="FC126" s="12">
        <f>VLOOKUP(A126,'Données projet'!$A$217:$I$237,9,0)</f>
        <v>-0.37249999999998806</v>
      </c>
      <c r="FD126" s="12">
        <f t="array" ref="FD126">INDEX(FC:FC,MIN(IF(ISNUMBER(FC126:FC322),ROW(FC126:FC322),"")))</f>
        <v>-0.37249999999998806</v>
      </c>
      <c r="FE126" s="12">
        <f>IF('Données projet'!$A$218&gt;35,FE125+FD126-FM125,IF(A126&lt;'Données projet'!$A$218,$FB$205^A126,IF(A126='Données projet'!$A$218,'Données projet'!$B$218,FE125+FD126-FM125)))</f>
        <v>328.09000000000043</v>
      </c>
      <c r="FF126" s="17">
        <f>FE126*VLOOKUP('Données projet'!$B$16,Paramètres!$A$1:$I$89,3,0)*VLOOKUP('Données projet'!$B$16,Paramètres!$A$1:$I$89,5,0)</f>
        <v>220.08277200000032</v>
      </c>
      <c r="FG126" s="13">
        <f t="shared" si="101"/>
        <v>54.132875411962701</v>
      </c>
      <c r="FH126" s="20">
        <f t="shared" si="76"/>
        <v>477.59225257583557</v>
      </c>
      <c r="FI126" s="59">
        <f t="shared" si="77"/>
        <v>760.2745323926863</v>
      </c>
      <c r="FJ126" s="59">
        <f ca="1">AVERAGE(OFFSET($FI$3,0,0,'Données projet'!$E$16+1,1))-AVERAGE(OFFSET($H$3,0,0,'Données projet'!$E$16+1,1))</f>
        <v>441.20130048888439</v>
      </c>
      <c r="FK126" s="59">
        <f t="shared" si="102"/>
        <v>237.47732532183946</v>
      </c>
      <c r="FL126" s="15">
        <f>IF(ISNA(VLOOKUP(A126,'Données projet'!$A$217:$I$237,3,0)),0,VLOOKUP(A126,'Données projet'!$A$217:$I$237,3,0))</f>
        <v>12</v>
      </c>
      <c r="FM126" s="15">
        <f>IF(ISNA(VLOOKUP(A126,'Données projet'!$A$217:$I$237,4,0)),0,VLOOKUP(A126,'Données projet'!$A$217:$I$237,4,0))</f>
        <v>100.6</v>
      </c>
      <c r="FN126" s="16">
        <f>IF(ISNA(VLOOKUP(A126,'Données projet'!$A$217:$I$237,5,0)),0%,VLOOKUP(A126,'Données projet'!$A$217:$I$237,5,0)*VLOOKUP('Données projet'!$B$16,Paramètres!$A$1:$I$89,7,0))</f>
        <v>0.53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202.76549131498871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202.76549131498871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204.00000000000017</v>
      </c>
      <c r="GA126" s="17">
        <f>FZ126*VLOOKUP('Données projet'!$B$17,Paramètres!$A$1:$I$89,3,0)*VLOOKUP('Données projet'!$B$17,Paramètres!$A$1:$I$89,5,0)</f>
        <v>133.66080000000011</v>
      </c>
      <c r="GB126" s="13">
        <f t="shared" si="103"/>
        <v>34.840890682716783</v>
      </c>
      <c r="GC126" s="20">
        <f t="shared" si="79"/>
        <v>293.4737779390652</v>
      </c>
      <c r="GD126" s="59">
        <f t="shared" si="80"/>
        <v>576.15605775591587</v>
      </c>
      <c r="GE126" s="59">
        <f ca="1">AVERAGE(OFFSET($GD$3,0,0,'Données projet'!$E$17+1,1))-AVERAGE(OFFSET($H$3,0,0,'Données projet'!$E$17+1,1))</f>
        <v>257.66104339896992</v>
      </c>
      <c r="GF126" s="59">
        <f t="shared" si="104"/>
        <v>254.79488636184996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20.502626587086848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20.502626587086848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234.00000000000003</v>
      </c>
      <c r="GV126" s="17">
        <f>GU126*VLOOKUP('Données projet'!$B$18,Paramètres!$A$1:$I$89,3,0)*VLOOKUP('Données projet'!$B$18,Paramètres!$A$1:$I$89,5,0)</f>
        <v>189.82080000000005</v>
      </c>
      <c r="GW126" s="13">
        <f t="shared" si="105"/>
        <v>47.500332100049796</v>
      </c>
      <c r="GX126" s="20">
        <f t="shared" si="82"/>
        <v>413.33430507425345</v>
      </c>
      <c r="GY126" s="59">
        <f t="shared" si="83"/>
        <v>696.01658489110412</v>
      </c>
      <c r="GZ126" s="59">
        <f ca="1">AVERAGE(OFFSET($GY$3,0,0,'Données projet'!$E$18+1,1))-AVERAGE(OFFSET($H$3,0,0,'Données projet'!$E$18+1,1))</f>
        <v>299.98377156721153</v>
      </c>
      <c r="HA126" s="59">
        <f t="shared" si="106"/>
        <v>241.36164657721102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19.75303899790525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19.75303899790525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0.19750000000000512</v>
      </c>
      <c r="N127" s="13">
        <f>IF('Données projet'!$A$36&gt;35,N126+M127-V126,IF(A127&lt;'Données projet'!$A$36,$K$205^A127,IF(A127='Données projet'!$A$36,'Données projet'!$B$36,N126+M127-V126)))</f>
        <v>227.68750000000043</v>
      </c>
      <c r="O127" s="13">
        <f>N127*VLOOKUP('Données projet'!$B$9,Paramètres!$A$1:$I$89,3,0)*VLOOKUP('Données projet'!$B$9,Paramètres!$A$1:$I$89,5,0)</f>
        <v>206.01165000000037</v>
      </c>
      <c r="P127" s="13">
        <f t="shared" si="87"/>
        <v>51.063060633166664</v>
      </c>
      <c r="Q127" s="20">
        <f t="shared" si="107"/>
        <v>447.73845435276593</v>
      </c>
      <c r="R127" s="59">
        <f t="shared" si="55"/>
        <v>730.60550613593932</v>
      </c>
      <c r="S127" s="59">
        <f ca="1">AVERAGE(OFFSET($R$3,0,0,'Données projet'!$E$9+1,1))-AVERAGE(OFFSET($H$3,0,0,'Données projet'!$E$9+1,1))</f>
        <v>567.42635821507474</v>
      </c>
      <c r="T127" s="59">
        <f t="shared" si="88"/>
        <v>299.04735309930152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217.54309914891127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217.54309914891127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474.99999999999994</v>
      </c>
      <c r="AJ127" s="13">
        <f>AI127*VLOOKUP('Données projet'!$B$10,Paramètres!$A$1:$I$89,3,0)*VLOOKUP('Données projet'!$B$10,Paramètres!$A$1:$I$89,5,0)</f>
        <v>407.55</v>
      </c>
      <c r="AK127" s="13">
        <f t="shared" si="89"/>
        <v>93.305642095357683</v>
      </c>
      <c r="AL127" s="20">
        <f t="shared" si="58"/>
        <v>872.32357664941446</v>
      </c>
      <c r="AM127" s="59">
        <f t="shared" si="59"/>
        <v>1155.1906284325878</v>
      </c>
      <c r="AN127" s="59">
        <f ca="1">AVERAGE(OFFSET($AM$3,0,0,'Données projet'!$E$10+1,1))-AVERAGE(OFFSET($H$3,0,0,'Données projet'!$E$10+1,1))</f>
        <v>569.97793593332699</v>
      </c>
      <c r="AO127" s="59">
        <f t="shared" si="90"/>
        <v>331.25104323342907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112.91317879488649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112.91317879488649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277.99999999999994</v>
      </c>
      <c r="BE127" s="13">
        <f>BD127*VLOOKUP('Données projet'!$B$11,Paramètres!$A$1:$I$89,3,0)*VLOOKUP('Données projet'!$B$11,Paramètres!$A$1:$I$89,5,0)</f>
        <v>151.78799999999998</v>
      </c>
      <c r="BF127" s="13">
        <f t="shared" si="91"/>
        <v>38.984634390835623</v>
      </c>
      <c r="BG127" s="20">
        <f t="shared" si="61"/>
        <v>332.26233823070532</v>
      </c>
      <c r="BH127" s="59">
        <f t="shared" si="62"/>
        <v>615.12939001387872</v>
      </c>
      <c r="BI127" s="59">
        <f ca="1">AVERAGE(OFFSET($BH$3,0,0,'Données projet'!$E$11+1,1))-AVERAGE(OFFSET($H$3,0,0,'Données projet'!$E$11+1,1))</f>
        <v>215.37314197175104</v>
      </c>
      <c r="BJ127" s="59">
        <f t="shared" si="92"/>
        <v>361.17630426655978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5.7050321378470352</v>
      </c>
      <c r="BQ127" s="21">
        <f>EXP(-LN(2)/25)*BQ126+(1-EXP(-LN(2)/25))/(LN(2)/25)*Calculateur!BL127*Calculateur!BN127*VLOOKUP('Données projet'!$B$11,Paramètres!$A$1:$I$89,3,0)*0.475*44/12</f>
        <v>7.0890169806099435</v>
      </c>
      <c r="BR127" s="21">
        <f>EXP(-LN(2)/2)*BR126+(1-EXP(-LN(2)/2))/(LN(2)/2)*BL127*BO127*VLOOKUP('Données projet'!$B$11,Paramètres!$A$1:$I$89,3,0)*0.475*44/12</f>
        <v>1.8016387719808148E-16</v>
      </c>
      <c r="BS127" s="22">
        <f t="shared" si="63"/>
        <v>12.794049118456979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0.8600000000003547</v>
      </c>
      <c r="BZ127" s="13">
        <f>BY127*VLOOKUP('Données projet'!$B$12,Paramètres!$A$1:$I$89,3,0)*VLOOKUP('Données projet'!$B$12,Paramètres!$A$1:$I$89,5,0)</f>
        <v>0.48074000000019829</v>
      </c>
      <c r="CA127" s="13">
        <f t="shared" si="93"/>
        <v>0.24126147010950588</v>
      </c>
      <c r="CB127" s="20">
        <f t="shared" si="64"/>
        <v>1.2574858937744013</v>
      </c>
      <c r="CC127" s="59">
        <f t="shared" si="65"/>
        <v>284.12453767694774</v>
      </c>
      <c r="CD127" s="59">
        <f ca="1">AVERAGE(OFFSET($CC$3,0,0,'Données projet'!$E$12+1,1))-AVERAGE(OFFSET($H$3,0,0,'Données projet'!$E$12+1,1))</f>
        <v>420.4890915162182</v>
      </c>
      <c r="CE127" s="59">
        <f t="shared" si="94"/>
        <v>553.48432338023565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94.806557442517018</v>
      </c>
      <c r="CL127" s="21">
        <f>EXP(-LN(2)/25)*CL126+(1-EXP(-LN(2)/25))/(LN(2)/25)*Calculateur!CG127*Calculateur!CI127*VLOOKUP('Données projet'!$B$12,Paramètres!$A$1:$I$89,3,0)*0.475*44/12</f>
        <v>3.7327687855049829</v>
      </c>
      <c r="CM127" s="21">
        <f>EXP(-LN(2)/2)*CM126+(1-EXP(-LN(2)/2))/(LN(2)/2)*CG127*CJ127*VLOOKUP('Données projet'!$B$12,Paramètres!$A$1:$I$89,3,0)*0.475*44/12</f>
        <v>5.2574515696535125E-15</v>
      </c>
      <c r="CN127" s="22">
        <f t="shared" si="66"/>
        <v>98.539326228022006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367.99999999999972</v>
      </c>
      <c r="CU127" s="17">
        <f>CT127*VLOOKUP('Données projet'!$B$13,Paramètres!$A$1:$I$89,3,0)*VLOOKUP('Données projet'!$B$13,Paramètres!$A$1:$I$89,5,0)</f>
        <v>269.8175999999998</v>
      </c>
      <c r="CV127" s="13">
        <f t="shared" si="95"/>
        <v>64.810557882019467</v>
      </c>
      <c r="CW127" s="20">
        <f t="shared" si="67"/>
        <v>582.81070831118348</v>
      </c>
      <c r="CX127" s="59">
        <f t="shared" si="68"/>
        <v>865.67776009435681</v>
      </c>
      <c r="CY127" s="59">
        <f ca="1">AVERAGE(OFFSET($CX$3,0,0,'Données projet'!$E$13+1,1))-AVERAGE(OFFSET($H$3,0,0,'Données projet'!$E$13+1,1))</f>
        <v>400.48995908576177</v>
      </c>
      <c r="CZ127" s="59">
        <f t="shared" si="96"/>
        <v>384.86917865380076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19.279407201960979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19.279407201960979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367.99999999999972</v>
      </c>
      <c r="DP127" s="17">
        <f>DO127*VLOOKUP('Données projet'!$B$14,Paramètres!$A$1:$I$89,3,0)*VLOOKUP('Données projet'!$B$14,Paramètres!$A$1:$I$89,5,0)</f>
        <v>292.78079999999977</v>
      </c>
      <c r="DQ127" s="13">
        <f t="shared" si="97"/>
        <v>69.660903052386217</v>
      </c>
      <c r="DR127" s="20">
        <f t="shared" si="70"/>
        <v>631.25263281623893</v>
      </c>
      <c r="DS127" s="59">
        <f t="shared" si="71"/>
        <v>914.11968459941227</v>
      </c>
      <c r="DT127" s="59">
        <f ca="1">AVERAGE(OFFSET($DS$3,0,0,'Données projet'!$E$14+1,1))-AVERAGE(OFFSET($H$3,0,0,'Données projet'!$E$14+1,1))</f>
        <v>429.30603040255431</v>
      </c>
      <c r="DU127" s="59">
        <f t="shared" si="98"/>
        <v>412.18613903804726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25.785372423008656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25.785372423008656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210.25641025641013</v>
      </c>
      <c r="EK127" s="17">
        <f>EJ127*VLOOKUP('Données projet'!$B$15,Paramètres!$A$1:$I$89,3,0)*VLOOKUP('Données projet'!$B$15,Paramètres!$A$1:$I$89,5,0)</f>
        <v>163.99999999999991</v>
      </c>
      <c r="EL127" s="13">
        <f t="shared" si="99"/>
        <v>41.743425908362248</v>
      </c>
      <c r="EM127" s="20">
        <f t="shared" si="73"/>
        <v>358.33646679039742</v>
      </c>
      <c r="EN127" s="59">
        <f t="shared" si="74"/>
        <v>641.20351857357082</v>
      </c>
      <c r="EO127" s="59">
        <f ca="1">AVERAGE(OFFSET($EN$3,0,0,'Données projet'!$E$15+1,1))-AVERAGE(OFFSET($H$3,0,0,'Données projet'!$E$15+1,1))</f>
        <v>217.53602321474159</v>
      </c>
      <c r="EP127" s="59">
        <f t="shared" si="100"/>
        <v>215.75909414893025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10.866461123805271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10.866461123805271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0.19750000000000512</v>
      </c>
      <c r="FE127" s="12">
        <f>IF('Données projet'!$A$218&gt;35,FE126+FD127-FM126,IF(A127&lt;'Données projet'!$A$218,$FB$205^A127,IF(A127='Données projet'!$A$218,'Données projet'!$B$218,FE126+FD127-FM126)))</f>
        <v>227.68750000000043</v>
      </c>
      <c r="FF127" s="17">
        <f>FE127*VLOOKUP('Données projet'!$B$16,Paramètres!$A$1:$I$89,3,0)*VLOOKUP('Données projet'!$B$16,Paramètres!$A$1:$I$89,5,0)</f>
        <v>152.73277500000029</v>
      </c>
      <c r="FG127" s="13">
        <f t="shared" si="101"/>
        <v>39.198964476044708</v>
      </c>
      <c r="FH127" s="20">
        <f t="shared" si="76"/>
        <v>334.2811129207783</v>
      </c>
      <c r="FI127" s="59">
        <f t="shared" si="77"/>
        <v>617.14816470395158</v>
      </c>
      <c r="FJ127" s="59">
        <f ca="1">AVERAGE(OFFSET($FI$3,0,0,'Données projet'!$E$16+1,1))-AVERAGE(OFFSET($H$3,0,0,'Données projet'!$E$16+1,1))</f>
        <v>441.20130048888439</v>
      </c>
      <c r="FK127" s="59">
        <f t="shared" si="102"/>
        <v>237.47732532183946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198.78938370503963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198.78938370503963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204.00000000000017</v>
      </c>
      <c r="GA127" s="17">
        <f>FZ127*VLOOKUP('Données projet'!$B$17,Paramètres!$A$1:$I$89,3,0)*VLOOKUP('Données projet'!$B$17,Paramètres!$A$1:$I$89,5,0)</f>
        <v>133.66080000000011</v>
      </c>
      <c r="GB127" s="13">
        <f t="shared" si="103"/>
        <v>34.840890682716783</v>
      </c>
      <c r="GC127" s="20">
        <f t="shared" si="79"/>
        <v>293.4737779390652</v>
      </c>
      <c r="GD127" s="59">
        <f t="shared" si="80"/>
        <v>576.3408297222386</v>
      </c>
      <c r="GE127" s="59">
        <f ca="1">AVERAGE(OFFSET($GD$3,0,0,'Données projet'!$E$17+1,1))-AVERAGE(OFFSET($H$3,0,0,'Données projet'!$E$17+1,1))</f>
        <v>257.66104339896992</v>
      </c>
      <c r="GF127" s="59">
        <f t="shared" si="104"/>
        <v>254.79488636184996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20.10058258508149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20.10058258508149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234.00000000000003</v>
      </c>
      <c r="GV127" s="17">
        <f>GU127*VLOOKUP('Données projet'!$B$18,Paramètres!$A$1:$I$89,3,0)*VLOOKUP('Données projet'!$B$18,Paramètres!$A$1:$I$89,5,0)</f>
        <v>189.82080000000005</v>
      </c>
      <c r="GW127" s="13">
        <f t="shared" si="105"/>
        <v>47.500332100049796</v>
      </c>
      <c r="GX127" s="20">
        <f t="shared" si="82"/>
        <v>413.33430507425345</v>
      </c>
      <c r="GY127" s="59">
        <f t="shared" si="83"/>
        <v>696.20135685742684</v>
      </c>
      <c r="GZ127" s="59">
        <f ca="1">AVERAGE(OFFSET($GY$3,0,0,'Données projet'!$E$18+1,1))-AVERAGE(OFFSET($H$3,0,0,'Données projet'!$E$18+1,1))</f>
        <v>299.98377156721153</v>
      </c>
      <c r="HA127" s="59">
        <f t="shared" si="106"/>
        <v>241.36164657721102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19.365693951320459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19.365693951320459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0.19750000000000512</v>
      </c>
      <c r="N128" s="13">
        <f>IF('Données projet'!$A$36&gt;35,N127+M128-V127,IF(A128&lt;'Données projet'!$A$36,$K$205^A128,IF(A128='Données projet'!$A$36,'Données projet'!$B$36,N127+M128-V127)))</f>
        <v>227.88500000000045</v>
      </c>
      <c r="O128" s="13">
        <f>N128*VLOOKUP('Données projet'!$B$9,Paramètres!$A$1:$I$89,3,0)*VLOOKUP('Données projet'!$B$9,Paramètres!$A$1:$I$89,5,0)</f>
        <v>206.19034800000037</v>
      </c>
      <c r="P128" s="13">
        <f t="shared" si="87"/>
        <v>51.102195921911175</v>
      </c>
      <c r="Q128" s="20">
        <f t="shared" si="107"/>
        <v>448.11784733066253</v>
      </c>
      <c r="R128" s="59">
        <f t="shared" si="55"/>
        <v>731.16646569963109</v>
      </c>
      <c r="S128" s="59">
        <f ca="1">AVERAGE(OFFSET($R$3,0,0,'Données projet'!$E$9+1,1))-AVERAGE(OFFSET($H$3,0,0,'Données projet'!$E$9+1,1))</f>
        <v>567.42635821507474</v>
      </c>
      <c r="T128" s="59">
        <f t="shared" si="88"/>
        <v>299.04735309930152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213.27721166278974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213.27721166278974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474.99999999999994</v>
      </c>
      <c r="AJ128" s="13">
        <f>AI128*VLOOKUP('Données projet'!$B$10,Paramètres!$A$1:$I$89,3,0)*VLOOKUP('Données projet'!$B$10,Paramètres!$A$1:$I$89,5,0)</f>
        <v>407.55</v>
      </c>
      <c r="AK128" s="13">
        <f t="shared" si="89"/>
        <v>93.305642095357683</v>
      </c>
      <c r="AL128" s="20">
        <f t="shared" si="58"/>
        <v>872.32357664941446</v>
      </c>
      <c r="AM128" s="59">
        <f t="shared" si="59"/>
        <v>1155.3721950183831</v>
      </c>
      <c r="AN128" s="59">
        <f ca="1">AVERAGE(OFFSET($AM$3,0,0,'Données projet'!$E$10+1,1))-AVERAGE(OFFSET($H$3,0,0,'Données projet'!$E$10+1,1))</f>
        <v>569.97793593332699</v>
      </c>
      <c r="AO128" s="59">
        <f t="shared" si="90"/>
        <v>331.25104323342907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110.69902022895747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110.69902022895747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277.99999999999994</v>
      </c>
      <c r="BE128" s="13">
        <f>BD128*VLOOKUP('Données projet'!$B$11,Paramètres!$A$1:$I$89,3,0)*VLOOKUP('Données projet'!$B$11,Paramètres!$A$1:$I$89,5,0)</f>
        <v>151.78799999999998</v>
      </c>
      <c r="BF128" s="13">
        <f t="shared" si="91"/>
        <v>38.984634390835623</v>
      </c>
      <c r="BG128" s="20">
        <f t="shared" si="61"/>
        <v>332.26233823070532</v>
      </c>
      <c r="BH128" s="59">
        <f t="shared" si="62"/>
        <v>615.31095659967377</v>
      </c>
      <c r="BI128" s="59">
        <f ca="1">AVERAGE(OFFSET($BH$3,0,0,'Données projet'!$E$11+1,1))-AVERAGE(OFFSET($H$3,0,0,'Données projet'!$E$11+1,1))</f>
        <v>215.37314197175104</v>
      </c>
      <c r="BJ128" s="59">
        <f t="shared" si="92"/>
        <v>361.17630426655978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5.5931599373498644</v>
      </c>
      <c r="BQ128" s="21">
        <f>EXP(-LN(2)/25)*BQ127+(1-EXP(-LN(2)/25))/(LN(2)/25)*Calculateur!BL128*Calculateur!BN128*VLOOKUP('Données projet'!$B$11,Paramètres!$A$1:$I$89,3,0)*0.475*44/12</f>
        <v>6.8951674384799633</v>
      </c>
      <c r="BR128" s="21">
        <f>EXP(-LN(2)/2)*BR127+(1-EXP(-LN(2)/2))/(LN(2)/2)*BL128*BO128*VLOOKUP('Données projet'!$B$11,Paramètres!$A$1:$I$89,3,0)*0.475*44/12</f>
        <v>1.2739509929162382E-16</v>
      </c>
      <c r="BS128" s="22">
        <f t="shared" si="63"/>
        <v>12.488327375829828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0.8600000000003547</v>
      </c>
      <c r="BZ128" s="13">
        <f>BY128*VLOOKUP('Données projet'!$B$12,Paramètres!$A$1:$I$89,3,0)*VLOOKUP('Données projet'!$B$12,Paramètres!$A$1:$I$89,5,0)</f>
        <v>0.48074000000019829</v>
      </c>
      <c r="CA128" s="13">
        <f t="shared" si="93"/>
        <v>0.24126147010950588</v>
      </c>
      <c r="CB128" s="20">
        <f t="shared" si="64"/>
        <v>1.2574858937744013</v>
      </c>
      <c r="CC128" s="59">
        <f t="shared" si="65"/>
        <v>284.30610426274291</v>
      </c>
      <c r="CD128" s="59">
        <f ca="1">AVERAGE(OFFSET($CC$3,0,0,'Données projet'!$E$12+1,1))-AVERAGE(OFFSET($H$3,0,0,'Données projet'!$E$12+1,1))</f>
        <v>420.4890915162182</v>
      </c>
      <c r="CE128" s="59">
        <f t="shared" si="94"/>
        <v>553.48432338023565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92.947458677359421</v>
      </c>
      <c r="CL128" s="21">
        <f>EXP(-LN(2)/25)*CL127+(1-EXP(-LN(2)/25))/(LN(2)/25)*Calculateur!CG128*Calculateur!CI128*VLOOKUP('Données projet'!$B$12,Paramètres!$A$1:$I$89,3,0)*0.475*44/12</f>
        <v>3.6306960267675703</v>
      </c>
      <c r="CM128" s="21">
        <f>EXP(-LN(2)/2)*CM127+(1-EXP(-LN(2)/2))/(LN(2)/2)*CG128*CJ128*VLOOKUP('Données projet'!$B$12,Paramètres!$A$1:$I$89,3,0)*0.475*44/12</f>
        <v>3.717579656661857E-15</v>
      </c>
      <c r="CN128" s="22">
        <f t="shared" si="66"/>
        <v>96.578154704126987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367.99999999999972</v>
      </c>
      <c r="CU128" s="17">
        <f>CT128*VLOOKUP('Données projet'!$B$13,Paramètres!$A$1:$I$89,3,0)*VLOOKUP('Données projet'!$B$13,Paramètres!$A$1:$I$89,5,0)</f>
        <v>269.8175999999998</v>
      </c>
      <c r="CV128" s="13">
        <f t="shared" si="95"/>
        <v>64.810557882019467</v>
      </c>
      <c r="CW128" s="20">
        <f t="shared" si="67"/>
        <v>582.81070831118348</v>
      </c>
      <c r="CX128" s="59">
        <f t="shared" si="68"/>
        <v>865.85932668015198</v>
      </c>
      <c r="CY128" s="59">
        <f ca="1">AVERAGE(OFFSET($CX$3,0,0,'Données projet'!$E$13+1,1))-AVERAGE(OFFSET($H$3,0,0,'Données projet'!$E$13+1,1))</f>
        <v>400.48995908576177</v>
      </c>
      <c r="CZ128" s="59">
        <f t="shared" si="96"/>
        <v>384.86917865380076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18.901349786007785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18.901349786007785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367.99999999999972</v>
      </c>
      <c r="DP128" s="17">
        <f>DO128*VLOOKUP('Données projet'!$B$14,Paramètres!$A$1:$I$89,3,0)*VLOOKUP('Données projet'!$B$14,Paramètres!$A$1:$I$89,5,0)</f>
        <v>292.78079999999977</v>
      </c>
      <c r="DQ128" s="13">
        <f t="shared" si="97"/>
        <v>69.660903052386217</v>
      </c>
      <c r="DR128" s="20">
        <f t="shared" si="70"/>
        <v>631.25263281623893</v>
      </c>
      <c r="DS128" s="59">
        <f t="shared" si="71"/>
        <v>914.30125118520743</v>
      </c>
      <c r="DT128" s="59">
        <f ca="1">AVERAGE(OFFSET($DS$3,0,0,'Données projet'!$E$14+1,1))-AVERAGE(OFFSET($H$3,0,0,'Données projet'!$E$14+1,1))</f>
        <v>429.30603040255431</v>
      </c>
      <c r="DU128" s="59">
        <f t="shared" si="98"/>
        <v>412.18613903804726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25.27973699731767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25.27973699731767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210.25641025641013</v>
      </c>
      <c r="EK128" s="17">
        <f>EJ128*VLOOKUP('Données projet'!$B$15,Paramètres!$A$1:$I$89,3,0)*VLOOKUP('Données projet'!$B$15,Paramètres!$A$1:$I$89,5,0)</f>
        <v>163.99999999999991</v>
      </c>
      <c r="EL128" s="13">
        <f t="shared" si="99"/>
        <v>41.743425908362248</v>
      </c>
      <c r="EM128" s="20">
        <f t="shared" si="73"/>
        <v>358.33646679039742</v>
      </c>
      <c r="EN128" s="59">
        <f t="shared" si="74"/>
        <v>641.38508515936587</v>
      </c>
      <c r="EO128" s="59">
        <f ca="1">AVERAGE(OFFSET($EN$3,0,0,'Données projet'!$E$15+1,1))-AVERAGE(OFFSET($H$3,0,0,'Données projet'!$E$15+1,1))</f>
        <v>217.53602321474159</v>
      </c>
      <c r="EP128" s="59">
        <f t="shared" si="100"/>
        <v>215.75909414893025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10.653376449054285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10.653376449054285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0.19750000000000512</v>
      </c>
      <c r="FE128" s="12">
        <f>IF('Données projet'!$A$218&gt;35,FE127+FD128-FM127,IF(A128&lt;'Données projet'!$A$218,$FB$205^A128,IF(A128='Données projet'!$A$218,'Données projet'!$B$218,FE127+FD128-FM127)))</f>
        <v>227.88500000000045</v>
      </c>
      <c r="FF128" s="17">
        <f>FE128*VLOOKUP('Données projet'!$B$16,Paramètres!$A$1:$I$89,3,0)*VLOOKUP('Données projet'!$B$16,Paramètres!$A$1:$I$89,5,0)</f>
        <v>152.8652580000003</v>
      </c>
      <c r="FG128" s="13">
        <f t="shared" si="101"/>
        <v>39.229006991597707</v>
      </c>
      <c r="FH128" s="20">
        <f t="shared" si="76"/>
        <v>334.56417819369989</v>
      </c>
      <c r="FI128" s="59">
        <f t="shared" si="77"/>
        <v>617.61279656266834</v>
      </c>
      <c r="FJ128" s="59">
        <f ca="1">AVERAGE(OFFSET($FI$3,0,0,'Données projet'!$E$16+1,1))-AVERAGE(OFFSET($H$3,0,0,'Données projet'!$E$16+1,1))</f>
        <v>441.20130048888439</v>
      </c>
      <c r="FK128" s="59">
        <f t="shared" si="102"/>
        <v>237.47732532183946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194.89124514013545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194.89124514013545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204.00000000000017</v>
      </c>
      <c r="GA128" s="17">
        <f>FZ128*VLOOKUP('Données projet'!$B$17,Paramètres!$A$1:$I$89,3,0)*VLOOKUP('Données projet'!$B$17,Paramètres!$A$1:$I$89,5,0)</f>
        <v>133.66080000000011</v>
      </c>
      <c r="GB128" s="13">
        <f t="shared" si="103"/>
        <v>34.840890682716783</v>
      </c>
      <c r="GC128" s="20">
        <f t="shared" si="79"/>
        <v>293.4737779390652</v>
      </c>
      <c r="GD128" s="59">
        <f t="shared" si="80"/>
        <v>576.52239630803365</v>
      </c>
      <c r="GE128" s="59">
        <f ca="1">AVERAGE(OFFSET($GD$3,0,0,'Données projet'!$E$17+1,1))-AVERAGE(OFFSET($H$3,0,0,'Données projet'!$E$17+1,1))</f>
        <v>257.66104339896992</v>
      </c>
      <c r="GF128" s="59">
        <f t="shared" si="104"/>
        <v>254.79488636184996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19.706422420732832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19.706422420732832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234.00000000000003</v>
      </c>
      <c r="GV128" s="17">
        <f>GU128*VLOOKUP('Données projet'!$B$18,Paramètres!$A$1:$I$89,3,0)*VLOOKUP('Données projet'!$B$18,Paramètres!$A$1:$I$89,5,0)</f>
        <v>189.82080000000005</v>
      </c>
      <c r="GW128" s="13">
        <f t="shared" si="105"/>
        <v>47.500332100049796</v>
      </c>
      <c r="GX128" s="20">
        <f t="shared" si="82"/>
        <v>413.33430507425345</v>
      </c>
      <c r="GY128" s="59">
        <f t="shared" si="83"/>
        <v>696.3829234432219</v>
      </c>
      <c r="GZ128" s="59">
        <f ca="1">AVERAGE(OFFSET($GY$3,0,0,'Données projet'!$E$18+1,1))-AVERAGE(OFFSET($H$3,0,0,'Données projet'!$E$18+1,1))</f>
        <v>299.98377156721153</v>
      </c>
      <c r="HA128" s="59">
        <f t="shared" si="106"/>
        <v>241.36164657721102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18.985944504842045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18.985944504842045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0.19750000000000512</v>
      </c>
      <c r="N129" s="13">
        <f>IF('Données projet'!$A$36&gt;35,N128+M129-V128,IF(A129&lt;'Données projet'!$A$36,$K$205^A129,IF(A129='Données projet'!$A$36,'Données projet'!$B$36,N128+M129-V128)))</f>
        <v>228.08250000000044</v>
      </c>
      <c r="O129" s="13">
        <f>N129*VLOOKUP('Données projet'!$B$9,Paramètres!$A$1:$I$89,3,0)*VLOOKUP('Données projet'!$B$9,Paramètres!$A$1:$I$89,5,0)</f>
        <v>206.3690460000004</v>
      </c>
      <c r="P129" s="13">
        <f t="shared" si="87"/>
        <v>51.141327262893078</v>
      </c>
      <c r="Q129" s="20">
        <f t="shared" si="107"/>
        <v>448.49723343287286</v>
      </c>
      <c r="R129" s="59">
        <f t="shared" si="55"/>
        <v>731.72426861329507</v>
      </c>
      <c r="S129" s="59">
        <f ca="1">AVERAGE(OFFSET($R$3,0,0,'Données projet'!$E$9+1,1))-AVERAGE(OFFSET($H$3,0,0,'Données projet'!$E$9+1,1))</f>
        <v>567.42635821507474</v>
      </c>
      <c r="T129" s="59">
        <f t="shared" si="88"/>
        <v>299.04735309930152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209.09497562833658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209.09497562833658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474.99999999999994</v>
      </c>
      <c r="AJ129" s="13">
        <f>AI129*VLOOKUP('Données projet'!$B$10,Paramètres!$A$1:$I$89,3,0)*VLOOKUP('Données projet'!$B$10,Paramètres!$A$1:$I$89,5,0)</f>
        <v>407.55</v>
      </c>
      <c r="AK129" s="13">
        <f t="shared" si="89"/>
        <v>93.305642095357683</v>
      </c>
      <c r="AL129" s="20">
        <f t="shared" si="58"/>
        <v>872.32357664941446</v>
      </c>
      <c r="AM129" s="59">
        <f t="shared" si="59"/>
        <v>1155.5506118298367</v>
      </c>
      <c r="AN129" s="59">
        <f ca="1">AVERAGE(OFFSET($AM$3,0,0,'Données projet'!$E$10+1,1))-AVERAGE(OFFSET($H$3,0,0,'Données projet'!$E$10+1,1))</f>
        <v>569.97793593332699</v>
      </c>
      <c r="AO129" s="59">
        <f t="shared" si="90"/>
        <v>331.25104323342907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108.52827996200293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108.52827996200293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277.99999999999994</v>
      </c>
      <c r="BE129" s="13">
        <f>BD129*VLOOKUP('Données projet'!$B$11,Paramètres!$A$1:$I$89,3,0)*VLOOKUP('Données projet'!$B$11,Paramètres!$A$1:$I$89,5,0)</f>
        <v>151.78799999999998</v>
      </c>
      <c r="BF129" s="13">
        <f t="shared" si="91"/>
        <v>38.984634390835623</v>
      </c>
      <c r="BG129" s="20">
        <f t="shared" si="61"/>
        <v>332.26233823070532</v>
      </c>
      <c r="BH129" s="59">
        <f t="shared" si="62"/>
        <v>615.48937341112753</v>
      </c>
      <c r="BI129" s="59">
        <f ca="1">AVERAGE(OFFSET($BH$3,0,0,'Données projet'!$E$11+1,1))-AVERAGE(OFFSET($H$3,0,0,'Données projet'!$E$11+1,1))</f>
        <v>215.37314197175104</v>
      </c>
      <c r="BJ129" s="59">
        <f t="shared" si="92"/>
        <v>361.17630426655978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5.4834814824691387</v>
      </c>
      <c r="BQ129" s="21">
        <f>EXP(-LN(2)/25)*BQ128+(1-EXP(-LN(2)/25))/(LN(2)/25)*Calculateur!BL129*Calculateur!BN129*VLOOKUP('Données projet'!$B$11,Paramètres!$A$1:$I$89,3,0)*0.475*44/12</f>
        <v>6.7066187222736326</v>
      </c>
      <c r="BR129" s="21">
        <f>EXP(-LN(2)/2)*BR128+(1-EXP(-LN(2)/2))/(LN(2)/2)*BL129*BO129*VLOOKUP('Données projet'!$B$11,Paramètres!$A$1:$I$89,3,0)*0.475*44/12</f>
        <v>9.008193859904074E-17</v>
      </c>
      <c r="BS129" s="22">
        <f t="shared" si="63"/>
        <v>12.190100204742771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0.8600000000003547</v>
      </c>
      <c r="BZ129" s="13">
        <f>BY129*VLOOKUP('Données projet'!$B$12,Paramètres!$A$1:$I$89,3,0)*VLOOKUP('Données projet'!$B$12,Paramètres!$A$1:$I$89,5,0)</f>
        <v>0.48074000000019829</v>
      </c>
      <c r="CA129" s="13">
        <f t="shared" si="93"/>
        <v>0.24126147010950588</v>
      </c>
      <c r="CB129" s="20">
        <f t="shared" si="64"/>
        <v>1.2574858937744013</v>
      </c>
      <c r="CC129" s="59">
        <f t="shared" si="65"/>
        <v>284.48452107419661</v>
      </c>
      <c r="CD129" s="59">
        <f ca="1">AVERAGE(OFFSET($CC$3,0,0,'Données projet'!$E$12+1,1))-AVERAGE(OFFSET($H$3,0,0,'Données projet'!$E$12+1,1))</f>
        <v>420.4890915162182</v>
      </c>
      <c r="CE129" s="59">
        <f t="shared" si="94"/>
        <v>553.48432338023565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91.124815705048292</v>
      </c>
      <c r="CL129" s="21">
        <f>EXP(-LN(2)/25)*CL128+(1-EXP(-LN(2)/25))/(LN(2)/25)*Calculateur!CG129*Calculateur!CI129*VLOOKUP('Données projet'!$B$12,Paramètres!$A$1:$I$89,3,0)*0.475*44/12</f>
        <v>3.5314144529856053</v>
      </c>
      <c r="CM129" s="21">
        <f>EXP(-LN(2)/2)*CM128+(1-EXP(-LN(2)/2))/(LN(2)/2)*CG129*CJ129*VLOOKUP('Données projet'!$B$12,Paramètres!$A$1:$I$89,3,0)*0.475*44/12</f>
        <v>2.6287257848267563E-15</v>
      </c>
      <c r="CN129" s="22">
        <f t="shared" si="66"/>
        <v>94.656230158033893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367.99999999999972</v>
      </c>
      <c r="CU129" s="17">
        <f>CT129*VLOOKUP('Données projet'!$B$13,Paramètres!$A$1:$I$89,3,0)*VLOOKUP('Données projet'!$B$13,Paramètres!$A$1:$I$89,5,0)</f>
        <v>269.8175999999998</v>
      </c>
      <c r="CV129" s="13">
        <f t="shared" si="95"/>
        <v>64.810557882019467</v>
      </c>
      <c r="CW129" s="20">
        <f t="shared" si="67"/>
        <v>582.81070831118348</v>
      </c>
      <c r="CX129" s="59">
        <f t="shared" si="68"/>
        <v>866.03774349160562</v>
      </c>
      <c r="CY129" s="59">
        <f ca="1">AVERAGE(OFFSET($CX$3,0,0,'Données projet'!$E$13+1,1))-AVERAGE(OFFSET($H$3,0,0,'Données projet'!$E$13+1,1))</f>
        <v>400.48995908576177</v>
      </c>
      <c r="CZ129" s="59">
        <f t="shared" si="96"/>
        <v>384.86917865380076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18.530705845389178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18.530705845389178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367.99999999999972</v>
      </c>
      <c r="DP129" s="17">
        <f>DO129*VLOOKUP('Données projet'!$B$14,Paramètres!$A$1:$I$89,3,0)*VLOOKUP('Données projet'!$B$14,Paramètres!$A$1:$I$89,5,0)</f>
        <v>292.78079999999977</v>
      </c>
      <c r="DQ129" s="13">
        <f t="shared" si="97"/>
        <v>69.660903052386217</v>
      </c>
      <c r="DR129" s="20">
        <f t="shared" si="70"/>
        <v>631.25263281623893</v>
      </c>
      <c r="DS129" s="59">
        <f t="shared" si="71"/>
        <v>914.47966799666119</v>
      </c>
      <c r="DT129" s="59">
        <f ca="1">AVERAGE(OFFSET($DS$3,0,0,'Données projet'!$E$14+1,1))-AVERAGE(OFFSET($H$3,0,0,'Données projet'!$E$14+1,1))</f>
        <v>429.30603040255431</v>
      </c>
      <c r="DU129" s="59">
        <f t="shared" si="98"/>
        <v>412.18613903804726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24.784016773917326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24.784016773917326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210.25641025641013</v>
      </c>
      <c r="EK129" s="17">
        <f>EJ129*VLOOKUP('Données projet'!$B$15,Paramètres!$A$1:$I$89,3,0)*VLOOKUP('Données projet'!$B$15,Paramètres!$A$1:$I$89,5,0)</f>
        <v>163.99999999999991</v>
      </c>
      <c r="EL129" s="13">
        <f t="shared" si="99"/>
        <v>41.743425908362248</v>
      </c>
      <c r="EM129" s="20">
        <f t="shared" si="73"/>
        <v>358.33646679039742</v>
      </c>
      <c r="EN129" s="59">
        <f t="shared" si="74"/>
        <v>641.56350197081963</v>
      </c>
      <c r="EO129" s="59">
        <f ca="1">AVERAGE(OFFSET($EN$3,0,0,'Données projet'!$E$15+1,1))-AVERAGE(OFFSET($H$3,0,0,'Données projet'!$E$15+1,1))</f>
        <v>217.53602321474159</v>
      </c>
      <c r="EP129" s="59">
        <f t="shared" si="100"/>
        <v>215.75909414893025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10.444470234806348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10.444470234806348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0.19750000000000512</v>
      </c>
      <c r="FE129" s="12">
        <f>IF('Données projet'!$A$218&gt;35,FE128+FD129-FM128,IF(A129&lt;'Données projet'!$A$218,$FB$205^A129,IF(A129='Données projet'!$A$218,'Données projet'!$B$218,FE128+FD129-FM128)))</f>
        <v>228.08250000000044</v>
      </c>
      <c r="FF129" s="17">
        <f>FE129*VLOOKUP('Données projet'!$B$16,Paramètres!$A$1:$I$89,3,0)*VLOOKUP('Données projet'!$B$16,Paramètres!$A$1:$I$89,5,0)</f>
        <v>152.9977410000003</v>
      </c>
      <c r="FG129" s="13">
        <f t="shared" si="101"/>
        <v>39.259046476619361</v>
      </c>
      <c r="FH129" s="20">
        <f t="shared" si="76"/>
        <v>334.84723818844589</v>
      </c>
      <c r="FI129" s="59">
        <f t="shared" si="77"/>
        <v>618.07427336886803</v>
      </c>
      <c r="FJ129" s="59">
        <f ca="1">AVERAGE(OFFSET($FI$3,0,0,'Données projet'!$E$16+1,1))-AVERAGE(OFFSET($H$3,0,0,'Données projet'!$E$16+1,1))</f>
        <v>441.20130048888439</v>
      </c>
      <c r="FK129" s="59">
        <f t="shared" si="102"/>
        <v>237.47732532183946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191.0695466948593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191.0695466948593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204.00000000000017</v>
      </c>
      <c r="GA129" s="17">
        <f>FZ129*VLOOKUP('Données projet'!$B$17,Paramètres!$A$1:$I$89,3,0)*VLOOKUP('Données projet'!$B$17,Paramètres!$A$1:$I$89,5,0)</f>
        <v>133.66080000000011</v>
      </c>
      <c r="GB129" s="13">
        <f t="shared" si="103"/>
        <v>34.840890682716783</v>
      </c>
      <c r="GC129" s="20">
        <f t="shared" si="79"/>
        <v>293.4737779390652</v>
      </c>
      <c r="GD129" s="59">
        <f t="shared" si="80"/>
        <v>576.70081311948741</v>
      </c>
      <c r="GE129" s="59">
        <f ca="1">AVERAGE(OFFSET($GD$3,0,0,'Données projet'!$E$17+1,1))-AVERAGE(OFFSET($H$3,0,0,'Données projet'!$E$17+1,1))</f>
        <v>257.66104339896992</v>
      </c>
      <c r="GF129" s="59">
        <f t="shared" si="104"/>
        <v>254.79488636184996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19.319991496793087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19.319991496793087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234.00000000000003</v>
      </c>
      <c r="GV129" s="17">
        <f>GU129*VLOOKUP('Données projet'!$B$18,Paramètres!$A$1:$I$89,3,0)*VLOOKUP('Données projet'!$B$18,Paramètres!$A$1:$I$89,5,0)</f>
        <v>189.82080000000005</v>
      </c>
      <c r="GW129" s="13">
        <f t="shared" si="105"/>
        <v>47.500332100049796</v>
      </c>
      <c r="GX129" s="20">
        <f t="shared" si="82"/>
        <v>413.33430507425345</v>
      </c>
      <c r="GY129" s="59">
        <f t="shared" si="83"/>
        <v>696.56134025467566</v>
      </c>
      <c r="GZ129" s="59">
        <f ca="1">AVERAGE(OFFSET($GY$3,0,0,'Données projet'!$E$18+1,1))-AVERAGE(OFFSET($H$3,0,0,'Données projet'!$E$18+1,1))</f>
        <v>299.98377156721153</v>
      </c>
      <c r="HA129" s="59">
        <f t="shared" si="106"/>
        <v>241.36164657721102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18.613641713384784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18.613641713384784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228.28</v>
      </c>
      <c r="L130" s="12">
        <f>VLOOKUP(A130,'Données projet'!$A$35:$I$55,9,0)</f>
        <v>0.19750000000000512</v>
      </c>
      <c r="M130" s="12">
        <f t="array" ref="M130">INDEX(L:L,MIN(IF(ISNUMBER(L130:L326),ROW(L130:L326),"")))</f>
        <v>0.19750000000000512</v>
      </c>
      <c r="N130" s="13">
        <f>IF('Données projet'!$A$36&gt;35,N129+M130-V129,IF(A130&lt;'Données projet'!$A$36,$K$205^A130,IF(A130='Données projet'!$A$36,'Données projet'!$B$36,N129+M130-V129)))</f>
        <v>228.28000000000043</v>
      </c>
      <c r="O130" s="13">
        <f>N130*VLOOKUP('Données projet'!$B$9,Paramètres!$A$1:$I$89,3,0)*VLOOKUP('Données projet'!$B$9,Paramètres!$A$1:$I$89,5,0)</f>
        <v>206.54774400000036</v>
      </c>
      <c r="P130" s="13">
        <f t="shared" si="87"/>
        <v>51.180454659928444</v>
      </c>
      <c r="Q130" s="20">
        <f t="shared" si="107"/>
        <v>448.8766126660426</v>
      </c>
      <c r="R130" s="59">
        <f t="shared" si="55"/>
        <v>732.27896952512003</v>
      </c>
      <c r="S130" s="59">
        <f ca="1">AVERAGE(OFFSET($R$3,0,0,'Données projet'!$E$9+1,1))-AVERAGE(OFFSET($H$3,0,0,'Données projet'!$E$9+1,1))</f>
        <v>567.42635821507474</v>
      </c>
      <c r="T130" s="59">
        <f t="shared" si="88"/>
        <v>299.04735309930152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65.02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232.95976996943133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232.95976996943133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474.99999999999994</v>
      </c>
      <c r="AJ130" s="13">
        <f>AI130*VLOOKUP('Données projet'!$B$10,Paramètres!$A$1:$I$89,3,0)*VLOOKUP('Données projet'!$B$10,Paramètres!$A$1:$I$89,5,0)</f>
        <v>407.55</v>
      </c>
      <c r="AK130" s="13">
        <f t="shared" si="89"/>
        <v>93.305642095357683</v>
      </c>
      <c r="AL130" s="20">
        <f t="shared" si="58"/>
        <v>872.32357664941446</v>
      </c>
      <c r="AM130" s="59">
        <f t="shared" si="59"/>
        <v>1155.7259335084918</v>
      </c>
      <c r="AN130" s="59">
        <f ca="1">AVERAGE(OFFSET($AM$3,0,0,'Données projet'!$E$10+1,1))-AVERAGE(OFFSET($H$3,0,0,'Données projet'!$E$10+1,1))</f>
        <v>569.97793593332699</v>
      </c>
      <c r="AO130" s="59">
        <f t="shared" si="90"/>
        <v>331.25104323342907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106.40010658766255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106.40010658766255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277.99999999999994</v>
      </c>
      <c r="BE130" s="13">
        <f>BD130*VLOOKUP('Données projet'!$B$11,Paramètres!$A$1:$I$89,3,0)*VLOOKUP('Données projet'!$B$11,Paramètres!$A$1:$I$89,5,0)</f>
        <v>151.78799999999998</v>
      </c>
      <c r="BF130" s="13">
        <f t="shared" si="91"/>
        <v>38.984634390835623</v>
      </c>
      <c r="BG130" s="20">
        <f t="shared" si="61"/>
        <v>332.26233823070532</v>
      </c>
      <c r="BH130" s="59">
        <f t="shared" si="62"/>
        <v>615.66469508978275</v>
      </c>
      <c r="BI130" s="59">
        <f ca="1">AVERAGE(OFFSET($BH$3,0,0,'Données projet'!$E$11+1,1))-AVERAGE(OFFSET($H$3,0,0,'Données projet'!$E$11+1,1))</f>
        <v>215.37314197175104</v>
      </c>
      <c r="BJ130" s="59">
        <f t="shared" si="92"/>
        <v>361.17630426655978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5.3759537551913716</v>
      </c>
      <c r="BQ130" s="21">
        <f>EXP(-LN(2)/25)*BQ129+(1-EXP(-LN(2)/25))/(LN(2)/25)*Calculateur!BL130*Calculateur!BN130*VLOOKUP('Données projet'!$B$11,Paramètres!$A$1:$I$89,3,0)*0.475*44/12</f>
        <v>6.5232258806273098</v>
      </c>
      <c r="BR130" s="21">
        <f>EXP(-LN(2)/2)*BR129+(1-EXP(-LN(2)/2))/(LN(2)/2)*BL130*BO130*VLOOKUP('Données projet'!$B$11,Paramètres!$A$1:$I$89,3,0)*0.475*44/12</f>
        <v>6.3697549645811908E-17</v>
      </c>
      <c r="BS130" s="22">
        <f t="shared" si="63"/>
        <v>11.899179635818681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0.8600000000003547</v>
      </c>
      <c r="BZ130" s="13">
        <f>BY130*VLOOKUP('Données projet'!$B$12,Paramètres!$A$1:$I$89,3,0)*VLOOKUP('Données projet'!$B$12,Paramètres!$A$1:$I$89,5,0)</f>
        <v>0.48074000000019829</v>
      </c>
      <c r="CA130" s="13">
        <f t="shared" si="93"/>
        <v>0.24126147010950588</v>
      </c>
      <c r="CB130" s="20">
        <f t="shared" si="64"/>
        <v>1.2574858937744013</v>
      </c>
      <c r="CC130" s="59">
        <f t="shared" si="65"/>
        <v>284.65984275285183</v>
      </c>
      <c r="CD130" s="59">
        <f ca="1">AVERAGE(OFFSET($CC$3,0,0,'Données projet'!$E$12+1,1))-AVERAGE(OFFSET($H$3,0,0,'Données projet'!$E$12+1,1))</f>
        <v>420.4890915162182</v>
      </c>
      <c r="CE130" s="59">
        <f t="shared" si="94"/>
        <v>553.48432338023565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89.337913649721742</v>
      </c>
      <c r="CL130" s="21">
        <f>EXP(-LN(2)/25)*CL129+(1-EXP(-LN(2)/25))/(LN(2)/25)*Calculateur!CG130*Calculateur!CI130*VLOOKUP('Données projet'!$B$12,Paramètres!$A$1:$I$89,3,0)*0.475*44/12</f>
        <v>3.4348477390596992</v>
      </c>
      <c r="CM130" s="21">
        <f>EXP(-LN(2)/2)*CM129+(1-EXP(-LN(2)/2))/(LN(2)/2)*CG130*CJ130*VLOOKUP('Données projet'!$B$12,Paramètres!$A$1:$I$89,3,0)*0.475*44/12</f>
        <v>1.8587898283309285E-15</v>
      </c>
      <c r="CN130" s="22">
        <f t="shared" si="66"/>
        <v>92.772761388781447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367.99999999999972</v>
      </c>
      <c r="CU130" s="17">
        <f>CT130*VLOOKUP('Données projet'!$B$13,Paramètres!$A$1:$I$89,3,0)*VLOOKUP('Données projet'!$B$13,Paramètres!$A$1:$I$89,5,0)</f>
        <v>269.8175999999998</v>
      </c>
      <c r="CV130" s="13">
        <f t="shared" si="95"/>
        <v>64.810557882019467</v>
      </c>
      <c r="CW130" s="20">
        <f t="shared" si="67"/>
        <v>582.81070831118348</v>
      </c>
      <c r="CX130" s="59">
        <f t="shared" si="68"/>
        <v>866.21306517026096</v>
      </c>
      <c r="CY130" s="59">
        <f ca="1">AVERAGE(OFFSET($CX$3,0,0,'Données projet'!$E$13+1,1))-AVERAGE(OFFSET($H$3,0,0,'Données projet'!$E$13+1,1))</f>
        <v>400.48995908576177</v>
      </c>
      <c r="CZ130" s="59">
        <f t="shared" si="96"/>
        <v>384.86917865380076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18.167330006375622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18.167330006375622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367.99999999999972</v>
      </c>
      <c r="DP130" s="17">
        <f>DO130*VLOOKUP('Données projet'!$B$14,Paramètres!$A$1:$I$89,3,0)*VLOOKUP('Données projet'!$B$14,Paramètres!$A$1:$I$89,5,0)</f>
        <v>292.78079999999977</v>
      </c>
      <c r="DQ130" s="13">
        <f t="shared" si="97"/>
        <v>69.660903052386217</v>
      </c>
      <c r="DR130" s="20">
        <f t="shared" si="70"/>
        <v>631.25263281623893</v>
      </c>
      <c r="DS130" s="59">
        <f t="shared" si="71"/>
        <v>914.6549896753163</v>
      </c>
      <c r="DT130" s="59">
        <f ca="1">AVERAGE(OFFSET($DS$3,0,0,'Données projet'!$E$14+1,1))-AVERAGE(OFFSET($H$3,0,0,'Données projet'!$E$14+1,1))</f>
        <v>429.30603040255431</v>
      </c>
      <c r="DU130" s="59">
        <f t="shared" si="98"/>
        <v>412.18613903804726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24.298017321738385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24.298017321738385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210.25641025641013</v>
      </c>
      <c r="EK130" s="17">
        <f>EJ130*VLOOKUP('Données projet'!$B$15,Paramètres!$A$1:$I$89,3,0)*VLOOKUP('Données projet'!$B$15,Paramètres!$A$1:$I$89,5,0)</f>
        <v>163.99999999999991</v>
      </c>
      <c r="EL130" s="13">
        <f t="shared" si="99"/>
        <v>41.743425908362248</v>
      </c>
      <c r="EM130" s="20">
        <f t="shared" si="73"/>
        <v>358.33646679039742</v>
      </c>
      <c r="EN130" s="59">
        <f t="shared" si="74"/>
        <v>641.73882364947485</v>
      </c>
      <c r="EO130" s="59">
        <f ca="1">AVERAGE(OFFSET($EN$3,0,0,'Données projet'!$E$15+1,1))-AVERAGE(OFFSET($H$3,0,0,'Données projet'!$E$15+1,1))</f>
        <v>217.53602321474159</v>
      </c>
      <c r="EP130" s="59">
        <f t="shared" si="100"/>
        <v>215.75909414893025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10.239660543999603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10.239660543999603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>
        <f>VLOOKUP(A130,'Données projet'!$A$217:$I$237,2,0)</f>
        <v>228.28</v>
      </c>
      <c r="FC130" s="12">
        <f>VLOOKUP(A130,'Données projet'!$A$217:$I$237,9,0)</f>
        <v>0.19750000000000512</v>
      </c>
      <c r="FD130" s="12">
        <f t="array" ref="FD130">INDEX(FC:FC,MIN(IF(ISNUMBER(FC130:FC326),ROW(FC130:FC326),"")))</f>
        <v>0.19750000000000512</v>
      </c>
      <c r="FE130" s="12">
        <f>IF('Données projet'!$A$218&gt;35,FE129+FD130-FM129,IF(A130&lt;'Données projet'!$A$218,$FB$205^A130,IF(A130='Données projet'!$A$218,'Données projet'!$B$218,FE129+FD130-FM129)))</f>
        <v>228.28000000000043</v>
      </c>
      <c r="FF130" s="17">
        <f>FE130*VLOOKUP('Données projet'!$B$16,Paramètres!$A$1:$I$89,3,0)*VLOOKUP('Données projet'!$B$16,Paramètres!$A$1:$I$89,5,0)</f>
        <v>153.13022400000028</v>
      </c>
      <c r="FG130" s="13">
        <f t="shared" si="101"/>
        <v>39.289082934039058</v>
      </c>
      <c r="FH130" s="20">
        <f t="shared" si="76"/>
        <v>335.1302929101185</v>
      </c>
      <c r="FI130" s="59">
        <f t="shared" si="77"/>
        <v>618.53264976919593</v>
      </c>
      <c r="FJ130" s="59">
        <f ca="1">AVERAGE(OFFSET($FI$3,0,0,'Données projet'!$E$16+1,1))-AVERAGE(OFFSET($H$3,0,0,'Données projet'!$E$16+1,1))</f>
        <v>441.20130048888439</v>
      </c>
      <c r="FK130" s="59">
        <f t="shared" si="102"/>
        <v>237.47732532183946</v>
      </c>
      <c r="FL130" s="15">
        <f>IF(ISNA(VLOOKUP(A130,'Données projet'!$A$217:$I$237,3,0)),0,VLOOKUP(A130,'Données projet'!$A$217:$I$237,3,0))</f>
        <v>13</v>
      </c>
      <c r="FM130" s="15">
        <f>IF(ISNA(VLOOKUP(A130,'Données projet'!$A$217:$I$237,4,0)),0,VLOOKUP(A130,'Données projet'!$A$217:$I$237,4,0))</f>
        <v>65.02</v>
      </c>
      <c r="FN130" s="16">
        <f>IF(ISNA(VLOOKUP(A130,'Données projet'!$A$217:$I$237,5,0)),0%,VLOOKUP(A130,'Données projet'!$A$217:$I$237,5,0)*VLOOKUP('Données projet'!$B$16,Paramètres!$A$1:$I$89,7,0))</f>
        <v>0.53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212.87703117896311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212.87703117896311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204.00000000000017</v>
      </c>
      <c r="GA130" s="17">
        <f>FZ130*VLOOKUP('Données projet'!$B$17,Paramètres!$A$1:$I$89,3,0)*VLOOKUP('Données projet'!$B$17,Paramètres!$A$1:$I$89,5,0)</f>
        <v>133.66080000000011</v>
      </c>
      <c r="GB130" s="13">
        <f t="shared" si="103"/>
        <v>34.840890682716783</v>
      </c>
      <c r="GC130" s="20">
        <f t="shared" si="79"/>
        <v>293.4737779390652</v>
      </c>
      <c r="GD130" s="59">
        <f t="shared" si="80"/>
        <v>576.87613479814263</v>
      </c>
      <c r="GE130" s="59">
        <f ca="1">AVERAGE(OFFSET($GD$3,0,0,'Données projet'!$E$17+1,1))-AVERAGE(OFFSET($H$3,0,0,'Données projet'!$E$17+1,1))</f>
        <v>257.66104339896992</v>
      </c>
      <c r="GF130" s="59">
        <f t="shared" si="104"/>
        <v>254.79488636184996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18.941138247572212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18.941138247572212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234.00000000000003</v>
      </c>
      <c r="GV130" s="17">
        <f>GU130*VLOOKUP('Données projet'!$B$18,Paramètres!$A$1:$I$89,3,0)*VLOOKUP('Données projet'!$B$18,Paramètres!$A$1:$I$89,5,0)</f>
        <v>189.82080000000005</v>
      </c>
      <c r="GW130" s="13">
        <f t="shared" si="105"/>
        <v>47.500332100049796</v>
      </c>
      <c r="GX130" s="20">
        <f t="shared" si="82"/>
        <v>413.33430507425345</v>
      </c>
      <c r="GY130" s="59">
        <f t="shared" si="83"/>
        <v>696.73666193333088</v>
      </c>
      <c r="GZ130" s="59">
        <f ca="1">AVERAGE(OFFSET($GY$3,0,0,'Données projet'!$E$18+1,1))-AVERAGE(OFFSET($H$3,0,0,'Données projet'!$E$18+1,1))</f>
        <v>299.98377156721153</v>
      </c>
      <c r="HA130" s="59">
        <f t="shared" si="106"/>
        <v>241.36164657721102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18.248639552585718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18.248639552585718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9.7500000000003695E-2</v>
      </c>
      <c r="N131" s="13">
        <f>IF('Données projet'!$A$36&gt;35,N130+M131-V130,IF(A131&lt;'Données projet'!$A$36,$K$205^A131,IF(A131='Données projet'!$A$36,'Données projet'!$B$36,N130+M131-V130)))</f>
        <v>163.35750000000041</v>
      </c>
      <c r="O131" s="13">
        <f>N131*VLOOKUP('Données projet'!$B$9,Paramètres!$A$1:$I$89,3,0)*VLOOKUP('Données projet'!$B$9,Paramètres!$A$1:$I$89,5,0)</f>
        <v>147.80586600000038</v>
      </c>
      <c r="P131" s="13">
        <f t="shared" si="87"/>
        <v>38.079533976001102</v>
      </c>
      <c r="Q131" s="20">
        <f t="shared" ref="Q131:Q153" si="108">(O131+P131)*0.475*44/12</f>
        <v>323.75040495820258</v>
      </c>
      <c r="R131" s="59">
        <f t="shared" ref="R131:R194" si="109">Q131+(I131+J131)*44/12</f>
        <v>607.32504205677105</v>
      </c>
      <c r="S131" s="59">
        <f ca="1">AVERAGE(OFFSET($R$3,0,0,'Données projet'!$E$9+1,1))-AVERAGE(OFFSET($H$3,0,0,'Données projet'!$E$9+1,1))</f>
        <v>567.42635821507474</v>
      </c>
      <c r="T131" s="59">
        <f t="shared" si="88"/>
        <v>299.04735309930152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228.3915709717601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228.3915709717601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474.99999999999994</v>
      </c>
      <c r="AJ131" s="13">
        <f>AI131*VLOOKUP('Données projet'!$B$10,Paramètres!$A$1:$I$89,3,0)*VLOOKUP('Données projet'!$B$10,Paramètres!$A$1:$I$89,5,0)</f>
        <v>407.55</v>
      </c>
      <c r="AK131" s="13">
        <f t="shared" si="89"/>
        <v>93.305642095357683</v>
      </c>
      <c r="AL131" s="20">
        <f t="shared" si="58"/>
        <v>872.32357664941446</v>
      </c>
      <c r="AM131" s="59">
        <f t="shared" si="59"/>
        <v>1155.8982137479829</v>
      </c>
      <c r="AN131" s="59">
        <f ca="1">AVERAGE(OFFSET($AM$3,0,0,'Données projet'!$E$10+1,1))-AVERAGE(OFFSET($H$3,0,0,'Données projet'!$E$10+1,1))</f>
        <v>569.97793593332699</v>
      </c>
      <c r="AO131" s="59">
        <f t="shared" si="90"/>
        <v>331.25104323342907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104.31366539513539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104.31366539513539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277.99999999999994</v>
      </c>
      <c r="BE131" s="13">
        <f>BD131*VLOOKUP('Données projet'!$B$11,Paramètres!$A$1:$I$89,3,0)*VLOOKUP('Données projet'!$B$11,Paramètres!$A$1:$I$89,5,0)</f>
        <v>151.78799999999998</v>
      </c>
      <c r="BF131" s="13">
        <f t="shared" si="91"/>
        <v>38.984634390835623</v>
      </c>
      <c r="BG131" s="20">
        <f t="shared" si="61"/>
        <v>332.26233823070532</v>
      </c>
      <c r="BH131" s="59">
        <f t="shared" si="62"/>
        <v>615.83697532927386</v>
      </c>
      <c r="BI131" s="59">
        <f ca="1">AVERAGE(OFFSET($BH$3,0,0,'Données projet'!$E$11+1,1))-AVERAGE(OFFSET($H$3,0,0,'Données projet'!$E$11+1,1))</f>
        <v>215.37314197175104</v>
      </c>
      <c r="BJ131" s="59">
        <f t="shared" si="92"/>
        <v>361.17630426655978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5.2705345810600841</v>
      </c>
      <c r="BQ131" s="21">
        <f>EXP(-LN(2)/25)*BQ130+(1-EXP(-LN(2)/25))/(LN(2)/25)*Calculateur!BL131*Calculateur!BN131*VLOOKUP('Données projet'!$B$11,Paramètres!$A$1:$I$89,3,0)*0.475*44/12</f>
        <v>6.3448479258800159</v>
      </c>
      <c r="BR131" s="21">
        <f>EXP(-LN(2)/2)*BR130+(1-EXP(-LN(2)/2))/(LN(2)/2)*BL131*BO131*VLOOKUP('Données projet'!$B$11,Paramètres!$A$1:$I$89,3,0)*0.475*44/12</f>
        <v>4.504096929952037E-17</v>
      </c>
      <c r="BS131" s="22">
        <f t="shared" si="63"/>
        <v>11.615382506940101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0.8600000000003547</v>
      </c>
      <c r="BZ131" s="13">
        <f>BY131*VLOOKUP('Données projet'!$B$12,Paramètres!$A$1:$I$89,3,0)*VLOOKUP('Données projet'!$B$12,Paramètres!$A$1:$I$89,5,0)</f>
        <v>0.48074000000019829</v>
      </c>
      <c r="CA131" s="13">
        <f t="shared" si="93"/>
        <v>0.24126147010950588</v>
      </c>
      <c r="CB131" s="20">
        <f t="shared" si="64"/>
        <v>1.2574858937744013</v>
      </c>
      <c r="CC131" s="59">
        <f t="shared" si="65"/>
        <v>284.83212299234293</v>
      </c>
      <c r="CD131" s="59">
        <f ca="1">AVERAGE(OFFSET($CC$3,0,0,'Données projet'!$E$12+1,1))-AVERAGE(OFFSET($H$3,0,0,'Données projet'!$E$12+1,1))</f>
        <v>420.4890915162182</v>
      </c>
      <c r="CE131" s="59">
        <f t="shared" si="94"/>
        <v>553.48432338023565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87.586051653797512</v>
      </c>
      <c r="CL131" s="21">
        <f>EXP(-LN(2)/25)*CL130+(1-EXP(-LN(2)/25))/(LN(2)/25)*Calculateur!CG131*Calculateur!CI131*VLOOKUP('Données projet'!$B$12,Paramètres!$A$1:$I$89,3,0)*0.475*44/12</f>
        <v>3.3409216470043197</v>
      </c>
      <c r="CM131" s="21">
        <f>EXP(-LN(2)/2)*CM130+(1-EXP(-LN(2)/2))/(LN(2)/2)*CG131*CJ131*VLOOKUP('Données projet'!$B$12,Paramètres!$A$1:$I$89,3,0)*0.475*44/12</f>
        <v>1.3143628924133781E-15</v>
      </c>
      <c r="CN131" s="22">
        <f t="shared" si="66"/>
        <v>90.926973300801833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367.99999999999972</v>
      </c>
      <c r="CU131" s="17">
        <f>CT131*VLOOKUP('Données projet'!$B$13,Paramètres!$A$1:$I$89,3,0)*VLOOKUP('Données projet'!$B$13,Paramètres!$A$1:$I$89,5,0)</f>
        <v>269.8175999999998</v>
      </c>
      <c r="CV131" s="13">
        <f t="shared" si="95"/>
        <v>64.810557882019467</v>
      </c>
      <c r="CW131" s="20">
        <f t="shared" si="67"/>
        <v>582.81070831118348</v>
      </c>
      <c r="CX131" s="59">
        <f t="shared" si="68"/>
        <v>866.38534540975206</v>
      </c>
      <c r="CY131" s="59">
        <f ca="1">AVERAGE(OFFSET($CX$3,0,0,'Données projet'!$E$13+1,1))-AVERAGE(OFFSET($H$3,0,0,'Données projet'!$E$13+1,1))</f>
        <v>400.48995908576177</v>
      </c>
      <c r="CZ131" s="59">
        <f t="shared" si="96"/>
        <v>384.86917865380076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17.811079745927742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17.811079745927742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367.99999999999972</v>
      </c>
      <c r="DP131" s="17">
        <f>DO131*VLOOKUP('Données projet'!$B$14,Paramètres!$A$1:$I$89,3,0)*VLOOKUP('Données projet'!$B$14,Paramètres!$A$1:$I$89,5,0)</f>
        <v>292.78079999999977</v>
      </c>
      <c r="DQ131" s="13">
        <f t="shared" si="97"/>
        <v>69.660903052386217</v>
      </c>
      <c r="DR131" s="20">
        <f t="shared" si="70"/>
        <v>631.25263281623893</v>
      </c>
      <c r="DS131" s="59">
        <f t="shared" si="71"/>
        <v>914.8272699148074</v>
      </c>
      <c r="DT131" s="59">
        <f ca="1">AVERAGE(OFFSET($DS$3,0,0,'Données projet'!$E$14+1,1))-AVERAGE(OFFSET($H$3,0,0,'Données projet'!$E$14+1,1))</f>
        <v>429.30603040255431</v>
      </c>
      <c r="DU131" s="59">
        <f t="shared" si="98"/>
        <v>412.18613903804726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23.821548022386274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23.821548022386274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210.25641025641013</v>
      </c>
      <c r="EK131" s="17">
        <f>EJ131*VLOOKUP('Données projet'!$B$15,Paramètres!$A$1:$I$89,3,0)*VLOOKUP('Données projet'!$B$15,Paramètres!$A$1:$I$89,5,0)</f>
        <v>163.99999999999991</v>
      </c>
      <c r="EL131" s="13">
        <f t="shared" si="99"/>
        <v>41.743425908362248</v>
      </c>
      <c r="EM131" s="20">
        <f t="shared" si="73"/>
        <v>358.33646679039742</v>
      </c>
      <c r="EN131" s="59">
        <f t="shared" si="74"/>
        <v>641.91110388896595</v>
      </c>
      <c r="EO131" s="59">
        <f ca="1">AVERAGE(OFFSET($EN$3,0,0,'Données projet'!$E$15+1,1))-AVERAGE(OFFSET($H$3,0,0,'Données projet'!$E$15+1,1))</f>
        <v>217.53602321474159</v>
      </c>
      <c r="EP131" s="59">
        <f t="shared" si="100"/>
        <v>215.75909414893025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10.038867046308004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10.038867046308004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9.7500000000003695E-2</v>
      </c>
      <c r="FE131" s="12">
        <f>IF('Données projet'!$A$218&gt;35,FE130+FD131-FM130,IF(A131&lt;'Données projet'!$A$218,$FB$205^A131,IF(A131='Données projet'!$A$218,'Données projet'!$B$218,FE130+FD131-FM130)))</f>
        <v>163.35750000000041</v>
      </c>
      <c r="FF131" s="17">
        <f>FE131*VLOOKUP('Données projet'!$B$16,Paramètres!$A$1:$I$89,3,0)*VLOOKUP('Données projet'!$B$16,Paramètres!$A$1:$I$89,5,0)</f>
        <v>109.58021100000029</v>
      </c>
      <c r="FG131" s="13">
        <f t="shared" si="101"/>
        <v>29.232057011092596</v>
      </c>
      <c r="FH131" s="20">
        <f t="shared" si="76"/>
        <v>241.76470011932011</v>
      </c>
      <c r="FI131" s="59">
        <f t="shared" si="77"/>
        <v>525.33933721788867</v>
      </c>
      <c r="FJ131" s="59">
        <f ca="1">AVERAGE(OFFSET($FI$3,0,0,'Données projet'!$E$16+1,1))-AVERAGE(OFFSET($H$3,0,0,'Données projet'!$E$16+1,1))</f>
        <v>441.20130048888439</v>
      </c>
      <c r="FK131" s="59">
        <f t="shared" si="102"/>
        <v>237.47732532183946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208.70264243971181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208.70264243971181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204.00000000000017</v>
      </c>
      <c r="GA131" s="17">
        <f>FZ131*VLOOKUP('Données projet'!$B$17,Paramètres!$A$1:$I$89,3,0)*VLOOKUP('Données projet'!$B$17,Paramètres!$A$1:$I$89,5,0)</f>
        <v>133.66080000000011</v>
      </c>
      <c r="GB131" s="13">
        <f t="shared" si="103"/>
        <v>34.840890682716783</v>
      </c>
      <c r="GC131" s="20">
        <f t="shared" si="79"/>
        <v>293.4737779390652</v>
      </c>
      <c r="GD131" s="59">
        <f t="shared" si="80"/>
        <v>577.04841503763373</v>
      </c>
      <c r="GE131" s="59">
        <f ca="1">AVERAGE(OFFSET($GD$3,0,0,'Données projet'!$E$17+1,1))-AVERAGE(OFFSET($H$3,0,0,'Données projet'!$E$17+1,1))</f>
        <v>257.66104339896992</v>
      </c>
      <c r="GF131" s="59">
        <f t="shared" si="104"/>
        <v>254.79488636184996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18.569714079490893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18.569714079490893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234.00000000000003</v>
      </c>
      <c r="GV131" s="17">
        <f>GU131*VLOOKUP('Données projet'!$B$18,Paramètres!$A$1:$I$89,3,0)*VLOOKUP('Données projet'!$B$18,Paramètres!$A$1:$I$89,5,0)</f>
        <v>189.82080000000005</v>
      </c>
      <c r="GW131" s="13">
        <f t="shared" si="105"/>
        <v>47.500332100049796</v>
      </c>
      <c r="GX131" s="20">
        <f t="shared" si="82"/>
        <v>413.33430507425345</v>
      </c>
      <c r="GY131" s="59">
        <f t="shared" si="83"/>
        <v>696.90894217282198</v>
      </c>
      <c r="GZ131" s="59">
        <f ca="1">AVERAGE(OFFSET($GY$3,0,0,'Données projet'!$E$18+1,1))-AVERAGE(OFFSET($H$3,0,0,'Données projet'!$E$18+1,1))</f>
        <v>299.98377156721153</v>
      </c>
      <c r="HA131" s="59">
        <f t="shared" si="106"/>
        <v>241.36164657721102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17.890794861530587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17.890794861530587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9.7500000000003695E-2</v>
      </c>
      <c r="N132" s="13">
        <f>IF('Données projet'!$A$36&gt;35,N131+M132-V131,IF(A132&lt;'Données projet'!$A$36,$K$205^A132,IF(A132='Données projet'!$A$36,'Données projet'!$B$36,N131+M132-V131)))</f>
        <v>163.45500000000041</v>
      </c>
      <c r="O132" s="13">
        <f>N132*VLOOKUP('Données projet'!$B$9,Paramètres!$A$1:$I$89,3,0)*VLOOKUP('Données projet'!$B$9,Paramètres!$A$1:$I$89,5,0)</f>
        <v>147.89408400000036</v>
      </c>
      <c r="P132" s="13">
        <f t="shared" si="87"/>
        <v>38.099615551686391</v>
      </c>
      <c r="Q132" s="20">
        <f t="shared" si="108"/>
        <v>323.93902671918772</v>
      </c>
      <c r="R132" s="59">
        <f t="shared" si="109"/>
        <v>607.68295538025313</v>
      </c>
      <c r="S132" s="59">
        <f ca="1">AVERAGE(OFFSET($R$3,0,0,'Données projet'!$E$9+1,1))-AVERAGE(OFFSET($H$3,0,0,'Données projet'!$E$9+1,1))</f>
        <v>567.42635821507474</v>
      </c>
      <c r="T132" s="59">
        <f t="shared" si="88"/>
        <v>299.04735309930152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223.91295157010694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223.91295157010694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474.99999999999994</v>
      </c>
      <c r="AJ132" s="13">
        <f>AI132*VLOOKUP('Données projet'!$B$10,Paramètres!$A$1:$I$89,3,0)*VLOOKUP('Données projet'!$B$10,Paramètres!$A$1:$I$89,5,0)</f>
        <v>407.55</v>
      </c>
      <c r="AK132" s="13">
        <f t="shared" si="89"/>
        <v>93.305642095357683</v>
      </c>
      <c r="AL132" s="20">
        <f t="shared" ref="AL132:AL153" si="112">(AJ132+AK132)*0.475*44/12</f>
        <v>872.32357664941446</v>
      </c>
      <c r="AM132" s="59">
        <f t="shared" ref="AM132:AM195" si="113">AL132+(AD132+AE132)*44/12</f>
        <v>1156.0675053104799</v>
      </c>
      <c r="AN132" s="59">
        <f ca="1">AVERAGE(OFFSET($AM$3,0,0,'Données projet'!$E$10+1,1))-AVERAGE(OFFSET($H$3,0,0,'Données projet'!$E$10+1,1))</f>
        <v>569.97793593332699</v>
      </c>
      <c r="AO132" s="59">
        <f t="shared" si="90"/>
        <v>331.25104323342907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102.26813804179022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102.26813804179022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277.99999999999994</v>
      </c>
      <c r="BE132" s="13">
        <f>BD132*VLOOKUP('Données projet'!$B$11,Paramètres!$A$1:$I$89,3,0)*VLOOKUP('Données projet'!$B$11,Paramètres!$A$1:$I$89,5,0)</f>
        <v>151.78799999999998</v>
      </c>
      <c r="BF132" s="13">
        <f t="shared" si="91"/>
        <v>38.984634390835623</v>
      </c>
      <c r="BG132" s="20">
        <f t="shared" ref="BG132:BG153" si="115">(BE132+BF132)*0.475*44/12</f>
        <v>332.26233823070532</v>
      </c>
      <c r="BH132" s="59">
        <f t="shared" ref="BH132:BH195" si="116">BG132+(AY132+AZ132)*44/12</f>
        <v>616.00626689177068</v>
      </c>
      <c r="BI132" s="59">
        <f ca="1">AVERAGE(OFFSET($BH$3,0,0,'Données projet'!$E$11+1,1))-AVERAGE(OFFSET($H$3,0,0,'Données projet'!$E$11+1,1))</f>
        <v>215.37314197175104</v>
      </c>
      <c r="BJ132" s="59">
        <f t="shared" si="92"/>
        <v>361.17630426655978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5.1671826126341642</v>
      </c>
      <c r="BQ132" s="21">
        <f>EXP(-LN(2)/25)*BQ131+(1-EXP(-LN(2)/25))/(LN(2)/25)*Calculateur!BL132*Calculateur!BN132*VLOOKUP('Données projet'!$B$11,Paramètres!$A$1:$I$89,3,0)*0.475*44/12</f>
        <v>6.1713477256857754</v>
      </c>
      <c r="BR132" s="21">
        <f>EXP(-LN(2)/2)*BR131+(1-EXP(-LN(2)/2))/(LN(2)/2)*BL132*BO132*VLOOKUP('Données projet'!$B$11,Paramètres!$A$1:$I$89,3,0)*0.475*44/12</f>
        <v>3.1848774822905954E-17</v>
      </c>
      <c r="BS132" s="22">
        <f t="shared" ref="BS132:BS153" si="117">SUM(BP132:BR132)</f>
        <v>11.33853033831994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0.8600000000003547</v>
      </c>
      <c r="BZ132" s="13">
        <f>BY132*VLOOKUP('Données projet'!$B$12,Paramètres!$A$1:$I$89,3,0)*VLOOKUP('Données projet'!$B$12,Paramètres!$A$1:$I$89,5,0)</f>
        <v>0.48074000000019829</v>
      </c>
      <c r="CA132" s="13">
        <f t="shared" si="93"/>
        <v>0.24126147010950588</v>
      </c>
      <c r="CB132" s="20">
        <f t="shared" ref="CB132:CB153" si="118">(BZ132+CA132)*0.475*44/12</f>
        <v>1.2574858937744013</v>
      </c>
      <c r="CC132" s="59">
        <f t="shared" ref="CC132:CC195" si="119">CB132+(BT132+BU132)*44/12</f>
        <v>285.00141455483976</v>
      </c>
      <c r="CD132" s="59">
        <f ca="1">AVERAGE(OFFSET($CC$3,0,0,'Données projet'!$E$12+1,1))-AVERAGE(OFFSET($H$3,0,0,'Données projet'!$E$12+1,1))</f>
        <v>420.4890915162182</v>
      </c>
      <c r="CE132" s="59">
        <f t="shared" si="94"/>
        <v>553.48432338023565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85.868542603083043</v>
      </c>
      <c r="CL132" s="21">
        <f>EXP(-LN(2)/25)*CL131+(1-EXP(-LN(2)/25))/(LN(2)/25)*Calculateur!CG132*Calculateur!CI132*VLOOKUP('Données projet'!$B$12,Paramètres!$A$1:$I$89,3,0)*0.475*44/12</f>
        <v>3.2495639688755529</v>
      </c>
      <c r="CM132" s="21">
        <f>EXP(-LN(2)/2)*CM131+(1-EXP(-LN(2)/2))/(LN(2)/2)*CG132*CJ132*VLOOKUP('Données projet'!$B$12,Paramètres!$A$1:$I$89,3,0)*0.475*44/12</f>
        <v>9.2939491416546425E-16</v>
      </c>
      <c r="CN132" s="22">
        <f t="shared" ref="CN132:CN153" si="120">SUM(CK132:CM132)</f>
        <v>89.118106571958592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367.99999999999972</v>
      </c>
      <c r="CU132" s="17">
        <f>CT132*VLOOKUP('Données projet'!$B$13,Paramètres!$A$1:$I$89,3,0)*VLOOKUP('Données projet'!$B$13,Paramètres!$A$1:$I$89,5,0)</f>
        <v>269.8175999999998</v>
      </c>
      <c r="CV132" s="13">
        <f t="shared" si="95"/>
        <v>64.810557882019467</v>
      </c>
      <c r="CW132" s="20">
        <f t="shared" ref="CW132:CW153" si="121">(CU132+CV132)*0.475*44/12</f>
        <v>582.81070831118348</v>
      </c>
      <c r="CX132" s="59">
        <f t="shared" ref="CX132:CX195" si="122">CW132+(CO132+CP132)*44/12</f>
        <v>866.55463697224877</v>
      </c>
      <c r="CY132" s="59">
        <f ca="1">AVERAGE(OFFSET($CX$3,0,0,'Données projet'!$E$13+1,1))-AVERAGE(OFFSET($H$3,0,0,'Données projet'!$E$13+1,1))</f>
        <v>400.48995908576177</v>
      </c>
      <c r="CZ132" s="59">
        <f t="shared" si="96"/>
        <v>384.86917865380076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17.461815335796043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17.461815335796043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367.99999999999972</v>
      </c>
      <c r="DP132" s="17">
        <f>DO132*VLOOKUP('Données projet'!$B$14,Paramètres!$A$1:$I$89,3,0)*VLOOKUP('Données projet'!$B$14,Paramètres!$A$1:$I$89,5,0)</f>
        <v>292.78079999999977</v>
      </c>
      <c r="DQ132" s="13">
        <f t="shared" si="97"/>
        <v>69.660903052386217</v>
      </c>
      <c r="DR132" s="20">
        <f t="shared" ref="DR132:DR153" si="124">(DP132+DQ132)*0.475*44/12</f>
        <v>631.25263281623893</v>
      </c>
      <c r="DS132" s="59">
        <f t="shared" ref="DS132:DS195" si="125">DR132+(DJ132+DK132)*44/12</f>
        <v>914.99656147730434</v>
      </c>
      <c r="DT132" s="59">
        <f ca="1">AVERAGE(OFFSET($DS$3,0,0,'Données projet'!$E$14+1,1))-AVERAGE(OFFSET($H$3,0,0,'Données projet'!$E$14+1,1))</f>
        <v>429.30603040255431</v>
      </c>
      <c r="DU132" s="59">
        <f t="shared" si="98"/>
        <v>412.18613903804726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23.354421995376882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23.354421995376882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210.25641025641013</v>
      </c>
      <c r="EK132" s="17">
        <f>EJ132*VLOOKUP('Données projet'!$B$15,Paramètres!$A$1:$I$89,3,0)*VLOOKUP('Données projet'!$B$15,Paramètres!$A$1:$I$89,5,0)</f>
        <v>163.99999999999991</v>
      </c>
      <c r="EL132" s="13">
        <f t="shared" si="99"/>
        <v>41.743425908362248</v>
      </c>
      <c r="EM132" s="20">
        <f t="shared" ref="EM132:EM153" si="127">(EK132+EL132)*0.475*44/12</f>
        <v>358.33646679039742</v>
      </c>
      <c r="EN132" s="59">
        <f t="shared" ref="EN132:EN195" si="128">EM132+(EE132+EF132)*44/12</f>
        <v>642.08039545146278</v>
      </c>
      <c r="EO132" s="59">
        <f ca="1">AVERAGE(OFFSET($EN$3,0,0,'Données projet'!$E$15+1,1))-AVERAGE(OFFSET($H$3,0,0,'Données projet'!$E$15+1,1))</f>
        <v>217.53602321474159</v>
      </c>
      <c r="EP132" s="59">
        <f t="shared" si="100"/>
        <v>215.75909414893025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9.8420109866341967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9.8420109866341967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9.7500000000003695E-2</v>
      </c>
      <c r="FE132" s="12">
        <f>IF('Données projet'!$A$218&gt;35,FE131+FD132-FM131,IF(A132&lt;'Données projet'!$A$218,$FB$205^A132,IF(A132='Données projet'!$A$218,'Données projet'!$B$218,FE131+FD132-FM131)))</f>
        <v>163.45500000000041</v>
      </c>
      <c r="FF132" s="17">
        <f>FE132*VLOOKUP('Données projet'!$B$16,Paramètres!$A$1:$I$89,3,0)*VLOOKUP('Données projet'!$B$16,Paramètres!$A$1:$I$89,5,0)</f>
        <v>109.64561400000028</v>
      </c>
      <c r="FG132" s="13">
        <f t="shared" si="101"/>
        <v>29.247472792327603</v>
      </c>
      <c r="FH132" s="20">
        <f t="shared" ref="FH132:FH153" si="130">(FF132+FG132)*0.475*44/12</f>
        <v>241.90545949663775</v>
      </c>
      <c r="FI132" s="59">
        <f t="shared" ref="FI132:FI195" si="131">FH132+(EZ132+FA132)*44/12</f>
        <v>525.64938815770313</v>
      </c>
      <c r="FJ132" s="59">
        <f ca="1">AVERAGE(OFFSET($FI$3,0,0,'Données projet'!$E$16+1,1))-AVERAGE(OFFSET($H$3,0,0,'Données projet'!$E$16+1,1))</f>
        <v>441.20130048888439</v>
      </c>
      <c r="FK132" s="59">
        <f t="shared" si="102"/>
        <v>237.47732532183946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204.61011091751152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204.61011091751152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204.00000000000017</v>
      </c>
      <c r="GA132" s="17">
        <f>FZ132*VLOOKUP('Données projet'!$B$17,Paramètres!$A$1:$I$89,3,0)*VLOOKUP('Données projet'!$B$17,Paramètres!$A$1:$I$89,5,0)</f>
        <v>133.66080000000011</v>
      </c>
      <c r="GB132" s="13">
        <f t="shared" si="103"/>
        <v>34.840890682716783</v>
      </c>
      <c r="GC132" s="20">
        <f t="shared" ref="GC132:GC153" si="133">(GA132+GB132)*0.475*44/12</f>
        <v>293.4737779390652</v>
      </c>
      <c r="GD132" s="59">
        <f t="shared" ref="GD132:GD195" si="134">GC132+(FU132+FV132)*44/12</f>
        <v>577.21770660013055</v>
      </c>
      <c r="GE132" s="59">
        <f ca="1">AVERAGE(OFFSET($GD$3,0,0,'Données projet'!$E$17+1,1))-AVERAGE(OFFSET($H$3,0,0,'Données projet'!$E$17+1,1))</f>
        <v>257.66104339896992</v>
      </c>
      <c r="GF132" s="59">
        <f t="shared" si="104"/>
        <v>254.79488636184996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18.205573312799274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18.205573312799274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234.00000000000003</v>
      </c>
      <c r="GV132" s="17">
        <f>GU132*VLOOKUP('Données projet'!$B$18,Paramètres!$A$1:$I$89,3,0)*VLOOKUP('Données projet'!$B$18,Paramètres!$A$1:$I$89,5,0)</f>
        <v>189.82080000000005</v>
      </c>
      <c r="GW132" s="13">
        <f t="shared" si="105"/>
        <v>47.500332100049796</v>
      </c>
      <c r="GX132" s="20">
        <f t="shared" ref="GX132:GX153" si="136">(GV132+GW132)*0.475*44/12</f>
        <v>413.33430507425345</v>
      </c>
      <c r="GY132" s="59">
        <f t="shared" ref="GY132:GY195" si="137">GX132+(GP132+GQ132)*44/12</f>
        <v>697.0782337353188</v>
      </c>
      <c r="GZ132" s="59">
        <f ca="1">AVERAGE(OFFSET($GY$3,0,0,'Données projet'!$E$18+1,1))-AVERAGE(OFFSET($H$3,0,0,'Données projet'!$E$18+1,1))</f>
        <v>299.98377156721153</v>
      </c>
      <c r="HA132" s="59">
        <f t="shared" si="106"/>
        <v>241.36164657721102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17.539967286603336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17.539967286603336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9.7500000000003695E-2</v>
      </c>
      <c r="N133" s="13">
        <f>IF('Données projet'!$A$36&gt;35,N132+M133-V132,IF(A133&lt;'Données projet'!$A$36,$K$205^A133,IF(A133='Données projet'!$A$36,'Données projet'!$B$36,N132+M133-V132)))</f>
        <v>163.55250000000041</v>
      </c>
      <c r="O133" s="13">
        <f>N133*VLOOKUP('Données projet'!$B$9,Paramètres!$A$1:$I$89,3,0)*VLOOKUP('Données projet'!$B$9,Paramètres!$A$1:$I$89,5,0)</f>
        <v>147.98230200000037</v>
      </c>
      <c r="P133" s="13">
        <f t="shared" ref="P133:P196" si="141">EXP(-1.0587+0.8836*LN(O133)+0.284)</f>
        <v>38.119695733116984</v>
      </c>
      <c r="Q133" s="20">
        <f t="shared" si="108"/>
        <v>324.127646051846</v>
      </c>
      <c r="R133" s="59">
        <f t="shared" si="109"/>
        <v>608.03792944527811</v>
      </c>
      <c r="S133" s="59">
        <f ca="1">AVERAGE(OFFSET($R$3,0,0,'Données projet'!$E$9+1,1))-AVERAGE(OFFSET($H$3,0,0,'Données projet'!$E$9+1,1))</f>
        <v>567.42635821507474</v>
      </c>
      <c r="T133" s="59">
        <f t="shared" ref="T133:T196" si="142">$T$3</f>
        <v>299.04735309930152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219.5221551632321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219.5221551632321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474.99999999999994</v>
      </c>
      <c r="AJ133" s="13">
        <f>AI133*VLOOKUP('Données projet'!$B$10,Paramètres!$A$1:$I$89,3,0)*VLOOKUP('Données projet'!$B$10,Paramètres!$A$1:$I$89,5,0)</f>
        <v>407.55</v>
      </c>
      <c r="AK133" s="13">
        <f t="shared" ref="AK133:AK153" si="143">EXP(-1.0587+0.8836*LN(AJ133)+0.284)</f>
        <v>93.305642095357683</v>
      </c>
      <c r="AL133" s="20">
        <f t="shared" si="112"/>
        <v>872.32357664941446</v>
      </c>
      <c r="AM133" s="59">
        <f t="shared" si="113"/>
        <v>1156.2338600428466</v>
      </c>
      <c r="AN133" s="59">
        <f ca="1">AVERAGE(OFFSET($AM$3,0,0,'Données projet'!$E$10+1,1))-AVERAGE(OFFSET($H$3,0,0,'Données projet'!$E$10+1,1))</f>
        <v>569.97793593332699</v>
      </c>
      <c r="AO133" s="59">
        <f t="shared" ref="AO133:AO196" si="144">$AO$3</f>
        <v>331.25104323342907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100.26272223219567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100.26272223219567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277.99999999999994</v>
      </c>
      <c r="BE133" s="13">
        <f>BD133*VLOOKUP('Données projet'!$B$11,Paramètres!$A$1:$I$89,3,0)*VLOOKUP('Données projet'!$B$11,Paramètres!$A$1:$I$89,5,0)</f>
        <v>151.78799999999998</v>
      </c>
      <c r="BF133" s="13">
        <f t="shared" ref="BF133:BF153" si="145">EXP(-1.0587+0.8836*LN(BE133)+0.284)</f>
        <v>38.984634390835623</v>
      </c>
      <c r="BG133" s="20">
        <f t="shared" si="115"/>
        <v>332.26233823070532</v>
      </c>
      <c r="BH133" s="59">
        <f t="shared" si="116"/>
        <v>616.17262162413749</v>
      </c>
      <c r="BI133" s="59">
        <f ca="1">AVERAGE(OFFSET($BH$3,0,0,'Données projet'!$E$11+1,1))-AVERAGE(OFFSET($H$3,0,0,'Données projet'!$E$11+1,1))</f>
        <v>215.37314197175104</v>
      </c>
      <c r="BJ133" s="59">
        <f t="shared" ref="BJ133:BJ196" si="146">$BJ$3</f>
        <v>361.17630426655978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5.0658573132706</v>
      </c>
      <c r="BQ133" s="21">
        <f>EXP(-LN(2)/25)*BQ132+(1-EXP(-LN(2)/25))/(LN(2)/25)*Calculateur!BL133*Calculateur!BN133*VLOOKUP('Données projet'!$B$11,Paramètres!$A$1:$I$89,3,0)*0.475*44/12</f>
        <v>6.0025918975898254</v>
      </c>
      <c r="BR133" s="21">
        <f>EXP(-LN(2)/2)*BR132+(1-EXP(-LN(2)/2))/(LN(2)/2)*BL133*BO133*VLOOKUP('Données projet'!$B$11,Paramètres!$A$1:$I$89,3,0)*0.475*44/12</f>
        <v>2.2520484649760185E-17</v>
      </c>
      <c r="BS133" s="22">
        <f t="shared" si="117"/>
        <v>11.068449210860425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0.8600000000003547</v>
      </c>
      <c r="BZ133" s="13">
        <f>BY133*VLOOKUP('Données projet'!$B$12,Paramètres!$A$1:$I$89,3,0)*VLOOKUP('Données projet'!$B$12,Paramètres!$A$1:$I$89,5,0)</f>
        <v>0.48074000000019829</v>
      </c>
      <c r="CA133" s="13">
        <f t="shared" ref="CA133:CA153" si="147">EXP(-1.0587+0.8836*LN(BZ133)+0.284)</f>
        <v>0.24126147010950588</v>
      </c>
      <c r="CB133" s="20">
        <f t="shared" si="118"/>
        <v>1.2574858937744013</v>
      </c>
      <c r="CC133" s="59">
        <f t="shared" si="119"/>
        <v>285.16776928720651</v>
      </c>
      <c r="CD133" s="59">
        <f ca="1">AVERAGE(OFFSET($CC$3,0,0,'Données projet'!$E$12+1,1))-AVERAGE(OFFSET($H$3,0,0,'Données projet'!$E$12+1,1))</f>
        <v>420.4890915162182</v>
      </c>
      <c r="CE133" s="59">
        <f t="shared" ref="CE133:CE196" si="148">$CE$3</f>
        <v>553.48432338023565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84.184712857276011</v>
      </c>
      <c r="CL133" s="21">
        <f>EXP(-LN(2)/25)*CL132+(1-EXP(-LN(2)/25))/(LN(2)/25)*Calculateur!CG133*Calculateur!CI133*VLOOKUP('Données projet'!$B$12,Paramètres!$A$1:$I$89,3,0)*0.475*44/12</f>
        <v>3.1607044712595087</v>
      </c>
      <c r="CM133" s="21">
        <f>EXP(-LN(2)/2)*CM132+(1-EXP(-LN(2)/2))/(LN(2)/2)*CG133*CJ133*VLOOKUP('Données projet'!$B$12,Paramètres!$A$1:$I$89,3,0)*0.475*44/12</f>
        <v>6.5718144620668907E-16</v>
      </c>
      <c r="CN133" s="22">
        <f t="shared" si="120"/>
        <v>87.345417328535518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367.99999999999972</v>
      </c>
      <c r="CU133" s="17">
        <f>CT133*VLOOKUP('Données projet'!$B$13,Paramètres!$A$1:$I$89,3,0)*VLOOKUP('Données projet'!$B$13,Paramètres!$A$1:$I$89,5,0)</f>
        <v>269.8175999999998</v>
      </c>
      <c r="CV133" s="13">
        <f t="shared" ref="CV133:CV153" si="149">EXP(-1.0587+0.8836*LN(CU133)+0.284)</f>
        <v>64.810557882019467</v>
      </c>
      <c r="CW133" s="20">
        <f t="shared" si="121"/>
        <v>582.81070831118348</v>
      </c>
      <c r="CX133" s="59">
        <f t="shared" si="122"/>
        <v>866.72099170461559</v>
      </c>
      <c r="CY133" s="59">
        <f ca="1">AVERAGE(OFFSET($CX$3,0,0,'Données projet'!$E$13+1,1))-AVERAGE(OFFSET($H$3,0,0,'Données projet'!$E$13+1,1))</f>
        <v>400.48995908576177</v>
      </c>
      <c r="CZ133" s="59">
        <f t="shared" ref="CZ133:CZ196" si="150">$CZ$3</f>
        <v>384.86917865380076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17.119399787716773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17.119399787716773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367.99999999999972</v>
      </c>
      <c r="DP133" s="17">
        <f>DO133*VLOOKUP('Données projet'!$B$14,Paramètres!$A$1:$I$89,3,0)*VLOOKUP('Données projet'!$B$14,Paramètres!$A$1:$I$89,5,0)</f>
        <v>292.78079999999977</v>
      </c>
      <c r="DQ133" s="13">
        <f t="shared" ref="DQ133:DQ153" si="151">EXP(-1.0587+0.8836*LN(DP133)+0.284)</f>
        <v>69.660903052386217</v>
      </c>
      <c r="DR133" s="20">
        <f t="shared" si="124"/>
        <v>631.25263281623893</v>
      </c>
      <c r="DS133" s="59">
        <f t="shared" si="125"/>
        <v>915.16291620967104</v>
      </c>
      <c r="DT133" s="59">
        <f ca="1">AVERAGE(OFFSET($DS$3,0,0,'Données projet'!$E$14+1,1))-AVERAGE(OFFSET($H$3,0,0,'Données projet'!$E$14+1,1))</f>
        <v>429.30603040255431</v>
      </c>
      <c r="DU133" s="59">
        <f t="shared" ref="DU133:DU196" si="152">$DU$3</f>
        <v>412.18613903804726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22.8964560248384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22.8964560248384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210.25641025641013</v>
      </c>
      <c r="EK133" s="17">
        <f>EJ133*VLOOKUP('Données projet'!$B$15,Paramètres!$A$1:$I$89,3,0)*VLOOKUP('Données projet'!$B$15,Paramètres!$A$1:$I$89,5,0)</f>
        <v>163.99999999999991</v>
      </c>
      <c r="EL133" s="13">
        <f t="shared" ref="EL133:EL153" si="153">EXP(-1.0587+0.8836*LN(EK133)+0.284)</f>
        <v>41.743425908362248</v>
      </c>
      <c r="EM133" s="20">
        <f t="shared" si="127"/>
        <v>358.33646679039742</v>
      </c>
      <c r="EN133" s="59">
        <f t="shared" si="128"/>
        <v>642.24675018382959</v>
      </c>
      <c r="EO133" s="59">
        <f ca="1">AVERAGE(OFFSET($EN$3,0,0,'Données projet'!$E$15+1,1))-AVERAGE(OFFSET($H$3,0,0,'Données projet'!$E$15+1,1))</f>
        <v>217.53602321474159</v>
      </c>
      <c r="EP133" s="59">
        <f t="shared" ref="EP133:EP196" si="154">$EP$3</f>
        <v>215.75909414893025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9.6490151542202511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9.6490151542202511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9.7500000000003695E-2</v>
      </c>
      <c r="FE133" s="12">
        <f>IF('Données projet'!$A$218&gt;35,FE132+FD133-FM132,IF(A133&lt;'Données projet'!$A$218,$FB$205^A133,IF(A133='Données projet'!$A$218,'Données projet'!$B$218,FE132+FD133-FM132)))</f>
        <v>163.55250000000041</v>
      </c>
      <c r="FF133" s="17">
        <f>FE133*VLOOKUP('Données projet'!$B$16,Paramètres!$A$1:$I$89,3,0)*VLOOKUP('Données projet'!$B$16,Paramètres!$A$1:$I$89,5,0)</f>
        <v>109.71101700000028</v>
      </c>
      <c r="FG133" s="13">
        <f t="shared" ref="FG133:FG153" si="155">EXP(-1.0587+0.8836*LN(FF133)+0.284)</f>
        <v>29.262887503251875</v>
      </c>
      <c r="FH133" s="20">
        <f t="shared" si="130"/>
        <v>242.0462170098308</v>
      </c>
      <c r="FI133" s="59">
        <f t="shared" si="131"/>
        <v>525.95650040326291</v>
      </c>
      <c r="FJ133" s="59">
        <f ca="1">AVERAGE(OFFSET($FI$3,0,0,'Données projet'!$E$16+1,1))-AVERAGE(OFFSET($H$3,0,0,'Données projet'!$E$16+1,1))</f>
        <v>441.20130048888439</v>
      </c>
      <c r="FK133" s="59">
        <f t="shared" ref="FK133:FK196" si="156">$FK$3</f>
        <v>237.47732532183946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200.59783144226381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200.59783144226381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204.00000000000017</v>
      </c>
      <c r="GA133" s="17">
        <f>FZ133*VLOOKUP('Données projet'!$B$17,Paramètres!$A$1:$I$89,3,0)*VLOOKUP('Données projet'!$B$17,Paramètres!$A$1:$I$89,5,0)</f>
        <v>133.66080000000011</v>
      </c>
      <c r="GB133" s="13">
        <f t="shared" ref="GB133:GB153" si="157">EXP(-1.0587+0.8836*LN(GA133)+0.284)</f>
        <v>34.840890682716783</v>
      </c>
      <c r="GC133" s="20">
        <f t="shared" si="133"/>
        <v>293.4737779390652</v>
      </c>
      <c r="GD133" s="59">
        <f t="shared" si="134"/>
        <v>577.38406133249737</v>
      </c>
      <c r="GE133" s="59">
        <f ca="1">AVERAGE(OFFSET($GD$3,0,0,'Données projet'!$E$17+1,1))-AVERAGE(OFFSET($H$3,0,0,'Données projet'!$E$17+1,1))</f>
        <v>257.66104339896992</v>
      </c>
      <c r="GF133" s="59">
        <f t="shared" ref="GF133:GF196" si="158">$GF$3</f>
        <v>254.79488636184996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17.848573124438541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17.848573124438541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234.00000000000003</v>
      </c>
      <c r="GV133" s="17">
        <f>GU133*VLOOKUP('Données projet'!$B$18,Paramètres!$A$1:$I$89,3,0)*VLOOKUP('Données projet'!$B$18,Paramètres!$A$1:$I$89,5,0)</f>
        <v>189.82080000000005</v>
      </c>
      <c r="GW133" s="13">
        <f t="shared" ref="GW133:GW153" si="159">EXP(-1.0587+0.8836*LN(GV133)+0.284)</f>
        <v>47.500332100049796</v>
      </c>
      <c r="GX133" s="20">
        <f t="shared" si="136"/>
        <v>413.33430507425345</v>
      </c>
      <c r="GY133" s="59">
        <f t="shared" si="137"/>
        <v>697.24458846768562</v>
      </c>
      <c r="GZ133" s="59">
        <f ca="1">AVERAGE(OFFSET($GY$3,0,0,'Données projet'!$E$18+1,1))-AVERAGE(OFFSET($H$3,0,0,'Données projet'!$E$18+1,1))</f>
        <v>299.98377156721153</v>
      </c>
      <c r="HA133" s="59">
        <f t="shared" ref="HA133:HA196" si="160">$HA$3</f>
        <v>241.36164657721102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17.196019226436718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17.196019226436718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163.65</v>
      </c>
      <c r="L134" s="12">
        <f>VLOOKUP(A134,'Données projet'!$A$35:$I$55,9,0)</f>
        <v>9.7500000000003695E-2</v>
      </c>
      <c r="M134" s="12">
        <f t="array" ref="M134">INDEX(L:L,MIN(IF(ISNUMBER(L134:L330),ROW(L134:L330),"")))</f>
        <v>9.7500000000003695E-2</v>
      </c>
      <c r="N134" s="13">
        <f>IF('Données projet'!$A$36&gt;35,N133+M134-V133,IF(A134&lt;'Données projet'!$A$36,$K$205^A134,IF(A134='Données projet'!$A$36,'Données projet'!$B$36,N133+M134-V133)))</f>
        <v>163.6500000000004</v>
      </c>
      <c r="O134" s="13">
        <f>N134*VLOOKUP('Données projet'!$B$9,Paramètres!$A$1:$I$89,3,0)*VLOOKUP('Données projet'!$B$9,Paramètres!$A$1:$I$89,5,0)</f>
        <v>148.07052000000036</v>
      </c>
      <c r="P134" s="13">
        <f t="shared" si="141"/>
        <v>38.139774521220701</v>
      </c>
      <c r="Q134" s="20">
        <f t="shared" si="108"/>
        <v>324.3162629577933</v>
      </c>
      <c r="R134" s="59">
        <f t="shared" si="109"/>
        <v>608.39001520089903</v>
      </c>
      <c r="S134" s="59">
        <f ca="1">AVERAGE(OFFSET($R$3,0,0,'Données projet'!$E$9+1,1))-AVERAGE(OFFSET($H$3,0,0,'Données projet'!$E$9+1,1))</f>
        <v>567.42635821507474</v>
      </c>
      <c r="T134" s="59">
        <f t="shared" si="142"/>
        <v>299.04735309930152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143.84</v>
      </c>
      <c r="W134" s="16">
        <f>IF(ISNA(VLOOKUP(A134,'Données projet'!$A$35:$I$55,5,0)),0%,VLOOKUP(A134,'Données projet'!$A$35:$I$55,5,0)*VLOOKUP('Données projet'!$B$9,Paramètres!$A$1:$I$89,7,0))</f>
        <v>0.43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277.08286059427138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277.08286059427138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474.99999999999994</v>
      </c>
      <c r="AJ134" s="13">
        <f>AI134*VLOOKUP('Données projet'!$B$10,Paramètres!$A$1:$I$89,3,0)*VLOOKUP('Données projet'!$B$10,Paramètres!$A$1:$I$89,5,0)</f>
        <v>407.55</v>
      </c>
      <c r="AK134" s="13">
        <f t="shared" si="143"/>
        <v>93.305642095357683</v>
      </c>
      <c r="AL134" s="20">
        <f t="shared" si="112"/>
        <v>872.32357664941446</v>
      </c>
      <c r="AM134" s="59">
        <f t="shared" si="113"/>
        <v>1156.3973288925201</v>
      </c>
      <c r="AN134" s="59">
        <f ca="1">AVERAGE(OFFSET($AM$3,0,0,'Données projet'!$E$10+1,1))-AVERAGE(OFFSET($H$3,0,0,'Données projet'!$E$10+1,1))</f>
        <v>569.97793593332699</v>
      </c>
      <c r="AO134" s="59">
        <f t="shared" si="144"/>
        <v>331.25104323342907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98.296631403444394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98.296631403444394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277.99999999999994</v>
      </c>
      <c r="BE134" s="13">
        <f>BD134*VLOOKUP('Données projet'!$B$11,Paramètres!$A$1:$I$89,3,0)*VLOOKUP('Données projet'!$B$11,Paramètres!$A$1:$I$89,5,0)</f>
        <v>151.78799999999998</v>
      </c>
      <c r="BF134" s="13">
        <f t="shared" si="145"/>
        <v>38.984634390835623</v>
      </c>
      <c r="BG134" s="20">
        <f t="shared" si="115"/>
        <v>332.26233823070532</v>
      </c>
      <c r="BH134" s="59">
        <f t="shared" si="116"/>
        <v>616.33609047381105</v>
      </c>
      <c r="BI134" s="59">
        <f ca="1">AVERAGE(OFFSET($BH$3,0,0,'Données projet'!$E$11+1,1))-AVERAGE(OFFSET($H$3,0,0,'Données projet'!$E$11+1,1))</f>
        <v>215.37314197175104</v>
      </c>
      <c r="BJ134" s="59">
        <f t="shared" si="146"/>
        <v>361.17630426655978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4.9665189412252255</v>
      </c>
      <c r="BQ134" s="21">
        <f>EXP(-LN(2)/25)*BQ133+(1-EXP(-LN(2)/25))/(LN(2)/25)*Calculateur!BL134*Calculateur!BN134*VLOOKUP('Données projet'!$B$11,Paramètres!$A$1:$I$89,3,0)*0.475*44/12</f>
        <v>5.8384507064876425</v>
      </c>
      <c r="BR134" s="21">
        <f>EXP(-LN(2)/2)*BR133+(1-EXP(-LN(2)/2))/(LN(2)/2)*BL134*BO134*VLOOKUP('Données projet'!$B$11,Paramètres!$A$1:$I$89,3,0)*0.475*44/12</f>
        <v>1.5924387411452977E-17</v>
      </c>
      <c r="BS134" s="22">
        <f t="shared" si="117"/>
        <v>10.804969647712868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0.8600000000003547</v>
      </c>
      <c r="BZ134" s="13">
        <f>BY134*VLOOKUP('Données projet'!$B$12,Paramètres!$A$1:$I$89,3,0)*VLOOKUP('Données projet'!$B$12,Paramètres!$A$1:$I$89,5,0)</f>
        <v>0.48074000000019829</v>
      </c>
      <c r="CA134" s="13">
        <f t="shared" si="147"/>
        <v>0.24126147010950588</v>
      </c>
      <c r="CB134" s="20">
        <f t="shared" si="118"/>
        <v>1.2574858937744013</v>
      </c>
      <c r="CC134" s="59">
        <f t="shared" si="119"/>
        <v>285.33123813688013</v>
      </c>
      <c r="CD134" s="59">
        <f ca="1">AVERAGE(OFFSET($CC$3,0,0,'Données projet'!$E$12+1,1))-AVERAGE(OFFSET($H$3,0,0,'Données projet'!$E$12+1,1))</f>
        <v>420.4890915162182</v>
      </c>
      <c r="CE134" s="59">
        <f t="shared" si="148"/>
        <v>553.48432338023565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82.533901985749523</v>
      </c>
      <c r="CL134" s="21">
        <f>EXP(-LN(2)/25)*CL133+(1-EXP(-LN(2)/25))/(LN(2)/25)*Calculateur!CG134*Calculateur!CI134*VLOOKUP('Données projet'!$B$12,Paramètres!$A$1:$I$89,3,0)*0.475*44/12</f>
        <v>3.0742748412786933</v>
      </c>
      <c r="CM134" s="21">
        <f>EXP(-LN(2)/2)*CM133+(1-EXP(-LN(2)/2))/(LN(2)/2)*CG134*CJ134*VLOOKUP('Données projet'!$B$12,Paramètres!$A$1:$I$89,3,0)*0.475*44/12</f>
        <v>4.6469745708273212E-16</v>
      </c>
      <c r="CN134" s="22">
        <f t="shared" si="120"/>
        <v>85.608176827028217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367.99999999999972</v>
      </c>
      <c r="CU134" s="17">
        <f>CT134*VLOOKUP('Données projet'!$B$13,Paramètres!$A$1:$I$89,3,0)*VLOOKUP('Données projet'!$B$13,Paramètres!$A$1:$I$89,5,0)</f>
        <v>269.8175999999998</v>
      </c>
      <c r="CV134" s="13">
        <f t="shared" si="149"/>
        <v>64.810557882019467</v>
      </c>
      <c r="CW134" s="20">
        <f t="shared" si="121"/>
        <v>582.81070831118348</v>
      </c>
      <c r="CX134" s="59">
        <f t="shared" si="122"/>
        <v>866.88446055428926</v>
      </c>
      <c r="CY134" s="59">
        <f ca="1">AVERAGE(OFFSET($CX$3,0,0,'Données projet'!$E$13+1,1))-AVERAGE(OFFSET($H$3,0,0,'Données projet'!$E$13+1,1))</f>
        <v>400.48995908576177</v>
      </c>
      <c r="CZ134" s="59">
        <f t="shared" si="150"/>
        <v>384.86917865380076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16.783698799682476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16.783698799682476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367.99999999999972</v>
      </c>
      <c r="DP134" s="17">
        <f>DO134*VLOOKUP('Données projet'!$B$14,Paramètres!$A$1:$I$89,3,0)*VLOOKUP('Données projet'!$B$14,Paramètres!$A$1:$I$89,5,0)</f>
        <v>292.78079999999977</v>
      </c>
      <c r="DQ134" s="13">
        <f t="shared" si="151"/>
        <v>69.660903052386217</v>
      </c>
      <c r="DR134" s="20">
        <f t="shared" si="124"/>
        <v>631.25263281623893</v>
      </c>
      <c r="DS134" s="59">
        <f t="shared" si="125"/>
        <v>915.3263850593446</v>
      </c>
      <c r="DT134" s="59">
        <f ca="1">AVERAGE(OFFSET($DS$3,0,0,'Données projet'!$E$14+1,1))-AVERAGE(OFFSET($H$3,0,0,'Données projet'!$E$14+1,1))</f>
        <v>429.30603040255431</v>
      </c>
      <c r="DU134" s="59">
        <f t="shared" si="152"/>
        <v>412.18613903804726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22.44747048765052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22.44747048765052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210.25641025641013</v>
      </c>
      <c r="EK134" s="17">
        <f>EJ134*VLOOKUP('Données projet'!$B$15,Paramètres!$A$1:$I$89,3,0)*VLOOKUP('Données projet'!$B$15,Paramètres!$A$1:$I$89,5,0)</f>
        <v>163.99999999999991</v>
      </c>
      <c r="EL134" s="13">
        <f t="shared" si="153"/>
        <v>41.743425908362248</v>
      </c>
      <c r="EM134" s="20">
        <f t="shared" si="127"/>
        <v>358.33646679039742</v>
      </c>
      <c r="EN134" s="59">
        <f t="shared" si="128"/>
        <v>642.41021903350315</v>
      </c>
      <c r="EO134" s="59">
        <f ca="1">AVERAGE(OFFSET($EN$3,0,0,'Données projet'!$E$15+1,1))-AVERAGE(OFFSET($H$3,0,0,'Données projet'!$E$15+1,1))</f>
        <v>217.53602321474159</v>
      </c>
      <c r="EP134" s="59">
        <f t="shared" si="154"/>
        <v>215.75909414893025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9.459803852364109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9.459803852364109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>
        <f>VLOOKUP(A134,'Données projet'!$A$217:$I$237,2,0)</f>
        <v>163.65</v>
      </c>
      <c r="FC134" s="12">
        <f>VLOOKUP(A134,'Données projet'!$A$217:$I$237,9,0)</f>
        <v>9.7500000000003695E-2</v>
      </c>
      <c r="FD134" s="12">
        <f t="array" ref="FD134">INDEX(FC:FC,MIN(IF(ISNUMBER(FC134:FC330),ROW(FC134:FC330),"")))</f>
        <v>9.7500000000003695E-2</v>
      </c>
      <c r="FE134" s="12">
        <f>IF('Données projet'!$A$218&gt;35,FE133+FD134-FM133,IF(A134&lt;'Données projet'!$A$218,$FB$205^A134,IF(A134='Données projet'!$A$218,'Données projet'!$B$218,FE133+FD134-FM133)))</f>
        <v>163.6500000000004</v>
      </c>
      <c r="FF134" s="17">
        <f>FE134*VLOOKUP('Données projet'!$B$16,Paramètres!$A$1:$I$89,3,0)*VLOOKUP('Données projet'!$B$16,Paramètres!$A$1:$I$89,5,0)</f>
        <v>109.77642000000027</v>
      </c>
      <c r="FG134" s="13">
        <f t="shared" si="155"/>
        <v>29.278301144577728</v>
      </c>
      <c r="FH134" s="20">
        <f t="shared" si="130"/>
        <v>242.18697266013999</v>
      </c>
      <c r="FI134" s="59">
        <f t="shared" si="131"/>
        <v>526.26072490324577</v>
      </c>
      <c r="FJ134" s="59">
        <f ca="1">AVERAGE(OFFSET($FI$3,0,0,'Données projet'!$E$16+1,1))-AVERAGE(OFFSET($H$3,0,0,'Données projet'!$E$16+1,1))</f>
        <v>441.20130048888439</v>
      </c>
      <c r="FK134" s="59">
        <f t="shared" si="156"/>
        <v>237.47732532183946</v>
      </c>
      <c r="FL134" s="15">
        <f>IF(ISNA(VLOOKUP(A134,'Données projet'!$A$217:$I$237,3,0)),0,VLOOKUP(A134,'Données projet'!$A$217:$I$237,3,0))</f>
        <v>14</v>
      </c>
      <c r="FM134" s="15">
        <f>IF(ISNA(VLOOKUP(A134,'Données projet'!$A$217:$I$237,4,0)),0,VLOOKUP(A134,'Données projet'!$A$217:$I$237,4,0))</f>
        <v>143.84</v>
      </c>
      <c r="FN134" s="16">
        <f>IF(ISNA(VLOOKUP(A134,'Données projet'!$A$217:$I$237,5,0)),0%,VLOOKUP(A134,'Données projet'!$A$217:$I$237,5,0)*VLOOKUP('Données projet'!$B$16,Paramètres!$A$1:$I$89,7,0))</f>
        <v>0.53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253.19640709476525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253.19640709476525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204.00000000000017</v>
      </c>
      <c r="GA134" s="17">
        <f>FZ134*VLOOKUP('Données projet'!$B$17,Paramètres!$A$1:$I$89,3,0)*VLOOKUP('Données projet'!$B$17,Paramètres!$A$1:$I$89,5,0)</f>
        <v>133.66080000000011</v>
      </c>
      <c r="GB134" s="13">
        <f t="shared" si="157"/>
        <v>34.840890682716783</v>
      </c>
      <c r="GC134" s="20">
        <f t="shared" si="133"/>
        <v>293.4737779390652</v>
      </c>
      <c r="GD134" s="59">
        <f t="shared" si="134"/>
        <v>577.54753018217093</v>
      </c>
      <c r="GE134" s="59">
        <f ca="1">AVERAGE(OFFSET($GD$3,0,0,'Données projet'!$E$17+1,1))-AVERAGE(OFFSET($H$3,0,0,'Données projet'!$E$17+1,1))</f>
        <v>257.66104339896992</v>
      </c>
      <c r="GF134" s="59">
        <f t="shared" si="158"/>
        <v>254.79488636184996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17.498573492022949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17.498573492022949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234.00000000000003</v>
      </c>
      <c r="GV134" s="17">
        <f>GU134*VLOOKUP('Données projet'!$B$18,Paramètres!$A$1:$I$89,3,0)*VLOOKUP('Données projet'!$B$18,Paramètres!$A$1:$I$89,5,0)</f>
        <v>189.82080000000005</v>
      </c>
      <c r="GW134" s="13">
        <f t="shared" si="159"/>
        <v>47.500332100049796</v>
      </c>
      <c r="GX134" s="20">
        <f t="shared" si="136"/>
        <v>413.33430507425345</v>
      </c>
      <c r="GY134" s="59">
        <f t="shared" si="137"/>
        <v>697.40805731735918</v>
      </c>
      <c r="GZ134" s="59">
        <f ca="1">AVERAGE(OFFSET($GY$3,0,0,'Données projet'!$E$18+1,1))-AVERAGE(OFFSET($H$3,0,0,'Données projet'!$E$18+1,1))</f>
        <v>299.98377156721153</v>
      </c>
      <c r="HA134" s="59">
        <f t="shared" si="160"/>
        <v>241.36164657721102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16.858815777942365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16.858815777942365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19.8100000000004</v>
      </c>
      <c r="O135" s="13">
        <f>N135*VLOOKUP('Données projet'!$B$9,Paramètres!$A$1:$I$89,3,0)*VLOOKUP('Données projet'!$B$9,Paramètres!$A$1:$I$89,5,0)</f>
        <v>17.924088000000364</v>
      </c>
      <c r="P135" s="13">
        <f t="shared" si="141"/>
        <v>5.9032212091029486</v>
      </c>
      <c r="Q135" s="20">
        <f t="shared" si="108"/>
        <v>41.499230205854936</v>
      </c>
      <c r="R135" s="59">
        <f t="shared" si="109"/>
        <v>325.73361547955409</v>
      </c>
      <c r="S135" s="59">
        <f ca="1">AVERAGE(OFFSET($R$3,0,0,'Données projet'!$E$9+1,1))-AVERAGE(OFFSET($H$3,0,0,'Données projet'!$E$9+1,1))</f>
        <v>567.42635821507474</v>
      </c>
      <c r="T135" s="59">
        <f t="shared" si="142"/>
        <v>299.04735309930152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271.64943470187495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271.64943470187495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474.99999999999994</v>
      </c>
      <c r="AJ135" s="13">
        <f>AI135*VLOOKUP('Données projet'!$B$10,Paramètres!$A$1:$I$89,3,0)*VLOOKUP('Données projet'!$B$10,Paramètres!$A$1:$I$89,5,0)</f>
        <v>407.55</v>
      </c>
      <c r="AK135" s="13">
        <f t="shared" si="143"/>
        <v>93.305642095357683</v>
      </c>
      <c r="AL135" s="20">
        <f t="shared" si="112"/>
        <v>872.32357664941446</v>
      </c>
      <c r="AM135" s="59">
        <f t="shared" si="113"/>
        <v>1156.5579619231137</v>
      </c>
      <c r="AN135" s="59">
        <f ca="1">AVERAGE(OFFSET($AM$3,0,0,'Données projet'!$E$10+1,1))-AVERAGE(OFFSET($H$3,0,0,'Données projet'!$E$10+1,1))</f>
        <v>569.97793593332699</v>
      </c>
      <c r="AO135" s="59">
        <f t="shared" si="144"/>
        <v>331.25104323342907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96.36909441664794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96.36909441664794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277.99999999999994</v>
      </c>
      <c r="BE135" s="13">
        <f>BD135*VLOOKUP('Données projet'!$B$11,Paramètres!$A$1:$I$89,3,0)*VLOOKUP('Données projet'!$B$11,Paramètres!$A$1:$I$89,5,0)</f>
        <v>151.78799999999998</v>
      </c>
      <c r="BF135" s="13">
        <f t="shared" si="145"/>
        <v>38.984634390835623</v>
      </c>
      <c r="BG135" s="20">
        <f t="shared" si="115"/>
        <v>332.26233823070532</v>
      </c>
      <c r="BH135" s="59">
        <f t="shared" si="116"/>
        <v>616.49672350440449</v>
      </c>
      <c r="BI135" s="59">
        <f ca="1">AVERAGE(OFFSET($BH$3,0,0,'Données projet'!$E$11+1,1))-AVERAGE(OFFSET($H$3,0,0,'Données projet'!$E$11+1,1))</f>
        <v>215.37314197175104</v>
      </c>
      <c r="BJ135" s="59">
        <f t="shared" si="146"/>
        <v>361.17630426655978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4.8691285340652364</v>
      </c>
      <c r="BQ135" s="21">
        <f>EXP(-LN(2)/25)*BQ134+(1-EXP(-LN(2)/25))/(LN(2)/25)*Calculateur!BL135*Calculateur!BN135*VLOOKUP('Données projet'!$B$11,Paramètres!$A$1:$I$89,3,0)*0.475*44/12</f>
        <v>5.6787979648879592</v>
      </c>
      <c r="BR135" s="21">
        <f>EXP(-LN(2)/2)*BR134+(1-EXP(-LN(2)/2))/(LN(2)/2)*BL135*BO135*VLOOKUP('Données projet'!$B$11,Paramètres!$A$1:$I$89,3,0)*0.475*44/12</f>
        <v>1.1260242324880092E-17</v>
      </c>
      <c r="BS135" s="22">
        <f t="shared" si="117"/>
        <v>10.547926498953196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0.8600000000003547</v>
      </c>
      <c r="BZ135" s="13">
        <f>BY135*VLOOKUP('Données projet'!$B$12,Paramètres!$A$1:$I$89,3,0)*VLOOKUP('Données projet'!$B$12,Paramètres!$A$1:$I$89,5,0)</f>
        <v>0.48074000000019829</v>
      </c>
      <c r="CA135" s="13">
        <f t="shared" si="147"/>
        <v>0.24126147010950588</v>
      </c>
      <c r="CB135" s="20">
        <f t="shared" si="118"/>
        <v>1.2574858937744013</v>
      </c>
      <c r="CC135" s="59">
        <f t="shared" si="119"/>
        <v>285.49187116747356</v>
      </c>
      <c r="CD135" s="59">
        <f ca="1">AVERAGE(OFFSET($CC$3,0,0,'Données projet'!$E$12+1,1))-AVERAGE(OFFSET($H$3,0,0,'Données projet'!$E$12+1,1))</f>
        <v>420.4890915162182</v>
      </c>
      <c r="CE135" s="59">
        <f t="shared" si="148"/>
        <v>553.48432338023565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80.915462508518459</v>
      </c>
      <c r="CL135" s="21">
        <f>EXP(-LN(2)/25)*CL134+(1-EXP(-LN(2)/25))/(LN(2)/25)*Calculateur!CG135*Calculateur!CI135*VLOOKUP('Données projet'!$B$12,Paramètres!$A$1:$I$89,3,0)*0.475*44/12</f>
        <v>2.9902086340748397</v>
      </c>
      <c r="CM135" s="21">
        <f>EXP(-LN(2)/2)*CM134+(1-EXP(-LN(2)/2))/(LN(2)/2)*CG135*CJ135*VLOOKUP('Données projet'!$B$12,Paramètres!$A$1:$I$89,3,0)*0.475*44/12</f>
        <v>3.2859072310334453E-16</v>
      </c>
      <c r="CN135" s="22">
        <f t="shared" si="120"/>
        <v>83.905671142593292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367.99999999999972</v>
      </c>
      <c r="CU135" s="17">
        <f>CT135*VLOOKUP('Données projet'!$B$13,Paramètres!$A$1:$I$89,3,0)*VLOOKUP('Données projet'!$B$13,Paramètres!$A$1:$I$89,5,0)</f>
        <v>269.8175999999998</v>
      </c>
      <c r="CV135" s="13">
        <f t="shared" si="149"/>
        <v>64.810557882019467</v>
      </c>
      <c r="CW135" s="20">
        <f t="shared" si="121"/>
        <v>582.81070831118348</v>
      </c>
      <c r="CX135" s="59">
        <f t="shared" si="122"/>
        <v>867.04509358488258</v>
      </c>
      <c r="CY135" s="59">
        <f ca="1">AVERAGE(OFFSET($CX$3,0,0,'Données projet'!$E$13+1,1))-AVERAGE(OFFSET($H$3,0,0,'Données projet'!$E$13+1,1))</f>
        <v>400.48995908576177</v>
      </c>
      <c r="CZ135" s="59">
        <f t="shared" si="150"/>
        <v>384.86917865380076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16.454580703266146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16.454580703266146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367.99999999999972</v>
      </c>
      <c r="DP135" s="17">
        <f>DO135*VLOOKUP('Données projet'!$B$14,Paramètres!$A$1:$I$89,3,0)*VLOOKUP('Données projet'!$B$14,Paramètres!$A$1:$I$89,5,0)</f>
        <v>292.78079999999977</v>
      </c>
      <c r="DQ135" s="13">
        <f t="shared" si="151"/>
        <v>69.660903052386217</v>
      </c>
      <c r="DR135" s="20">
        <f t="shared" si="124"/>
        <v>631.25263281623893</v>
      </c>
      <c r="DS135" s="59">
        <f t="shared" si="125"/>
        <v>915.48701808993815</v>
      </c>
      <c r="DT135" s="59">
        <f ca="1">AVERAGE(OFFSET($DS$3,0,0,'Données projet'!$E$14+1,1))-AVERAGE(OFFSET($H$3,0,0,'Données projet'!$E$14+1,1))</f>
        <v>429.30603040255431</v>
      </c>
      <c r="DU135" s="59">
        <f t="shared" si="152"/>
        <v>412.18613903804726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22.007289282992758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22.007289282992758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210.25641025641013</v>
      </c>
      <c r="EK135" s="17">
        <f>EJ135*VLOOKUP('Données projet'!$B$15,Paramètres!$A$1:$I$89,3,0)*VLOOKUP('Données projet'!$B$15,Paramètres!$A$1:$I$89,5,0)</f>
        <v>163.99999999999991</v>
      </c>
      <c r="EL135" s="13">
        <f t="shared" si="153"/>
        <v>41.743425908362248</v>
      </c>
      <c r="EM135" s="20">
        <f t="shared" si="127"/>
        <v>358.33646679039742</v>
      </c>
      <c r="EN135" s="59">
        <f t="shared" si="128"/>
        <v>642.57085206409658</v>
      </c>
      <c r="EO135" s="59">
        <f ca="1">AVERAGE(OFFSET($EN$3,0,0,'Données projet'!$E$15+1,1))-AVERAGE(OFFSET($H$3,0,0,'Données projet'!$E$15+1,1))</f>
        <v>217.53602321474159</v>
      </c>
      <c r="EP135" s="59">
        <f t="shared" si="154"/>
        <v>215.75909414893025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9.2743028687298672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9.2743028687298672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19.8100000000004</v>
      </c>
      <c r="FF135" s="17">
        <f>FE135*VLOOKUP('Données projet'!$B$16,Paramètres!$A$1:$I$89,3,0)*VLOOKUP('Données projet'!$B$16,Paramètres!$A$1:$I$89,5,0)</f>
        <v>13.288548000000269</v>
      </c>
      <c r="FG135" s="13">
        <f t="shared" si="155"/>
        <v>4.531654695205642</v>
      </c>
      <c r="FH135" s="20">
        <f t="shared" si="130"/>
        <v>31.036853027483627</v>
      </c>
      <c r="FI135" s="59">
        <f t="shared" si="131"/>
        <v>315.27123830118279</v>
      </c>
      <c r="FJ135" s="59">
        <f ca="1">AVERAGE(OFFSET($FI$3,0,0,'Données projet'!$E$16+1,1))-AVERAGE(OFFSET($H$3,0,0,'Données projet'!$E$16+1,1))</f>
        <v>441.20130048888439</v>
      </c>
      <c r="FK135" s="59">
        <f t="shared" si="156"/>
        <v>237.47732532183946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248.23137998619609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248.23137998619609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204.00000000000017</v>
      </c>
      <c r="GA135" s="17">
        <f>FZ135*VLOOKUP('Données projet'!$B$17,Paramètres!$A$1:$I$89,3,0)*VLOOKUP('Données projet'!$B$17,Paramètres!$A$1:$I$89,5,0)</f>
        <v>133.66080000000011</v>
      </c>
      <c r="GB135" s="13">
        <f t="shared" si="157"/>
        <v>34.840890682716783</v>
      </c>
      <c r="GC135" s="20">
        <f t="shared" si="133"/>
        <v>293.4737779390652</v>
      </c>
      <c r="GD135" s="59">
        <f t="shared" si="134"/>
        <v>577.70816321276436</v>
      </c>
      <c r="GE135" s="59">
        <f ca="1">AVERAGE(OFFSET($GD$3,0,0,'Données projet'!$E$17+1,1))-AVERAGE(OFFSET($H$3,0,0,'Données projet'!$E$17+1,1))</f>
        <v>257.66104339896992</v>
      </c>
      <c r="GF135" s="59">
        <f t="shared" si="158"/>
        <v>254.79488636184996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17.15543713892033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17.15543713892033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234.00000000000003</v>
      </c>
      <c r="GV135" s="17">
        <f>GU135*VLOOKUP('Données projet'!$B$18,Paramètres!$A$1:$I$89,3,0)*VLOOKUP('Données projet'!$B$18,Paramètres!$A$1:$I$89,5,0)</f>
        <v>189.82080000000005</v>
      </c>
      <c r="GW135" s="13">
        <f t="shared" si="159"/>
        <v>47.500332100049796</v>
      </c>
      <c r="GX135" s="20">
        <f t="shared" si="136"/>
        <v>413.33430507425345</v>
      </c>
      <c r="GY135" s="59">
        <f t="shared" si="137"/>
        <v>697.56869034795261</v>
      </c>
      <c r="GZ135" s="59">
        <f ca="1">AVERAGE(OFFSET($GY$3,0,0,'Données projet'!$E$18+1,1))-AVERAGE(OFFSET($H$3,0,0,'Données projet'!$E$18+1,1))</f>
        <v>299.98377156721153</v>
      </c>
      <c r="HA135" s="59">
        <f t="shared" si="160"/>
        <v>241.36164657721102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16.528224683399191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16.528224683399191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19.8100000000004</v>
      </c>
      <c r="O136" s="13">
        <f>N136*VLOOKUP('Données projet'!$B$9,Paramètres!$A$1:$I$89,3,0)*VLOOKUP('Données projet'!$B$9,Paramètres!$A$1:$I$89,5,0)</f>
        <v>17.924088000000364</v>
      </c>
      <c r="P136" s="13">
        <f t="shared" si="141"/>
        <v>5.9032212091029486</v>
      </c>
      <c r="Q136" s="20">
        <f t="shared" si="108"/>
        <v>41.499230205854936</v>
      </c>
      <c r="R136" s="59">
        <f t="shared" si="109"/>
        <v>325.89146188618832</v>
      </c>
      <c r="S136" s="59">
        <f ca="1">AVERAGE(OFFSET($R$3,0,0,'Données projet'!$E$9+1,1))-AVERAGE(OFFSET($H$3,0,0,'Données projet'!$E$9+1,1))</f>
        <v>567.42635821507474</v>
      </c>
      <c r="T136" s="59">
        <f t="shared" si="142"/>
        <v>299.04735309930152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266.32255497716585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266.32255497716585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474.99999999999994</v>
      </c>
      <c r="AJ136" s="13">
        <f>AI136*VLOOKUP('Données projet'!$B$10,Paramètres!$A$1:$I$89,3,0)*VLOOKUP('Données projet'!$B$10,Paramètres!$A$1:$I$89,5,0)</f>
        <v>407.55</v>
      </c>
      <c r="AK136" s="13">
        <f t="shared" si="143"/>
        <v>93.305642095357683</v>
      </c>
      <c r="AL136" s="20">
        <f t="shared" si="112"/>
        <v>872.32357664941446</v>
      </c>
      <c r="AM136" s="59">
        <f t="shared" si="113"/>
        <v>1156.7158083297479</v>
      </c>
      <c r="AN136" s="59">
        <f ca="1">AVERAGE(OFFSET($AM$3,0,0,'Données projet'!$E$10+1,1))-AVERAGE(OFFSET($H$3,0,0,'Données projet'!$E$10+1,1))</f>
        <v>569.97793593332699</v>
      </c>
      <c r="AO136" s="59">
        <f t="shared" si="144"/>
        <v>331.25104323342907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94.479355254481092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94.479355254481092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277.99999999999994</v>
      </c>
      <c r="BE136" s="13">
        <f>BD136*VLOOKUP('Données projet'!$B$11,Paramètres!$A$1:$I$89,3,0)*VLOOKUP('Données projet'!$B$11,Paramètres!$A$1:$I$89,5,0)</f>
        <v>151.78799999999998</v>
      </c>
      <c r="BF136" s="13">
        <f t="shared" si="145"/>
        <v>38.984634390835623</v>
      </c>
      <c r="BG136" s="20">
        <f t="shared" si="115"/>
        <v>332.26233823070532</v>
      </c>
      <c r="BH136" s="59">
        <f t="shared" si="116"/>
        <v>616.65456991103872</v>
      </c>
      <c r="BI136" s="59">
        <f ca="1">AVERAGE(OFFSET($BH$3,0,0,'Données projet'!$E$11+1,1))-AVERAGE(OFFSET($H$3,0,0,'Données projet'!$E$11+1,1))</f>
        <v>215.37314197175104</v>
      </c>
      <c r="BJ136" s="59">
        <f t="shared" si="146"/>
        <v>361.17630426655978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4.7736478933873725</v>
      </c>
      <c r="BQ136" s="21">
        <f>EXP(-LN(2)/25)*BQ135+(1-EXP(-LN(2)/25))/(LN(2)/25)*Calculateur!BL136*Calculateur!BN136*VLOOKUP('Données projet'!$B$11,Paramètres!$A$1:$I$89,3,0)*0.475*44/12</f>
        <v>5.5235109359030918</v>
      </c>
      <c r="BR136" s="21">
        <f>EXP(-LN(2)/2)*BR135+(1-EXP(-LN(2)/2))/(LN(2)/2)*BL136*BO136*VLOOKUP('Données projet'!$B$11,Paramètres!$A$1:$I$89,3,0)*0.475*44/12</f>
        <v>7.9621937057264885E-18</v>
      </c>
      <c r="BS136" s="22">
        <f t="shared" si="117"/>
        <v>10.297158829290463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0.8600000000003547</v>
      </c>
      <c r="BZ136" s="13">
        <f>BY136*VLOOKUP('Données projet'!$B$12,Paramètres!$A$1:$I$89,3,0)*VLOOKUP('Données projet'!$B$12,Paramètres!$A$1:$I$89,5,0)</f>
        <v>0.48074000000019829</v>
      </c>
      <c r="CA136" s="13">
        <f t="shared" si="147"/>
        <v>0.24126147010950588</v>
      </c>
      <c r="CB136" s="20">
        <f t="shared" si="118"/>
        <v>1.2574858937744013</v>
      </c>
      <c r="CC136" s="59">
        <f t="shared" si="119"/>
        <v>285.6497175741078</v>
      </c>
      <c r="CD136" s="59">
        <f ca="1">AVERAGE(OFFSET($CC$3,0,0,'Données projet'!$E$12+1,1))-AVERAGE(OFFSET($H$3,0,0,'Données projet'!$E$12+1,1))</f>
        <v>420.4890915162182</v>
      </c>
      <c r="CE136" s="59">
        <f t="shared" si="148"/>
        <v>553.48432338023565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79.328759642285277</v>
      </c>
      <c r="CL136" s="21">
        <f>EXP(-LN(2)/25)*CL135+(1-EXP(-LN(2)/25))/(LN(2)/25)*Calculateur!CG136*Calculateur!CI136*VLOOKUP('Données projet'!$B$12,Paramètres!$A$1:$I$89,3,0)*0.475*44/12</f>
        <v>2.9084412217278253</v>
      </c>
      <c r="CM136" s="21">
        <f>EXP(-LN(2)/2)*CM135+(1-EXP(-LN(2)/2))/(LN(2)/2)*CG136*CJ136*VLOOKUP('Données projet'!$B$12,Paramètres!$A$1:$I$89,3,0)*0.475*44/12</f>
        <v>2.3234872854136606E-16</v>
      </c>
      <c r="CN136" s="22">
        <f t="shared" si="120"/>
        <v>82.237200864013104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367.99999999999972</v>
      </c>
      <c r="CU136" s="17">
        <f>CT136*VLOOKUP('Données projet'!$B$13,Paramètres!$A$1:$I$89,3,0)*VLOOKUP('Données projet'!$B$13,Paramètres!$A$1:$I$89,5,0)</f>
        <v>269.8175999999998</v>
      </c>
      <c r="CV136" s="13">
        <f t="shared" si="149"/>
        <v>64.810557882019467</v>
      </c>
      <c r="CW136" s="20">
        <f t="shared" si="121"/>
        <v>582.81070831118348</v>
      </c>
      <c r="CX136" s="59">
        <f t="shared" si="122"/>
        <v>867.20293999151681</v>
      </c>
      <c r="CY136" s="59">
        <f ca="1">AVERAGE(OFFSET($CX$3,0,0,'Données projet'!$E$13+1,1))-AVERAGE(OFFSET($H$3,0,0,'Données projet'!$E$13+1,1))</f>
        <v>400.48995908576177</v>
      </c>
      <c r="CZ136" s="59">
        <f t="shared" si="150"/>
        <v>384.86917865380076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16.131916411978324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16.131916411978324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367.99999999999972</v>
      </c>
      <c r="DP136" s="17">
        <f>DO136*VLOOKUP('Données projet'!$B$14,Paramètres!$A$1:$I$89,3,0)*VLOOKUP('Données projet'!$B$14,Paramètres!$A$1:$I$89,5,0)</f>
        <v>292.78079999999977</v>
      </c>
      <c r="DQ136" s="13">
        <f t="shared" si="151"/>
        <v>69.660903052386217</v>
      </c>
      <c r="DR136" s="20">
        <f t="shared" si="124"/>
        <v>631.25263281623893</v>
      </c>
      <c r="DS136" s="59">
        <f t="shared" si="125"/>
        <v>915.64486449657238</v>
      </c>
      <c r="DT136" s="59">
        <f ca="1">AVERAGE(OFFSET($DS$3,0,0,'Données projet'!$E$14+1,1))-AVERAGE(OFFSET($H$3,0,0,'Données projet'!$E$14+1,1))</f>
        <v>429.30603040255431</v>
      </c>
      <c r="DU136" s="59">
        <f t="shared" si="152"/>
        <v>412.18613903804726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21.57573976327431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21.57573976327431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210.25641025641013</v>
      </c>
      <c r="EK136" s="17">
        <f>EJ136*VLOOKUP('Données projet'!$B$15,Paramètres!$A$1:$I$89,3,0)*VLOOKUP('Données projet'!$B$15,Paramètres!$A$1:$I$89,5,0)</f>
        <v>163.99999999999991</v>
      </c>
      <c r="EL136" s="13">
        <f t="shared" si="153"/>
        <v>41.743425908362248</v>
      </c>
      <c r="EM136" s="20">
        <f t="shared" si="127"/>
        <v>358.33646679039742</v>
      </c>
      <c r="EN136" s="59">
        <f t="shared" si="128"/>
        <v>642.72869847073082</v>
      </c>
      <c r="EO136" s="59">
        <f ca="1">AVERAGE(OFFSET($EN$3,0,0,'Données projet'!$E$15+1,1))-AVERAGE(OFFSET($H$3,0,0,'Données projet'!$E$15+1,1))</f>
        <v>217.53602321474159</v>
      </c>
      <c r="EP136" s="59">
        <f t="shared" si="154"/>
        <v>215.75909414893025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9.0924394462402649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9.0924394462402649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19.8100000000004</v>
      </c>
      <c r="FF136" s="17">
        <f>FE136*VLOOKUP('Données projet'!$B$16,Paramètres!$A$1:$I$89,3,0)*VLOOKUP('Données projet'!$B$16,Paramètres!$A$1:$I$89,5,0)</f>
        <v>13.288548000000269</v>
      </c>
      <c r="FG136" s="13">
        <f t="shared" si="155"/>
        <v>4.531654695205642</v>
      </c>
      <c r="FH136" s="20">
        <f t="shared" si="130"/>
        <v>31.036853027483627</v>
      </c>
      <c r="FI136" s="59">
        <f t="shared" si="131"/>
        <v>315.42908470781703</v>
      </c>
      <c r="FJ136" s="59">
        <f ca="1">AVERAGE(OFFSET($FI$3,0,0,'Données projet'!$E$16+1,1))-AVERAGE(OFFSET($H$3,0,0,'Données projet'!$E$16+1,1))</f>
        <v>441.20130048888439</v>
      </c>
      <c r="FK136" s="59">
        <f t="shared" si="156"/>
        <v>237.47732532183946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243.36371403085846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243.36371403085846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204.00000000000017</v>
      </c>
      <c r="GA136" s="17">
        <f>FZ136*VLOOKUP('Données projet'!$B$17,Paramètres!$A$1:$I$89,3,0)*VLOOKUP('Données projet'!$B$17,Paramètres!$A$1:$I$89,5,0)</f>
        <v>133.66080000000011</v>
      </c>
      <c r="GB136" s="13">
        <f t="shared" si="157"/>
        <v>34.840890682716783</v>
      </c>
      <c r="GC136" s="20">
        <f t="shared" si="133"/>
        <v>293.4737779390652</v>
      </c>
      <c r="GD136" s="59">
        <f t="shared" si="134"/>
        <v>577.8660096193986</v>
      </c>
      <c r="GE136" s="59">
        <f ca="1">AVERAGE(OFFSET($GD$3,0,0,'Données projet'!$E$17+1,1))-AVERAGE(OFFSET($H$3,0,0,'Données projet'!$E$17+1,1))</f>
        <v>257.66104339896992</v>
      </c>
      <c r="GF136" s="59">
        <f t="shared" si="158"/>
        <v>254.79488636184996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16.819029480409544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16.819029480409544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234.00000000000003</v>
      </c>
      <c r="GV136" s="17">
        <f>GU136*VLOOKUP('Données projet'!$B$18,Paramètres!$A$1:$I$89,3,0)*VLOOKUP('Données projet'!$B$18,Paramètres!$A$1:$I$89,5,0)</f>
        <v>189.82080000000005</v>
      </c>
      <c r="GW136" s="13">
        <f t="shared" si="159"/>
        <v>47.500332100049796</v>
      </c>
      <c r="GX136" s="20">
        <f t="shared" si="136"/>
        <v>413.33430507425345</v>
      </c>
      <c r="GY136" s="59">
        <f t="shared" si="137"/>
        <v>697.72653675458685</v>
      </c>
      <c r="GZ136" s="59">
        <f ca="1">AVERAGE(OFFSET($GY$3,0,0,'Données projet'!$E$18+1,1))-AVERAGE(OFFSET($H$3,0,0,'Données projet'!$E$18+1,1))</f>
        <v>299.98377156721153</v>
      </c>
      <c r="HA136" s="59">
        <f t="shared" si="160"/>
        <v>241.36164657721102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16.204116278579352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16.204116278579352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19.8100000000004</v>
      </c>
      <c r="O137" s="13">
        <f>N137*VLOOKUP('Données projet'!$B$9,Paramètres!$A$1:$I$89,3,0)*VLOOKUP('Données projet'!$B$9,Paramètres!$A$1:$I$89,5,0)</f>
        <v>17.924088000000364</v>
      </c>
      <c r="P137" s="13">
        <f t="shared" si="141"/>
        <v>5.9032212091029486</v>
      </c>
      <c r="Q137" s="20">
        <f t="shared" si="108"/>
        <v>41.499230205854936</v>
      </c>
      <c r="R137" s="59">
        <f t="shared" si="109"/>
        <v>326.04657001055921</v>
      </c>
      <c r="S137" s="59">
        <f ca="1">AVERAGE(OFFSET($R$3,0,0,'Données projet'!$E$9+1,1))-AVERAGE(OFFSET($H$3,0,0,'Données projet'!$E$9+1,1))</f>
        <v>567.42635821507474</v>
      </c>
      <c r="T137" s="59">
        <f t="shared" si="142"/>
        <v>299.04735309930152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261.10013211478247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261.10013211478247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474.99999999999994</v>
      </c>
      <c r="AJ137" s="13">
        <f>AI137*VLOOKUP('Données projet'!$B$10,Paramètres!$A$1:$I$89,3,0)*VLOOKUP('Données projet'!$B$10,Paramètres!$A$1:$I$89,5,0)</f>
        <v>407.55</v>
      </c>
      <c r="AK137" s="13">
        <f t="shared" si="143"/>
        <v>93.305642095357683</v>
      </c>
      <c r="AL137" s="20">
        <f t="shared" si="112"/>
        <v>872.32357664941446</v>
      </c>
      <c r="AM137" s="59">
        <f t="shared" si="113"/>
        <v>1156.8709164541187</v>
      </c>
      <c r="AN137" s="59">
        <f ca="1">AVERAGE(OFFSET($AM$3,0,0,'Données projet'!$E$10+1,1))-AVERAGE(OFFSET($H$3,0,0,'Données projet'!$E$10+1,1))</f>
        <v>569.97793593332699</v>
      </c>
      <c r="AO137" s="59">
        <f t="shared" si="144"/>
        <v>331.25104323342907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92.626672724657254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92.626672724657254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277.99999999999994</v>
      </c>
      <c r="BE137" s="13">
        <f>BD137*VLOOKUP('Données projet'!$B$11,Paramètres!$A$1:$I$89,3,0)*VLOOKUP('Données projet'!$B$11,Paramètres!$A$1:$I$89,5,0)</f>
        <v>151.78799999999998</v>
      </c>
      <c r="BF137" s="13">
        <f t="shared" si="145"/>
        <v>38.984634390835623</v>
      </c>
      <c r="BG137" s="20">
        <f t="shared" si="115"/>
        <v>332.26233823070532</v>
      </c>
      <c r="BH137" s="59">
        <f t="shared" si="116"/>
        <v>616.80967803540966</v>
      </c>
      <c r="BI137" s="59">
        <f ca="1">AVERAGE(OFFSET($BH$3,0,0,'Données projet'!$E$11+1,1))-AVERAGE(OFFSET($H$3,0,0,'Données projet'!$E$11+1,1))</f>
        <v>215.37314197175104</v>
      </c>
      <c r="BJ137" s="59">
        <f t="shared" si="146"/>
        <v>361.17630426655978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4.6800395698357606</v>
      </c>
      <c r="BQ137" s="21">
        <f>EXP(-LN(2)/25)*BQ136+(1-EXP(-LN(2)/25))/(LN(2)/25)*Calculateur!BL137*Calculateur!BN137*VLOOKUP('Données projet'!$B$11,Paramètres!$A$1:$I$89,3,0)*0.475*44/12</f>
        <v>5.3724702388920056</v>
      </c>
      <c r="BR137" s="21">
        <f>EXP(-LN(2)/2)*BR136+(1-EXP(-LN(2)/2))/(LN(2)/2)*BL137*BO137*VLOOKUP('Données projet'!$B$11,Paramètres!$A$1:$I$89,3,0)*0.475*44/12</f>
        <v>5.6301211624400462E-18</v>
      </c>
      <c r="BS137" s="22">
        <f t="shared" si="117"/>
        <v>10.052509808727766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0.8600000000003547</v>
      </c>
      <c r="BZ137" s="13">
        <f>BY137*VLOOKUP('Données projet'!$B$12,Paramètres!$A$1:$I$89,3,0)*VLOOKUP('Données projet'!$B$12,Paramètres!$A$1:$I$89,5,0)</f>
        <v>0.48074000000019829</v>
      </c>
      <c r="CA137" s="13">
        <f t="shared" si="147"/>
        <v>0.24126147010950588</v>
      </c>
      <c r="CB137" s="20">
        <f t="shared" si="118"/>
        <v>1.2574858937744013</v>
      </c>
      <c r="CC137" s="59">
        <f t="shared" si="119"/>
        <v>285.80482569847868</v>
      </c>
      <c r="CD137" s="59">
        <f ca="1">AVERAGE(OFFSET($CC$3,0,0,'Données projet'!$E$12+1,1))-AVERAGE(OFFSET($H$3,0,0,'Données projet'!$E$12+1,1))</f>
        <v>420.4890915162182</v>
      </c>
      <c r="CE137" s="59">
        <f t="shared" si="148"/>
        <v>553.48432338023565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77.773171051465752</v>
      </c>
      <c r="CL137" s="21">
        <f>EXP(-LN(2)/25)*CL136+(1-EXP(-LN(2)/25))/(LN(2)/25)*Calculateur!CG137*Calculateur!CI137*VLOOKUP('Données projet'!$B$12,Paramètres!$A$1:$I$89,3,0)*0.475*44/12</f>
        <v>2.8289097435714012</v>
      </c>
      <c r="CM137" s="21">
        <f>EXP(-LN(2)/2)*CM136+(1-EXP(-LN(2)/2))/(LN(2)/2)*CG137*CJ137*VLOOKUP('Données projet'!$B$12,Paramètres!$A$1:$I$89,3,0)*0.475*44/12</f>
        <v>1.6429536155167227E-16</v>
      </c>
      <c r="CN137" s="22">
        <f t="shared" si="120"/>
        <v>80.602080795037153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367.99999999999972</v>
      </c>
      <c r="CU137" s="17">
        <f>CT137*VLOOKUP('Données projet'!$B$13,Paramètres!$A$1:$I$89,3,0)*VLOOKUP('Données projet'!$B$13,Paramètres!$A$1:$I$89,5,0)</f>
        <v>269.8175999999998</v>
      </c>
      <c r="CV137" s="13">
        <f t="shared" si="149"/>
        <v>64.810557882019467</v>
      </c>
      <c r="CW137" s="20">
        <f t="shared" si="121"/>
        <v>582.81070831118348</v>
      </c>
      <c r="CX137" s="59">
        <f t="shared" si="122"/>
        <v>867.35804811588775</v>
      </c>
      <c r="CY137" s="59">
        <f ca="1">AVERAGE(OFFSET($CX$3,0,0,'Données projet'!$E$13+1,1))-AVERAGE(OFFSET($H$3,0,0,'Données projet'!$E$13+1,1))</f>
        <v>400.48995908576177</v>
      </c>
      <c r="CZ137" s="59">
        <f t="shared" si="150"/>
        <v>384.86917865380076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15.81557937063687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15.81557937063687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367.99999999999972</v>
      </c>
      <c r="DP137" s="17">
        <f>DO137*VLOOKUP('Données projet'!$B$14,Paramètres!$A$1:$I$89,3,0)*VLOOKUP('Données projet'!$B$14,Paramètres!$A$1:$I$89,5,0)</f>
        <v>292.78079999999977</v>
      </c>
      <c r="DQ137" s="13">
        <f t="shared" si="151"/>
        <v>69.660903052386217</v>
      </c>
      <c r="DR137" s="20">
        <f t="shared" si="124"/>
        <v>631.25263281623893</v>
      </c>
      <c r="DS137" s="59">
        <f t="shared" si="125"/>
        <v>915.79997262094321</v>
      </c>
      <c r="DT137" s="59">
        <f ca="1">AVERAGE(OFFSET($DS$3,0,0,'Données projet'!$E$14+1,1))-AVERAGE(OFFSET($H$3,0,0,'Données projet'!$E$14+1,1))</f>
        <v>429.30603040255431</v>
      </c>
      <c r="DU137" s="59">
        <f t="shared" si="152"/>
        <v>412.18613903804726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21.152652666418323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21.152652666418323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210.25641025641013</v>
      </c>
      <c r="EK137" s="17">
        <f>EJ137*VLOOKUP('Données projet'!$B$15,Paramètres!$A$1:$I$89,3,0)*VLOOKUP('Données projet'!$B$15,Paramètres!$A$1:$I$89,5,0)</f>
        <v>163.99999999999991</v>
      </c>
      <c r="EL137" s="13">
        <f t="shared" si="153"/>
        <v>41.743425908362248</v>
      </c>
      <c r="EM137" s="20">
        <f t="shared" si="127"/>
        <v>358.33646679039742</v>
      </c>
      <c r="EN137" s="59">
        <f t="shared" si="128"/>
        <v>642.88380659510176</v>
      </c>
      <c r="EO137" s="59">
        <f ca="1">AVERAGE(OFFSET($EN$3,0,0,'Données projet'!$E$15+1,1))-AVERAGE(OFFSET($H$3,0,0,'Données projet'!$E$15+1,1))</f>
        <v>217.53602321474159</v>
      </c>
      <c r="EP137" s="59">
        <f t="shared" si="154"/>
        <v>215.75909414893025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8.91414225453995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8.91414225453995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19.8100000000004</v>
      </c>
      <c r="FF137" s="17">
        <f>FE137*VLOOKUP('Données projet'!$B$16,Paramètres!$A$1:$I$89,3,0)*VLOOKUP('Données projet'!$B$16,Paramètres!$A$1:$I$89,5,0)</f>
        <v>13.288548000000269</v>
      </c>
      <c r="FG137" s="13">
        <f t="shared" si="155"/>
        <v>4.531654695205642</v>
      </c>
      <c r="FH137" s="20">
        <f t="shared" si="130"/>
        <v>31.036853027483627</v>
      </c>
      <c r="FI137" s="59">
        <f t="shared" si="131"/>
        <v>315.58419283218791</v>
      </c>
      <c r="FJ137" s="59">
        <f ca="1">AVERAGE(OFFSET($FI$3,0,0,'Données projet'!$E$16+1,1))-AVERAGE(OFFSET($H$3,0,0,'Données projet'!$E$16+1,1))</f>
        <v>441.20130048888439</v>
      </c>
      <c r="FK137" s="59">
        <f t="shared" si="156"/>
        <v>237.47732532183946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238.59150003592194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238.59150003592194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204.00000000000017</v>
      </c>
      <c r="GA137" s="17">
        <f>FZ137*VLOOKUP('Données projet'!$B$17,Paramètres!$A$1:$I$89,3,0)*VLOOKUP('Données projet'!$B$17,Paramètres!$A$1:$I$89,5,0)</f>
        <v>133.66080000000011</v>
      </c>
      <c r="GB137" s="13">
        <f t="shared" si="157"/>
        <v>34.840890682716783</v>
      </c>
      <c r="GC137" s="20">
        <f t="shared" si="133"/>
        <v>293.4737779390652</v>
      </c>
      <c r="GD137" s="59">
        <f t="shared" si="134"/>
        <v>578.02111774376954</v>
      </c>
      <c r="GE137" s="59">
        <f ca="1">AVERAGE(OFFSET($GD$3,0,0,'Données projet'!$E$17+1,1))-AVERAGE(OFFSET($H$3,0,0,'Données projet'!$E$17+1,1))</f>
        <v>257.66104339896992</v>
      </c>
      <c r="GF137" s="59">
        <f t="shared" si="158"/>
        <v>254.79488636184996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16.489218570893744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16.489218570893744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234.00000000000003</v>
      </c>
      <c r="GV137" s="17">
        <f>GU137*VLOOKUP('Données projet'!$B$18,Paramètres!$A$1:$I$89,3,0)*VLOOKUP('Données projet'!$B$18,Paramètres!$A$1:$I$89,5,0)</f>
        <v>189.82080000000005</v>
      </c>
      <c r="GW137" s="13">
        <f t="shared" si="159"/>
        <v>47.500332100049796</v>
      </c>
      <c r="GX137" s="20">
        <f t="shared" si="136"/>
        <v>413.33430507425345</v>
      </c>
      <c r="GY137" s="59">
        <f t="shared" si="137"/>
        <v>697.88164487895779</v>
      </c>
      <c r="GZ137" s="59">
        <f ca="1">AVERAGE(OFFSET($GY$3,0,0,'Données projet'!$E$18+1,1))-AVERAGE(OFFSET($H$3,0,0,'Données projet'!$E$18+1,1))</f>
        <v>299.98377156721153</v>
      </c>
      <c r="HA137" s="59">
        <f t="shared" si="160"/>
        <v>241.36164657721102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15.886363441891424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15.886363441891424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19.8100000000004</v>
      </c>
      <c r="O138" s="13">
        <f>N138*VLOOKUP('Données projet'!$B$9,Paramètres!$A$1:$I$89,3,0)*VLOOKUP('Données projet'!$B$9,Paramètres!$A$1:$I$89,5,0)</f>
        <v>17.924088000000364</v>
      </c>
      <c r="P138" s="13">
        <f t="shared" si="141"/>
        <v>5.9032212091029486</v>
      </c>
      <c r="Q138" s="20">
        <f t="shared" si="108"/>
        <v>41.499230205854936</v>
      </c>
      <c r="R138" s="59">
        <f t="shared" si="109"/>
        <v>326.19898735574208</v>
      </c>
      <c r="S138" s="59">
        <f ca="1">AVERAGE(OFFSET($R$3,0,0,'Données projet'!$E$9+1,1))-AVERAGE(OFFSET($H$3,0,0,'Données projet'!$E$9+1,1))</f>
        <v>567.42635821507474</v>
      </c>
      <c r="T138" s="59">
        <f t="shared" si="142"/>
        <v>299.04735309930152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255.98011777936702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255.98011777936702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474.99999999999994</v>
      </c>
      <c r="AJ138" s="13">
        <f>AI138*VLOOKUP('Données projet'!$B$10,Paramètres!$A$1:$I$89,3,0)*VLOOKUP('Données projet'!$B$10,Paramètres!$A$1:$I$89,5,0)</f>
        <v>407.55</v>
      </c>
      <c r="AK138" s="13">
        <f t="shared" si="143"/>
        <v>93.305642095357683</v>
      </c>
      <c r="AL138" s="20">
        <f t="shared" si="112"/>
        <v>872.32357664941446</v>
      </c>
      <c r="AM138" s="59">
        <f t="shared" si="113"/>
        <v>1157.0233337993016</v>
      </c>
      <c r="AN138" s="59">
        <f ca="1">AVERAGE(OFFSET($AM$3,0,0,'Données projet'!$E$10+1,1))-AVERAGE(OFFSET($H$3,0,0,'Données projet'!$E$10+1,1))</f>
        <v>569.97793593332699</v>
      </c>
      <c r="AO138" s="59">
        <f t="shared" si="144"/>
        <v>331.25104323342907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90.8103201692185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90.8103201692185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277.99999999999994</v>
      </c>
      <c r="BE138" s="13">
        <f>BD138*VLOOKUP('Données projet'!$B$11,Paramètres!$A$1:$I$89,3,0)*VLOOKUP('Données projet'!$B$11,Paramètres!$A$1:$I$89,5,0)</f>
        <v>151.78799999999998</v>
      </c>
      <c r="BF138" s="13">
        <f t="shared" si="145"/>
        <v>38.984634390835623</v>
      </c>
      <c r="BG138" s="20">
        <f t="shared" si="115"/>
        <v>332.26233823070532</v>
      </c>
      <c r="BH138" s="59">
        <f t="shared" si="116"/>
        <v>616.96209538059247</v>
      </c>
      <c r="BI138" s="59">
        <f ca="1">AVERAGE(OFFSET($BH$3,0,0,'Données projet'!$E$11+1,1))-AVERAGE(OFFSET($H$3,0,0,'Données projet'!$E$11+1,1))</f>
        <v>215.37314197175104</v>
      </c>
      <c r="BJ138" s="59">
        <f t="shared" si="146"/>
        <v>361.17630426655978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4.5882668484135563</v>
      </c>
      <c r="BQ138" s="21">
        <f>EXP(-LN(2)/25)*BQ137+(1-EXP(-LN(2)/25))/(LN(2)/25)*Calculateur!BL138*Calculateur!BN138*VLOOKUP('Données projet'!$B$11,Paramètres!$A$1:$I$89,3,0)*0.475*44/12</f>
        <v>5.2255597576835724</v>
      </c>
      <c r="BR138" s="21">
        <f>EXP(-LN(2)/2)*BR137+(1-EXP(-LN(2)/2))/(LN(2)/2)*BL138*BO138*VLOOKUP('Données projet'!$B$11,Paramètres!$A$1:$I$89,3,0)*0.475*44/12</f>
        <v>3.9810968528632442E-18</v>
      </c>
      <c r="BS138" s="22">
        <f t="shared" si="117"/>
        <v>9.8138266060971286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0.8600000000003547</v>
      </c>
      <c r="BZ138" s="13">
        <f>BY138*VLOOKUP('Données projet'!$B$12,Paramètres!$A$1:$I$89,3,0)*VLOOKUP('Données projet'!$B$12,Paramètres!$A$1:$I$89,5,0)</f>
        <v>0.48074000000019829</v>
      </c>
      <c r="CA138" s="13">
        <f t="shared" si="147"/>
        <v>0.24126147010950588</v>
      </c>
      <c r="CB138" s="20">
        <f t="shared" si="118"/>
        <v>1.2574858937744013</v>
      </c>
      <c r="CC138" s="59">
        <f t="shared" si="119"/>
        <v>285.95724304366155</v>
      </c>
      <c r="CD138" s="59">
        <f ca="1">AVERAGE(OFFSET($CC$3,0,0,'Données projet'!$E$12+1,1))-AVERAGE(OFFSET($H$3,0,0,'Données projet'!$E$12+1,1))</f>
        <v>420.4890915162182</v>
      </c>
      <c r="CE138" s="59">
        <f t="shared" si="148"/>
        <v>553.48432338023565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76.248086604096841</v>
      </c>
      <c r="CL138" s="21">
        <f>EXP(-LN(2)/25)*CL137+(1-EXP(-LN(2)/25))/(LN(2)/25)*Calculateur!CG138*Calculateur!CI138*VLOOKUP('Données projet'!$B$12,Paramètres!$A$1:$I$89,3,0)*0.475*44/12</f>
        <v>2.7515530578675436</v>
      </c>
      <c r="CM138" s="21">
        <f>EXP(-LN(2)/2)*CM137+(1-EXP(-LN(2)/2))/(LN(2)/2)*CG138*CJ138*VLOOKUP('Données projet'!$B$12,Paramètres!$A$1:$I$89,3,0)*0.475*44/12</f>
        <v>1.1617436427068303E-16</v>
      </c>
      <c r="CN138" s="22">
        <f t="shared" si="120"/>
        <v>78.99963966196438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367.99999999999972</v>
      </c>
      <c r="CU138" s="17">
        <f>CT138*VLOOKUP('Données projet'!$B$13,Paramètres!$A$1:$I$89,3,0)*VLOOKUP('Données projet'!$B$13,Paramètres!$A$1:$I$89,5,0)</f>
        <v>269.8175999999998</v>
      </c>
      <c r="CV138" s="13">
        <f t="shared" si="149"/>
        <v>64.810557882019467</v>
      </c>
      <c r="CW138" s="20">
        <f t="shared" si="121"/>
        <v>582.81070831118348</v>
      </c>
      <c r="CX138" s="59">
        <f t="shared" si="122"/>
        <v>867.51046546107068</v>
      </c>
      <c r="CY138" s="59">
        <f ca="1">AVERAGE(OFFSET($CX$3,0,0,'Données projet'!$E$13+1,1))-AVERAGE(OFFSET($H$3,0,0,'Données projet'!$E$13+1,1))</f>
        <v>400.48995908576177</v>
      </c>
      <c r="CZ138" s="59">
        <f t="shared" si="150"/>
        <v>384.86917865380076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15.505445505729579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15.505445505729579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367.99999999999972</v>
      </c>
      <c r="DP138" s="17">
        <f>DO138*VLOOKUP('Données projet'!$B$14,Paramètres!$A$1:$I$89,3,0)*VLOOKUP('Données projet'!$B$14,Paramètres!$A$1:$I$89,5,0)</f>
        <v>292.78079999999977</v>
      </c>
      <c r="DQ138" s="13">
        <f t="shared" si="151"/>
        <v>69.660903052386217</v>
      </c>
      <c r="DR138" s="20">
        <f t="shared" si="124"/>
        <v>631.25263281623893</v>
      </c>
      <c r="DS138" s="59">
        <f t="shared" si="125"/>
        <v>915.95238996612602</v>
      </c>
      <c r="DT138" s="59">
        <f ca="1">AVERAGE(OFFSET($DS$3,0,0,'Données projet'!$E$14+1,1))-AVERAGE(OFFSET($H$3,0,0,'Données projet'!$E$14+1,1))</f>
        <v>429.30603040255431</v>
      </c>
      <c r="DU138" s="59">
        <f t="shared" si="152"/>
        <v>412.18613903804726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20.737862049474035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20.737862049474035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210.25641025641013</v>
      </c>
      <c r="EK138" s="17">
        <f>EJ138*VLOOKUP('Données projet'!$B$15,Paramètres!$A$1:$I$89,3,0)*VLOOKUP('Données projet'!$B$15,Paramètres!$A$1:$I$89,5,0)</f>
        <v>163.99999999999991</v>
      </c>
      <c r="EL138" s="13">
        <f t="shared" si="153"/>
        <v>41.743425908362248</v>
      </c>
      <c r="EM138" s="20">
        <f t="shared" si="127"/>
        <v>358.33646679039742</v>
      </c>
      <c r="EN138" s="59">
        <f t="shared" si="128"/>
        <v>643.03622394028457</v>
      </c>
      <c r="EO138" s="59">
        <f ca="1">AVERAGE(OFFSET($EN$3,0,0,'Données projet'!$E$15+1,1))-AVERAGE(OFFSET($H$3,0,0,'Données projet'!$E$15+1,1))</f>
        <v>217.53602321474159</v>
      </c>
      <c r="EP138" s="59">
        <f t="shared" si="154"/>
        <v>215.75909414893025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8.7393413620183296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8.7393413620183296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19.8100000000004</v>
      </c>
      <c r="FF138" s="17">
        <f>FE138*VLOOKUP('Données projet'!$B$16,Paramètres!$A$1:$I$89,3,0)*VLOOKUP('Données projet'!$B$16,Paramètres!$A$1:$I$89,5,0)</f>
        <v>13.288548000000269</v>
      </c>
      <c r="FG138" s="13">
        <f t="shared" si="155"/>
        <v>4.531654695205642</v>
      </c>
      <c r="FH138" s="20">
        <f t="shared" si="130"/>
        <v>31.036853027483627</v>
      </c>
      <c r="FI138" s="59">
        <f t="shared" si="131"/>
        <v>315.73661017737078</v>
      </c>
      <c r="FJ138" s="59">
        <f ca="1">AVERAGE(OFFSET($FI$3,0,0,'Données projet'!$E$16+1,1))-AVERAGE(OFFSET($H$3,0,0,'Données projet'!$E$16+1,1))</f>
        <v>441.20130048888439</v>
      </c>
      <c r="FK138" s="59">
        <f t="shared" si="156"/>
        <v>237.47732532183946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233.91286624666299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233.91286624666299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204.00000000000017</v>
      </c>
      <c r="GA138" s="17">
        <f>FZ138*VLOOKUP('Données projet'!$B$17,Paramètres!$A$1:$I$89,3,0)*VLOOKUP('Données projet'!$B$17,Paramètres!$A$1:$I$89,5,0)</f>
        <v>133.66080000000011</v>
      </c>
      <c r="GB138" s="13">
        <f t="shared" si="157"/>
        <v>34.840890682716783</v>
      </c>
      <c r="GC138" s="20">
        <f t="shared" si="133"/>
        <v>293.4737779390652</v>
      </c>
      <c r="GD138" s="59">
        <f t="shared" si="134"/>
        <v>578.17353508895235</v>
      </c>
      <c r="GE138" s="59">
        <f ca="1">AVERAGE(OFFSET($GD$3,0,0,'Données projet'!$E$17+1,1))-AVERAGE(OFFSET($H$3,0,0,'Données projet'!$E$17+1,1))</f>
        <v>257.66104339896992</v>
      </c>
      <c r="GF138" s="59">
        <f t="shared" si="158"/>
        <v>254.79488636184996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16.165875052148756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16.165875052148756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234.00000000000003</v>
      </c>
      <c r="GV138" s="17">
        <f>GU138*VLOOKUP('Données projet'!$B$18,Paramètres!$A$1:$I$89,3,0)*VLOOKUP('Données projet'!$B$18,Paramètres!$A$1:$I$89,5,0)</f>
        <v>189.82080000000005</v>
      </c>
      <c r="GW138" s="13">
        <f t="shared" si="159"/>
        <v>47.500332100049796</v>
      </c>
      <c r="GX138" s="20">
        <f t="shared" si="136"/>
        <v>413.33430507425345</v>
      </c>
      <c r="GY138" s="59">
        <f t="shared" si="137"/>
        <v>698.0340622241406</v>
      </c>
      <c r="GZ138" s="59">
        <f ca="1">AVERAGE(OFFSET($GY$3,0,0,'Données projet'!$E$18+1,1))-AVERAGE(OFFSET($H$3,0,0,'Données projet'!$E$18+1,1))</f>
        <v>299.98377156721153</v>
      </c>
      <c r="HA138" s="59">
        <f t="shared" si="160"/>
        <v>241.36164657721102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15.574841544520853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15.574841544520853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19.8100000000004</v>
      </c>
      <c r="O139" s="13">
        <f>N139*VLOOKUP('Données projet'!$B$9,Paramètres!$A$1:$I$89,3,0)*VLOOKUP('Données projet'!$B$9,Paramètres!$A$1:$I$89,5,0)</f>
        <v>17.924088000000364</v>
      </c>
      <c r="P139" s="13">
        <f t="shared" si="141"/>
        <v>5.9032212091029486</v>
      </c>
      <c r="Q139" s="20">
        <f t="shared" si="108"/>
        <v>41.499230205854936</v>
      </c>
      <c r="R139" s="59">
        <f t="shared" si="109"/>
        <v>326.34876060074015</v>
      </c>
      <c r="S139" s="59">
        <f ca="1">AVERAGE(OFFSET($R$3,0,0,'Données projet'!$E$9+1,1))-AVERAGE(OFFSET($H$3,0,0,'Données projet'!$E$9+1,1))</f>
        <v>567.42635821507474</v>
      </c>
      <c r="T139" s="59">
        <f t="shared" si="142"/>
        <v>299.04735309930152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250.96050380216869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250.96050380216869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474.99999999999994</v>
      </c>
      <c r="AJ139" s="13">
        <f>AI139*VLOOKUP('Données projet'!$B$10,Paramètres!$A$1:$I$89,3,0)*VLOOKUP('Données projet'!$B$10,Paramètres!$A$1:$I$89,5,0)</f>
        <v>407.55</v>
      </c>
      <c r="AK139" s="13">
        <f t="shared" si="143"/>
        <v>93.305642095357683</v>
      </c>
      <c r="AL139" s="20">
        <f t="shared" si="112"/>
        <v>872.32357664941446</v>
      </c>
      <c r="AM139" s="59">
        <f t="shared" si="113"/>
        <v>1157.1731070442997</v>
      </c>
      <c r="AN139" s="59">
        <f ca="1">AVERAGE(OFFSET($AM$3,0,0,'Données projet'!$E$10+1,1))-AVERAGE(OFFSET($H$3,0,0,'Données projet'!$E$10+1,1))</f>
        <v>569.97793593332699</v>
      </c>
      <c r="AO139" s="59">
        <f t="shared" si="144"/>
        <v>331.25104323342907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89.029585179526237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89.029585179526237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277.99999999999994</v>
      </c>
      <c r="BE139" s="13">
        <f>BD139*VLOOKUP('Données projet'!$B$11,Paramètres!$A$1:$I$89,3,0)*VLOOKUP('Données projet'!$B$11,Paramètres!$A$1:$I$89,5,0)</f>
        <v>151.78799999999998</v>
      </c>
      <c r="BF139" s="13">
        <f t="shared" si="145"/>
        <v>38.984634390835623</v>
      </c>
      <c r="BG139" s="20">
        <f t="shared" si="115"/>
        <v>332.26233823070532</v>
      </c>
      <c r="BH139" s="59">
        <f t="shared" si="116"/>
        <v>617.11186862559055</v>
      </c>
      <c r="BI139" s="59">
        <f ca="1">AVERAGE(OFFSET($BH$3,0,0,'Données projet'!$E$11+1,1))-AVERAGE(OFFSET($H$3,0,0,'Données projet'!$E$11+1,1))</f>
        <v>215.37314197175104</v>
      </c>
      <c r="BJ139" s="59">
        <f t="shared" si="146"/>
        <v>361.17630426655978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4.4982937340826084</v>
      </c>
      <c r="BQ139" s="21">
        <f>EXP(-LN(2)/25)*BQ138+(1-EXP(-LN(2)/25))/(LN(2)/25)*Calculateur!BL139*Calculateur!BN139*VLOOKUP('Données projet'!$B$11,Paramètres!$A$1:$I$89,3,0)*0.475*44/12</f>
        <v>5.0826665513094706</v>
      </c>
      <c r="BR139" s="21">
        <f>EXP(-LN(2)/2)*BR138+(1-EXP(-LN(2)/2))/(LN(2)/2)*BL139*BO139*VLOOKUP('Données projet'!$B$11,Paramètres!$A$1:$I$89,3,0)*0.475*44/12</f>
        <v>2.8150605812200231E-18</v>
      </c>
      <c r="BS139" s="22">
        <f t="shared" si="117"/>
        <v>9.580960285392079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0.8600000000003547</v>
      </c>
      <c r="BZ139" s="13">
        <f>BY139*VLOOKUP('Données projet'!$B$12,Paramètres!$A$1:$I$89,3,0)*VLOOKUP('Données projet'!$B$12,Paramètres!$A$1:$I$89,5,0)</f>
        <v>0.48074000000019829</v>
      </c>
      <c r="CA139" s="13">
        <f t="shared" si="147"/>
        <v>0.24126147010950588</v>
      </c>
      <c r="CB139" s="20">
        <f t="shared" si="118"/>
        <v>1.2574858937744013</v>
      </c>
      <c r="CC139" s="59">
        <f t="shared" si="119"/>
        <v>286.10701628865962</v>
      </c>
      <c r="CD139" s="59">
        <f ca="1">AVERAGE(OFFSET($CC$3,0,0,'Données projet'!$E$12+1,1))-AVERAGE(OFFSET($H$3,0,0,'Données projet'!$E$12+1,1))</f>
        <v>420.4890915162182</v>
      </c>
      <c r="CE139" s="59">
        <f t="shared" si="148"/>
        <v>553.48432338023565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74.752908132531175</v>
      </c>
      <c r="CL139" s="21">
        <f>EXP(-LN(2)/25)*CL138+(1-EXP(-LN(2)/25))/(LN(2)/25)*Calculateur!CG139*Calculateur!CI139*VLOOKUP('Données projet'!$B$12,Paramètres!$A$1:$I$89,3,0)*0.475*44/12</f>
        <v>2.6763116948022692</v>
      </c>
      <c r="CM139" s="21">
        <f>EXP(-LN(2)/2)*CM138+(1-EXP(-LN(2)/2))/(LN(2)/2)*CG139*CJ139*VLOOKUP('Données projet'!$B$12,Paramètres!$A$1:$I$89,3,0)*0.475*44/12</f>
        <v>8.2147680775836134E-17</v>
      </c>
      <c r="CN139" s="22">
        <f t="shared" si="120"/>
        <v>77.429219827333441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367.99999999999972</v>
      </c>
      <c r="CU139" s="17">
        <f>CT139*VLOOKUP('Données projet'!$B$13,Paramètres!$A$1:$I$89,3,0)*VLOOKUP('Données projet'!$B$13,Paramètres!$A$1:$I$89,5,0)</f>
        <v>269.8175999999998</v>
      </c>
      <c r="CV139" s="13">
        <f t="shared" si="149"/>
        <v>64.810557882019467</v>
      </c>
      <c r="CW139" s="20">
        <f t="shared" si="121"/>
        <v>582.81070831118348</v>
      </c>
      <c r="CX139" s="59">
        <f t="shared" si="122"/>
        <v>867.66023870606864</v>
      </c>
      <c r="CY139" s="59">
        <f ca="1">AVERAGE(OFFSET($CX$3,0,0,'Données projet'!$E$13+1,1))-AVERAGE(OFFSET($H$3,0,0,'Données projet'!$E$13+1,1))</f>
        <v>400.48995908576177</v>
      </c>
      <c r="CZ139" s="59">
        <f t="shared" si="150"/>
        <v>384.86917865380076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15.201393176750141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15.201393176750141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367.99999999999972</v>
      </c>
      <c r="DP139" s="17">
        <f>DO139*VLOOKUP('Données projet'!$B$14,Paramètres!$A$1:$I$89,3,0)*VLOOKUP('Données projet'!$B$14,Paramètres!$A$1:$I$89,5,0)</f>
        <v>292.78079999999977</v>
      </c>
      <c r="DQ139" s="13">
        <f t="shared" si="151"/>
        <v>69.660903052386217</v>
      </c>
      <c r="DR139" s="20">
        <f t="shared" si="124"/>
        <v>631.25263281623893</v>
      </c>
      <c r="DS139" s="59">
        <f t="shared" si="125"/>
        <v>916.10216321112421</v>
      </c>
      <c r="DT139" s="59">
        <f ca="1">AVERAGE(OFFSET($DS$3,0,0,'Données projet'!$E$14+1,1))-AVERAGE(OFFSET($H$3,0,0,'Données projet'!$E$14+1,1))</f>
        <v>429.30603040255431</v>
      </c>
      <c r="DU139" s="59">
        <f t="shared" si="152"/>
        <v>412.18613903804726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20.331205223530731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20.331205223530731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210.25641025641013</v>
      </c>
      <c r="EK139" s="17">
        <f>EJ139*VLOOKUP('Données projet'!$B$15,Paramètres!$A$1:$I$89,3,0)*VLOOKUP('Données projet'!$B$15,Paramètres!$A$1:$I$89,5,0)</f>
        <v>163.99999999999991</v>
      </c>
      <c r="EL139" s="13">
        <f t="shared" si="153"/>
        <v>41.743425908362248</v>
      </c>
      <c r="EM139" s="20">
        <f t="shared" si="127"/>
        <v>358.33646679039742</v>
      </c>
      <c r="EN139" s="59">
        <f t="shared" si="128"/>
        <v>643.18599718528264</v>
      </c>
      <c r="EO139" s="59">
        <f ca="1">AVERAGE(OFFSET($EN$3,0,0,'Données projet'!$E$15+1,1))-AVERAGE(OFFSET($H$3,0,0,'Données projet'!$E$15+1,1))</f>
        <v>217.53602321474159</v>
      </c>
      <c r="EP139" s="59">
        <f t="shared" si="154"/>
        <v>215.75909414893025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8.5679682083810409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8.5679682083810409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19.8100000000004</v>
      </c>
      <c r="FF139" s="17">
        <f>FE139*VLOOKUP('Données projet'!$B$16,Paramètres!$A$1:$I$89,3,0)*VLOOKUP('Données projet'!$B$16,Paramètres!$A$1:$I$89,5,0)</f>
        <v>13.288548000000269</v>
      </c>
      <c r="FG139" s="13">
        <f t="shared" si="155"/>
        <v>4.531654695205642</v>
      </c>
      <c r="FH139" s="20">
        <f t="shared" si="130"/>
        <v>31.036853027483627</v>
      </c>
      <c r="FI139" s="59">
        <f t="shared" si="131"/>
        <v>315.88638342236885</v>
      </c>
      <c r="FJ139" s="59">
        <f ca="1">AVERAGE(OFFSET($FI$3,0,0,'Données projet'!$E$16+1,1))-AVERAGE(OFFSET($H$3,0,0,'Données projet'!$E$16+1,1))</f>
        <v>441.20130048888439</v>
      </c>
      <c r="FK139" s="59">
        <f t="shared" si="156"/>
        <v>237.47732532183946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229.32597761232657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229.32597761232657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204.00000000000017</v>
      </c>
      <c r="GA139" s="17">
        <f>FZ139*VLOOKUP('Données projet'!$B$17,Paramètres!$A$1:$I$89,3,0)*VLOOKUP('Données projet'!$B$17,Paramètres!$A$1:$I$89,5,0)</f>
        <v>133.66080000000011</v>
      </c>
      <c r="GB139" s="13">
        <f t="shared" si="157"/>
        <v>34.840890682716783</v>
      </c>
      <c r="GC139" s="20">
        <f t="shared" si="133"/>
        <v>293.4737779390652</v>
      </c>
      <c r="GD139" s="59">
        <f t="shared" si="134"/>
        <v>578.32330833395042</v>
      </c>
      <c r="GE139" s="59">
        <f ca="1">AVERAGE(OFFSET($GD$3,0,0,'Données projet'!$E$17+1,1))-AVERAGE(OFFSET($H$3,0,0,'Données projet'!$E$17+1,1))</f>
        <v>257.66104339896992</v>
      </c>
      <c r="GF139" s="59">
        <f t="shared" si="158"/>
        <v>254.79488636184996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15.848872102586286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15.848872102586286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234.00000000000003</v>
      </c>
      <c r="GV139" s="17">
        <f>GU139*VLOOKUP('Données projet'!$B$18,Paramètres!$A$1:$I$89,3,0)*VLOOKUP('Données projet'!$B$18,Paramètres!$A$1:$I$89,5,0)</f>
        <v>189.82080000000005</v>
      </c>
      <c r="GW139" s="13">
        <f t="shared" si="159"/>
        <v>47.500332100049796</v>
      </c>
      <c r="GX139" s="20">
        <f t="shared" si="136"/>
        <v>413.33430507425345</v>
      </c>
      <c r="GY139" s="59">
        <f t="shared" si="137"/>
        <v>698.18383546913867</v>
      </c>
      <c r="GZ139" s="59">
        <f ca="1">AVERAGE(OFFSET($GY$3,0,0,'Données projet'!$E$18+1,1))-AVERAGE(OFFSET($H$3,0,0,'Données projet'!$E$18+1,1))</f>
        <v>299.98377156721153</v>
      </c>
      <c r="HA139" s="59">
        <f t="shared" si="160"/>
        <v>241.36164657721102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15.269428401548122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15.269428401548122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19.8100000000004</v>
      </c>
      <c r="O140" s="13">
        <f>N140*VLOOKUP('Données projet'!$B$9,Paramètres!$A$1:$I$89,3,0)*VLOOKUP('Données projet'!$B$9,Paramètres!$A$1:$I$89,5,0)</f>
        <v>17.924088000000364</v>
      </c>
      <c r="P140" s="13">
        <f t="shared" si="141"/>
        <v>5.9032212091029486</v>
      </c>
      <c r="Q140" s="20">
        <f t="shared" si="108"/>
        <v>41.499230205854936</v>
      </c>
      <c r="R140" s="59">
        <f t="shared" si="109"/>
        <v>326.49593561478031</v>
      </c>
      <c r="S140" s="59">
        <f ca="1">AVERAGE(OFFSET($R$3,0,0,'Données projet'!$E$9+1,1))-AVERAGE(OFFSET($H$3,0,0,'Données projet'!$E$9+1,1))</f>
        <v>567.42635821507474</v>
      </c>
      <c r="T140" s="59">
        <f t="shared" si="142"/>
        <v>299.04735309930152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246.039321393401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246.039321393401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474.99999999999994</v>
      </c>
      <c r="AJ140" s="13">
        <f>AI140*VLOOKUP('Données projet'!$B$10,Paramètres!$A$1:$I$89,3,0)*VLOOKUP('Données projet'!$B$10,Paramètres!$A$1:$I$89,5,0)</f>
        <v>407.55</v>
      </c>
      <c r="AK140" s="13">
        <f t="shared" si="143"/>
        <v>93.305642095357683</v>
      </c>
      <c r="AL140" s="20">
        <f t="shared" si="112"/>
        <v>872.32357664941446</v>
      </c>
      <c r="AM140" s="59">
        <f t="shared" si="113"/>
        <v>1157.3202820583399</v>
      </c>
      <c r="AN140" s="59">
        <f ca="1">AVERAGE(OFFSET($AM$3,0,0,'Données projet'!$E$10+1,1))-AVERAGE(OFFSET($H$3,0,0,'Données projet'!$E$10+1,1))</f>
        <v>569.97793593332699</v>
      </c>
      <c r="AO140" s="59">
        <f t="shared" si="144"/>
        <v>331.25104323342907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87.283769316840747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87.283769316840747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277.99999999999994</v>
      </c>
      <c r="BE140" s="13">
        <f>BD140*VLOOKUP('Données projet'!$B$11,Paramètres!$A$1:$I$89,3,0)*VLOOKUP('Données projet'!$B$11,Paramètres!$A$1:$I$89,5,0)</f>
        <v>151.78799999999998</v>
      </c>
      <c r="BF140" s="13">
        <f t="shared" si="145"/>
        <v>38.984634390835623</v>
      </c>
      <c r="BG140" s="20">
        <f t="shared" si="115"/>
        <v>332.26233823070532</v>
      </c>
      <c r="BH140" s="59">
        <f t="shared" si="116"/>
        <v>617.2590436396307</v>
      </c>
      <c r="BI140" s="59">
        <f ca="1">AVERAGE(OFFSET($BH$3,0,0,'Données projet'!$E$11+1,1))-AVERAGE(OFFSET($H$3,0,0,'Données projet'!$E$11+1,1))</f>
        <v>215.37314197175104</v>
      </c>
      <c r="BJ140" s="59">
        <f t="shared" si="146"/>
        <v>361.17630426655978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4.4100849376455091</v>
      </c>
      <c r="BQ140" s="21">
        <f>EXP(-LN(2)/25)*BQ139+(1-EXP(-LN(2)/25))/(LN(2)/25)*Calculateur!BL140*Calculateur!BN140*VLOOKUP('Données projet'!$B$11,Paramètres!$A$1:$I$89,3,0)*0.475*44/12</f>
        <v>4.9436807671780958</v>
      </c>
      <c r="BR140" s="21">
        <f>EXP(-LN(2)/2)*BR139+(1-EXP(-LN(2)/2))/(LN(2)/2)*BL140*BO140*VLOOKUP('Données projet'!$B$11,Paramètres!$A$1:$I$89,3,0)*0.475*44/12</f>
        <v>1.9905484264316221E-18</v>
      </c>
      <c r="BS140" s="22">
        <f t="shared" si="117"/>
        <v>9.3537657048236049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0.8600000000003547</v>
      </c>
      <c r="BZ140" s="13">
        <f>BY140*VLOOKUP('Données projet'!$B$12,Paramètres!$A$1:$I$89,3,0)*VLOOKUP('Données projet'!$B$12,Paramètres!$A$1:$I$89,5,0)</f>
        <v>0.48074000000019829</v>
      </c>
      <c r="CA140" s="13">
        <f t="shared" si="147"/>
        <v>0.24126147010950588</v>
      </c>
      <c r="CB140" s="20">
        <f t="shared" si="118"/>
        <v>1.2574858937744013</v>
      </c>
      <c r="CC140" s="59">
        <f t="shared" si="119"/>
        <v>286.25419130269978</v>
      </c>
      <c r="CD140" s="59">
        <f ca="1">AVERAGE(OFFSET($CC$3,0,0,'Données projet'!$E$12+1,1))-AVERAGE(OFFSET($H$3,0,0,'Données projet'!$E$12+1,1))</f>
        <v>420.4890915162182</v>
      </c>
      <c r="CE140" s="59">
        <f t="shared" si="148"/>
        <v>553.48432338023565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73.287049198824093</v>
      </c>
      <c r="CL140" s="21">
        <f>EXP(-LN(2)/25)*CL139+(1-EXP(-LN(2)/25))/(LN(2)/25)*Calculateur!CG140*Calculateur!CI140*VLOOKUP('Données projet'!$B$12,Paramètres!$A$1:$I$89,3,0)*0.475*44/12</f>
        <v>2.6031278107667859</v>
      </c>
      <c r="CM140" s="21">
        <f>EXP(-LN(2)/2)*CM139+(1-EXP(-LN(2)/2))/(LN(2)/2)*CG140*CJ140*VLOOKUP('Données projet'!$B$12,Paramètres!$A$1:$I$89,3,0)*0.475*44/12</f>
        <v>5.8087182135341516E-17</v>
      </c>
      <c r="CN140" s="22">
        <f t="shared" si="120"/>
        <v>75.890177009590872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367.99999999999972</v>
      </c>
      <c r="CU140" s="17">
        <f>CT140*VLOOKUP('Données projet'!$B$13,Paramètres!$A$1:$I$89,3,0)*VLOOKUP('Données projet'!$B$13,Paramètres!$A$1:$I$89,5,0)</f>
        <v>269.8175999999998</v>
      </c>
      <c r="CV140" s="13">
        <f t="shared" si="149"/>
        <v>64.810557882019467</v>
      </c>
      <c r="CW140" s="20">
        <f t="shared" si="121"/>
        <v>582.81070831118348</v>
      </c>
      <c r="CX140" s="59">
        <f t="shared" si="122"/>
        <v>867.8074137201088</v>
      </c>
      <c r="CY140" s="59">
        <f ca="1">AVERAGE(OFFSET($CX$3,0,0,'Données projet'!$E$13+1,1))-AVERAGE(OFFSET($H$3,0,0,'Données projet'!$E$13+1,1))</f>
        <v>400.48995908576177</v>
      </c>
      <c r="CZ140" s="59">
        <f t="shared" si="150"/>
        <v>384.86917865380076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14.903303128488382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14.903303128488382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367.99999999999972</v>
      </c>
      <c r="DP140" s="17">
        <f>DO140*VLOOKUP('Données projet'!$B$14,Paramètres!$A$1:$I$89,3,0)*VLOOKUP('Données projet'!$B$14,Paramètres!$A$1:$I$89,5,0)</f>
        <v>292.78079999999977</v>
      </c>
      <c r="DQ140" s="13">
        <f t="shared" si="151"/>
        <v>69.660903052386217</v>
      </c>
      <c r="DR140" s="20">
        <f t="shared" si="124"/>
        <v>631.25263281623893</v>
      </c>
      <c r="DS140" s="59">
        <f t="shared" si="125"/>
        <v>916.24933822516437</v>
      </c>
      <c r="DT140" s="59">
        <f ca="1">AVERAGE(OFFSET($DS$3,0,0,'Données projet'!$E$14+1,1))-AVERAGE(OFFSET($H$3,0,0,'Données projet'!$E$14+1,1))</f>
        <v>429.30603040255431</v>
      </c>
      <c r="DU140" s="59">
        <f t="shared" si="152"/>
        <v>412.18613903804726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19.932522689908001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19.932522689908001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210.25641025641013</v>
      </c>
      <c r="EK140" s="17">
        <f>EJ140*VLOOKUP('Données projet'!$B$15,Paramètres!$A$1:$I$89,3,0)*VLOOKUP('Données projet'!$B$15,Paramètres!$A$1:$I$89,5,0)</f>
        <v>163.99999999999991</v>
      </c>
      <c r="EL140" s="13">
        <f t="shared" si="153"/>
        <v>41.743425908362248</v>
      </c>
      <c r="EM140" s="20">
        <f t="shared" si="127"/>
        <v>358.33646679039742</v>
      </c>
      <c r="EN140" s="59">
        <f t="shared" si="128"/>
        <v>643.3331721993228</v>
      </c>
      <c r="EO140" s="59">
        <f ca="1">AVERAGE(OFFSET($EN$3,0,0,'Données projet'!$E$15+1,1))-AVERAGE(OFFSET($H$3,0,0,'Données projet'!$E$15+1,1))</f>
        <v>217.53602321474159</v>
      </c>
      <c r="EP140" s="59">
        <f t="shared" si="154"/>
        <v>215.75909414893025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8.3999555777592771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8.3999555777592771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19.8100000000004</v>
      </c>
      <c r="FF140" s="17">
        <f>FE140*VLOOKUP('Données projet'!$B$16,Paramètres!$A$1:$I$89,3,0)*VLOOKUP('Données projet'!$B$16,Paramètres!$A$1:$I$89,5,0)</f>
        <v>13.288548000000269</v>
      </c>
      <c r="FG140" s="13">
        <f t="shared" si="155"/>
        <v>4.531654695205642</v>
      </c>
      <c r="FH140" s="20">
        <f t="shared" si="130"/>
        <v>31.036853027483627</v>
      </c>
      <c r="FI140" s="59">
        <f t="shared" si="131"/>
        <v>316.03355843640901</v>
      </c>
      <c r="FJ140" s="59">
        <f ca="1">AVERAGE(OFFSET($FI$3,0,0,'Données projet'!$E$16+1,1))-AVERAGE(OFFSET($H$3,0,0,'Données projet'!$E$16+1,1))</f>
        <v>441.20130048888439</v>
      </c>
      <c r="FK140" s="59">
        <f t="shared" si="156"/>
        <v>237.47732532183946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224.82903506638368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224.82903506638368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204.00000000000017</v>
      </c>
      <c r="GA140" s="17">
        <f>FZ140*VLOOKUP('Données projet'!$B$17,Paramètres!$A$1:$I$89,3,0)*VLOOKUP('Données projet'!$B$17,Paramètres!$A$1:$I$89,5,0)</f>
        <v>133.66080000000011</v>
      </c>
      <c r="GB140" s="13">
        <f t="shared" si="157"/>
        <v>34.840890682716783</v>
      </c>
      <c r="GC140" s="20">
        <f t="shared" si="133"/>
        <v>293.4737779390652</v>
      </c>
      <c r="GD140" s="59">
        <f t="shared" si="134"/>
        <v>578.47048334799058</v>
      </c>
      <c r="GE140" s="59">
        <f ca="1">AVERAGE(OFFSET($GD$3,0,0,'Données projet'!$E$17+1,1))-AVERAGE(OFFSET($H$3,0,0,'Données projet'!$E$17+1,1))</f>
        <v>257.66104339896992</v>
      </c>
      <c r="GF140" s="59">
        <f t="shared" si="158"/>
        <v>254.79488636184996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15.538085387512028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15.538085387512028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234.00000000000003</v>
      </c>
      <c r="GV140" s="17">
        <f>GU140*VLOOKUP('Données projet'!$B$18,Paramètres!$A$1:$I$89,3,0)*VLOOKUP('Données projet'!$B$18,Paramètres!$A$1:$I$89,5,0)</f>
        <v>189.82080000000005</v>
      </c>
      <c r="GW140" s="13">
        <f t="shared" si="159"/>
        <v>47.500332100049796</v>
      </c>
      <c r="GX140" s="20">
        <f t="shared" si="136"/>
        <v>413.33430507425345</v>
      </c>
      <c r="GY140" s="59">
        <f t="shared" si="137"/>
        <v>698.33101048317883</v>
      </c>
      <c r="GZ140" s="59">
        <f ca="1">AVERAGE(OFFSET($GY$3,0,0,'Données projet'!$E$18+1,1))-AVERAGE(OFFSET($H$3,0,0,'Données projet'!$E$18+1,1))</f>
        <v>299.98377156721153</v>
      </c>
      <c r="HA140" s="59">
        <f t="shared" si="160"/>
        <v>241.36164657721102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14.970004224025464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14.970004224025464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19.8100000000004</v>
      </c>
      <c r="O141" s="13">
        <f>N141*VLOOKUP('Données projet'!$B$9,Paramètres!$A$1:$I$89,3,0)*VLOOKUP('Données projet'!$B$9,Paramètres!$A$1:$I$89,5,0)</f>
        <v>17.924088000000364</v>
      </c>
      <c r="P141" s="13">
        <f t="shared" si="141"/>
        <v>5.9032212091029486</v>
      </c>
      <c r="Q141" s="20">
        <f t="shared" si="108"/>
        <v>41.499230205854936</v>
      </c>
      <c r="R141" s="59">
        <f t="shared" si="109"/>
        <v>326.64055747136086</v>
      </c>
      <c r="S141" s="59">
        <f ca="1">AVERAGE(OFFSET($R$3,0,0,'Données projet'!$E$9+1,1))-AVERAGE(OFFSET($H$3,0,0,'Données projet'!$E$9+1,1))</f>
        <v>567.42635821507474</v>
      </c>
      <c r="T141" s="59">
        <f t="shared" si="142"/>
        <v>299.04735309930152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241.21464037004435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241.21464037004435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474.99999999999994</v>
      </c>
      <c r="AJ141" s="13">
        <f>AI141*VLOOKUP('Données projet'!$B$10,Paramètres!$A$1:$I$89,3,0)*VLOOKUP('Données projet'!$B$10,Paramètres!$A$1:$I$89,5,0)</f>
        <v>407.55</v>
      </c>
      <c r="AK141" s="13">
        <f t="shared" si="143"/>
        <v>93.305642095357683</v>
      </c>
      <c r="AL141" s="20">
        <f t="shared" si="112"/>
        <v>872.32357664941446</v>
      </c>
      <c r="AM141" s="59">
        <f t="shared" si="113"/>
        <v>1157.4649039149203</v>
      </c>
      <c r="AN141" s="59">
        <f ca="1">AVERAGE(OFFSET($AM$3,0,0,'Données projet'!$E$10+1,1))-AVERAGE(OFFSET($H$3,0,0,'Données projet'!$E$10+1,1))</f>
        <v>569.97793593332699</v>
      </c>
      <c r="AO141" s="59">
        <f t="shared" si="144"/>
        <v>331.25104323342907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85.572187838379989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85.572187838379989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277.99999999999994</v>
      </c>
      <c r="BE141" s="13">
        <f>BD141*VLOOKUP('Données projet'!$B$11,Paramètres!$A$1:$I$89,3,0)*VLOOKUP('Données projet'!$B$11,Paramètres!$A$1:$I$89,5,0)</f>
        <v>151.78799999999998</v>
      </c>
      <c r="BF141" s="13">
        <f t="shared" si="145"/>
        <v>38.984634390835623</v>
      </c>
      <c r="BG141" s="20">
        <f t="shared" si="115"/>
        <v>332.26233823070532</v>
      </c>
      <c r="BH141" s="59">
        <f t="shared" si="116"/>
        <v>617.40366549621126</v>
      </c>
      <c r="BI141" s="59">
        <f ca="1">AVERAGE(OFFSET($BH$3,0,0,'Données projet'!$E$11+1,1))-AVERAGE(OFFSET($H$3,0,0,'Données projet'!$E$11+1,1))</f>
        <v>215.37314197175104</v>
      </c>
      <c r="BJ141" s="59">
        <f t="shared" si="146"/>
        <v>361.17630426655978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4.3236058619044888</v>
      </c>
      <c r="BQ141" s="21">
        <f>EXP(-LN(2)/25)*BQ140+(1-EXP(-LN(2)/25))/(LN(2)/25)*Calculateur!BL141*Calculateur!BN141*VLOOKUP('Données projet'!$B$11,Paramètres!$A$1:$I$89,3,0)*0.475*44/12</f>
        <v>4.8084955566227379</v>
      </c>
      <c r="BR141" s="21">
        <f>EXP(-LN(2)/2)*BR140+(1-EXP(-LN(2)/2))/(LN(2)/2)*BL141*BO141*VLOOKUP('Données projet'!$B$11,Paramètres!$A$1:$I$89,3,0)*0.475*44/12</f>
        <v>1.4075302906100116E-18</v>
      </c>
      <c r="BS141" s="22">
        <f t="shared" si="117"/>
        <v>9.1321014185272276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0.8600000000003547</v>
      </c>
      <c r="BZ141" s="13">
        <f>BY141*VLOOKUP('Données projet'!$B$12,Paramètres!$A$1:$I$89,3,0)*VLOOKUP('Données projet'!$B$12,Paramètres!$A$1:$I$89,5,0)</f>
        <v>0.48074000000019829</v>
      </c>
      <c r="CA141" s="13">
        <f t="shared" si="147"/>
        <v>0.24126147010950588</v>
      </c>
      <c r="CB141" s="20">
        <f t="shared" si="118"/>
        <v>1.2574858937744013</v>
      </c>
      <c r="CC141" s="59">
        <f t="shared" si="119"/>
        <v>286.39881315928034</v>
      </c>
      <c r="CD141" s="59">
        <f ca="1">AVERAGE(OFFSET($CC$3,0,0,'Données projet'!$E$12+1,1))-AVERAGE(OFFSET($H$3,0,0,'Données projet'!$E$12+1,1))</f>
        <v>420.4890915162182</v>
      </c>
      <c r="CE141" s="59">
        <f t="shared" si="148"/>
        <v>553.48432338023565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71.849934864721334</v>
      </c>
      <c r="CL141" s="21">
        <f>EXP(-LN(2)/25)*CL140+(1-EXP(-LN(2)/25))/(LN(2)/25)*Calculateur!CG141*Calculateur!CI141*VLOOKUP('Données projet'!$B$12,Paramètres!$A$1:$I$89,3,0)*0.475*44/12</f>
        <v>2.5319451438888261</v>
      </c>
      <c r="CM141" s="21">
        <f>EXP(-LN(2)/2)*CM140+(1-EXP(-LN(2)/2))/(LN(2)/2)*CG141*CJ141*VLOOKUP('Données projet'!$B$12,Paramètres!$A$1:$I$89,3,0)*0.475*44/12</f>
        <v>4.1073840387918067E-17</v>
      </c>
      <c r="CN141" s="22">
        <f t="shared" si="120"/>
        <v>74.381880008610153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367.99999999999972</v>
      </c>
      <c r="CU141" s="17">
        <f>CT141*VLOOKUP('Données projet'!$B$13,Paramètres!$A$1:$I$89,3,0)*VLOOKUP('Données projet'!$B$13,Paramètres!$A$1:$I$89,5,0)</f>
        <v>269.8175999999998</v>
      </c>
      <c r="CV141" s="13">
        <f t="shared" si="149"/>
        <v>64.810557882019467</v>
      </c>
      <c r="CW141" s="20">
        <f t="shared" si="121"/>
        <v>582.81070831118348</v>
      </c>
      <c r="CX141" s="59">
        <f t="shared" si="122"/>
        <v>867.95203557668947</v>
      </c>
      <c r="CY141" s="59">
        <f ca="1">AVERAGE(OFFSET($CX$3,0,0,'Données projet'!$E$13+1,1))-AVERAGE(OFFSET($H$3,0,0,'Données projet'!$E$13+1,1))</f>
        <v>400.48995908576177</v>
      </c>
      <c r="CZ141" s="59">
        <f t="shared" si="150"/>
        <v>384.86917865380076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14.611058444256059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14.611058444256059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367.99999999999972</v>
      </c>
      <c r="DP141" s="17">
        <f>DO141*VLOOKUP('Données projet'!$B$14,Paramètres!$A$1:$I$89,3,0)*VLOOKUP('Données projet'!$B$14,Paramètres!$A$1:$I$89,5,0)</f>
        <v>292.78079999999977</v>
      </c>
      <c r="DQ141" s="13">
        <f t="shared" si="151"/>
        <v>69.660903052386217</v>
      </c>
      <c r="DR141" s="20">
        <f t="shared" si="124"/>
        <v>631.25263281623893</v>
      </c>
      <c r="DS141" s="59">
        <f t="shared" si="125"/>
        <v>916.39396008174481</v>
      </c>
      <c r="DT141" s="59">
        <f ca="1">AVERAGE(OFFSET($DS$3,0,0,'Données projet'!$E$14+1,1))-AVERAGE(OFFSET($H$3,0,0,'Données projet'!$E$14+1,1))</f>
        <v>429.30603040255431</v>
      </c>
      <c r="DU141" s="59">
        <f t="shared" si="152"/>
        <v>412.18613903804726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19.54165807759728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19.54165807759728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210.25641025641013</v>
      </c>
      <c r="EK141" s="17">
        <f>EJ141*VLOOKUP('Données projet'!$B$15,Paramètres!$A$1:$I$89,3,0)*VLOOKUP('Données projet'!$B$15,Paramètres!$A$1:$I$89,5,0)</f>
        <v>163.99999999999991</v>
      </c>
      <c r="EL141" s="13">
        <f t="shared" si="153"/>
        <v>41.743425908362248</v>
      </c>
      <c r="EM141" s="20">
        <f t="shared" si="127"/>
        <v>358.33646679039742</v>
      </c>
      <c r="EN141" s="59">
        <f t="shared" si="128"/>
        <v>643.47779405590336</v>
      </c>
      <c r="EO141" s="59">
        <f ca="1">AVERAGE(OFFSET($EN$3,0,0,'Données projet'!$E$15+1,1))-AVERAGE(OFFSET($H$3,0,0,'Données projet'!$E$15+1,1))</f>
        <v>217.53602321474159</v>
      </c>
      <c r="EP141" s="59">
        <f t="shared" si="154"/>
        <v>215.75909414893025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8.2352375723464206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8.2352375723464206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19.8100000000004</v>
      </c>
      <c r="FF141" s="17">
        <f>FE141*VLOOKUP('Données projet'!$B$16,Paramètres!$A$1:$I$89,3,0)*VLOOKUP('Données projet'!$B$16,Paramètres!$A$1:$I$89,5,0)</f>
        <v>13.288548000000269</v>
      </c>
      <c r="FG141" s="13">
        <f t="shared" si="155"/>
        <v>4.531654695205642</v>
      </c>
      <c r="FH141" s="20">
        <f t="shared" si="130"/>
        <v>31.036853027483627</v>
      </c>
      <c r="FI141" s="59">
        <f t="shared" si="131"/>
        <v>316.17818029298957</v>
      </c>
      <c r="FJ141" s="59">
        <f ca="1">AVERAGE(OFFSET($FI$3,0,0,'Données projet'!$E$16+1,1))-AVERAGE(OFFSET($H$3,0,0,'Données projet'!$E$16+1,1))</f>
        <v>441.20130048888439</v>
      </c>
      <c r="FK141" s="59">
        <f t="shared" si="156"/>
        <v>237.47732532183946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220.42027482090262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220.42027482090262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204.00000000000017</v>
      </c>
      <c r="GA141" s="17">
        <f>FZ141*VLOOKUP('Données projet'!$B$17,Paramètres!$A$1:$I$89,3,0)*VLOOKUP('Données projet'!$B$17,Paramètres!$A$1:$I$89,5,0)</f>
        <v>133.66080000000011</v>
      </c>
      <c r="GB141" s="13">
        <f t="shared" si="157"/>
        <v>34.840890682716783</v>
      </c>
      <c r="GC141" s="20">
        <f t="shared" si="133"/>
        <v>293.4737779390652</v>
      </c>
      <c r="GD141" s="59">
        <f t="shared" si="134"/>
        <v>578.61510520457114</v>
      </c>
      <c r="GE141" s="59">
        <f ca="1">AVERAGE(OFFSET($GD$3,0,0,'Données projet'!$E$17+1,1))-AVERAGE(OFFSET($H$3,0,0,'Données projet'!$E$17+1,1))</f>
        <v>257.66104339896992</v>
      </c>
      <c r="GF141" s="59">
        <f t="shared" si="158"/>
        <v>254.79488636184996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15.233393010359199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15.233393010359199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234.00000000000003</v>
      </c>
      <c r="GV141" s="17">
        <f>GU141*VLOOKUP('Données projet'!$B$18,Paramètres!$A$1:$I$89,3,0)*VLOOKUP('Données projet'!$B$18,Paramètres!$A$1:$I$89,5,0)</f>
        <v>189.82080000000005</v>
      </c>
      <c r="GW141" s="13">
        <f t="shared" si="159"/>
        <v>47.500332100049796</v>
      </c>
      <c r="GX141" s="20">
        <f t="shared" si="136"/>
        <v>413.33430507425345</v>
      </c>
      <c r="GY141" s="59">
        <f t="shared" si="137"/>
        <v>698.47563233975939</v>
      </c>
      <c r="GZ141" s="59">
        <f ca="1">AVERAGE(OFFSET($GY$3,0,0,'Données projet'!$E$18+1,1))-AVERAGE(OFFSET($H$3,0,0,'Données projet'!$E$18+1,1))</f>
        <v>299.98377156721153</v>
      </c>
      <c r="HA141" s="59">
        <f t="shared" si="160"/>
        <v>241.36164657721102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14.67645157199331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14.67645157199331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19.8100000000004</v>
      </c>
      <c r="O142" s="13">
        <f>N142*VLOOKUP('Données projet'!$B$9,Paramètres!$A$1:$I$89,3,0)*VLOOKUP('Données projet'!$B$9,Paramètres!$A$1:$I$89,5,0)</f>
        <v>17.924088000000364</v>
      </c>
      <c r="P142" s="13">
        <f t="shared" si="141"/>
        <v>5.9032212091029486</v>
      </c>
      <c r="Q142" s="20">
        <f t="shared" si="108"/>
        <v>41.499230205854936</v>
      </c>
      <c r="R142" s="59">
        <f t="shared" si="109"/>
        <v>326.78267046205582</v>
      </c>
      <c r="S142" s="59">
        <f ca="1">AVERAGE(OFFSET($R$3,0,0,'Données projet'!$E$9+1,1))-AVERAGE(OFFSET($H$3,0,0,'Données projet'!$E$9+1,1))</f>
        <v>567.42635821507474</v>
      </c>
      <c r="T142" s="59">
        <f t="shared" si="142"/>
        <v>299.04735309930152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236.48456839879088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236.48456839879088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474.99999999999994</v>
      </c>
      <c r="AJ142" s="13">
        <f>AI142*VLOOKUP('Données projet'!$B$10,Paramètres!$A$1:$I$89,3,0)*VLOOKUP('Données projet'!$B$10,Paramètres!$A$1:$I$89,5,0)</f>
        <v>407.55</v>
      </c>
      <c r="AK142" s="13">
        <f t="shared" si="143"/>
        <v>93.305642095357683</v>
      </c>
      <c r="AL142" s="20">
        <f t="shared" si="112"/>
        <v>872.32357664941446</v>
      </c>
      <c r="AM142" s="59">
        <f t="shared" si="113"/>
        <v>1157.6070169056154</v>
      </c>
      <c r="AN142" s="59">
        <f ca="1">AVERAGE(OFFSET($AM$3,0,0,'Données projet'!$E$10+1,1))-AVERAGE(OFFSET($H$3,0,0,'Données projet'!$E$10+1,1))</f>
        <v>569.97793593332699</v>
      </c>
      <c r="AO142" s="59">
        <f t="shared" si="144"/>
        <v>331.25104323342907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83.894169428750217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83.894169428750217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277.99999999999994</v>
      </c>
      <c r="BE142" s="13">
        <f>BD142*VLOOKUP('Données projet'!$B$11,Paramètres!$A$1:$I$89,3,0)*VLOOKUP('Données projet'!$B$11,Paramètres!$A$1:$I$89,5,0)</f>
        <v>151.78799999999998</v>
      </c>
      <c r="BF142" s="13">
        <f t="shared" si="145"/>
        <v>38.984634390835623</v>
      </c>
      <c r="BG142" s="20">
        <f t="shared" si="115"/>
        <v>332.26233823070532</v>
      </c>
      <c r="BH142" s="59">
        <f t="shared" si="116"/>
        <v>617.54577848690622</v>
      </c>
      <c r="BI142" s="59">
        <f ca="1">AVERAGE(OFFSET($BH$3,0,0,'Données projet'!$E$11+1,1))-AVERAGE(OFFSET($H$3,0,0,'Données projet'!$E$11+1,1))</f>
        <v>215.37314197175104</v>
      </c>
      <c r="BJ142" s="59">
        <f t="shared" si="146"/>
        <v>361.17630426655978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4.2388225880917219</v>
      </c>
      <c r="BQ142" s="21">
        <f>EXP(-LN(2)/25)*BQ141+(1-EXP(-LN(2)/25))/(LN(2)/25)*Calculateur!BL142*Calculateur!BN142*VLOOKUP('Données projet'!$B$11,Paramètres!$A$1:$I$89,3,0)*0.475*44/12</f>
        <v>4.6770069927590976</v>
      </c>
      <c r="BR142" s="21">
        <f>EXP(-LN(2)/2)*BR141+(1-EXP(-LN(2)/2))/(LN(2)/2)*BL142*BO142*VLOOKUP('Données projet'!$B$11,Paramètres!$A$1:$I$89,3,0)*0.475*44/12</f>
        <v>9.9527421321581106E-19</v>
      </c>
      <c r="BS142" s="22">
        <f t="shared" si="117"/>
        <v>8.9158295808508186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0.8600000000003547</v>
      </c>
      <c r="BZ142" s="13">
        <f>BY142*VLOOKUP('Données projet'!$B$12,Paramètres!$A$1:$I$89,3,0)*VLOOKUP('Données projet'!$B$12,Paramètres!$A$1:$I$89,5,0)</f>
        <v>0.48074000000019829</v>
      </c>
      <c r="CA142" s="13">
        <f t="shared" si="147"/>
        <v>0.24126147010950588</v>
      </c>
      <c r="CB142" s="20">
        <f t="shared" si="118"/>
        <v>1.2574858937744013</v>
      </c>
      <c r="CC142" s="59">
        <f t="shared" si="119"/>
        <v>286.54092614997529</v>
      </c>
      <c r="CD142" s="59">
        <f ca="1">AVERAGE(OFFSET($CC$3,0,0,'Données projet'!$E$12+1,1))-AVERAGE(OFFSET($H$3,0,0,'Données projet'!$E$12+1,1))</f>
        <v>420.4890915162182</v>
      </c>
      <c r="CE142" s="59">
        <f t="shared" si="148"/>
        <v>553.48432338023565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70.441001466157147</v>
      </c>
      <c r="CL142" s="21">
        <f>EXP(-LN(2)/25)*CL141+(1-EXP(-LN(2)/25))/(LN(2)/25)*Calculateur!CG142*Calculateur!CI142*VLOOKUP('Données projet'!$B$12,Paramètres!$A$1:$I$89,3,0)*0.475*44/12</f>
        <v>2.4627089707799779</v>
      </c>
      <c r="CM142" s="21">
        <f>EXP(-LN(2)/2)*CM141+(1-EXP(-LN(2)/2))/(LN(2)/2)*CG142*CJ142*VLOOKUP('Données projet'!$B$12,Paramètres!$A$1:$I$89,3,0)*0.475*44/12</f>
        <v>2.9043591067670758E-17</v>
      </c>
      <c r="CN142" s="22">
        <f t="shared" si="120"/>
        <v>72.903710436937118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367.99999999999972</v>
      </c>
      <c r="CU142" s="17">
        <f>CT142*VLOOKUP('Données projet'!$B$13,Paramètres!$A$1:$I$89,3,0)*VLOOKUP('Données projet'!$B$13,Paramètres!$A$1:$I$89,5,0)</f>
        <v>269.8175999999998</v>
      </c>
      <c r="CV142" s="13">
        <f t="shared" si="149"/>
        <v>64.810557882019467</v>
      </c>
      <c r="CW142" s="20">
        <f t="shared" si="121"/>
        <v>582.81070831118348</v>
      </c>
      <c r="CX142" s="59">
        <f t="shared" si="122"/>
        <v>868.09414856738431</v>
      </c>
      <c r="CY142" s="59">
        <f ca="1">AVERAGE(OFFSET($CX$3,0,0,'Données projet'!$E$13+1,1))-AVERAGE(OFFSET($H$3,0,0,'Données projet'!$E$13+1,1))</f>
        <v>400.48995908576177</v>
      </c>
      <c r="CZ142" s="59">
        <f t="shared" si="150"/>
        <v>384.86917865380076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14.324544500029875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14.324544500029875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367.99999999999972</v>
      </c>
      <c r="DP142" s="17">
        <f>DO142*VLOOKUP('Données projet'!$B$14,Paramètres!$A$1:$I$89,3,0)*VLOOKUP('Données projet'!$B$14,Paramètres!$A$1:$I$89,5,0)</f>
        <v>292.78079999999977</v>
      </c>
      <c r="DQ142" s="13">
        <f t="shared" si="151"/>
        <v>69.660903052386217</v>
      </c>
      <c r="DR142" s="20">
        <f t="shared" si="124"/>
        <v>631.25263281623893</v>
      </c>
      <c r="DS142" s="59">
        <f t="shared" si="125"/>
        <v>916.53607307243988</v>
      </c>
      <c r="DT142" s="59">
        <f ca="1">AVERAGE(OFFSET($DS$3,0,0,'Données projet'!$E$14+1,1))-AVERAGE(OFFSET($H$3,0,0,'Données projet'!$E$14+1,1))</f>
        <v>429.30603040255431</v>
      </c>
      <c r="DU142" s="59">
        <f t="shared" si="152"/>
        <v>412.18613903804726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19.158458081930096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19.158458081930096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210.25641025641013</v>
      </c>
      <c r="EK142" s="17">
        <f>EJ142*VLOOKUP('Données projet'!$B$15,Paramètres!$A$1:$I$89,3,0)*VLOOKUP('Données projet'!$B$15,Paramètres!$A$1:$I$89,5,0)</f>
        <v>163.99999999999991</v>
      </c>
      <c r="EL142" s="13">
        <f t="shared" si="153"/>
        <v>41.743425908362248</v>
      </c>
      <c r="EM142" s="20">
        <f t="shared" si="127"/>
        <v>358.33646679039742</v>
      </c>
      <c r="EN142" s="59">
        <f t="shared" si="128"/>
        <v>643.61990704659831</v>
      </c>
      <c r="EO142" s="59">
        <f ca="1">AVERAGE(OFFSET($EN$3,0,0,'Données projet'!$E$15+1,1))-AVERAGE(OFFSET($H$3,0,0,'Données projet'!$E$15+1,1))</f>
        <v>217.53602321474159</v>
      </c>
      <c r="EP142" s="59">
        <f t="shared" si="154"/>
        <v>215.75909414893025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8.0737495865516458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8.0737495865516458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19.8100000000004</v>
      </c>
      <c r="FF142" s="17">
        <f>FE142*VLOOKUP('Données projet'!$B$16,Paramètres!$A$1:$I$89,3,0)*VLOOKUP('Données projet'!$B$16,Paramètres!$A$1:$I$89,5,0)</f>
        <v>13.288548000000269</v>
      </c>
      <c r="FG142" s="13">
        <f t="shared" si="155"/>
        <v>4.531654695205642</v>
      </c>
      <c r="FH142" s="20">
        <f t="shared" si="130"/>
        <v>31.036853027483627</v>
      </c>
      <c r="FI142" s="59">
        <f t="shared" si="131"/>
        <v>316.32029328368452</v>
      </c>
      <c r="FJ142" s="59">
        <f ca="1">AVERAGE(OFFSET($FI$3,0,0,'Données projet'!$E$16+1,1))-AVERAGE(OFFSET($H$3,0,0,'Données projet'!$E$16+1,1))</f>
        <v>441.20130048888439</v>
      </c>
      <c r="FK142" s="59">
        <f t="shared" si="156"/>
        <v>237.47732532183946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216.0979676747572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216.0979676747572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204.00000000000017</v>
      </c>
      <c r="GA142" s="17">
        <f>FZ142*VLOOKUP('Données projet'!$B$17,Paramètres!$A$1:$I$89,3,0)*VLOOKUP('Données projet'!$B$17,Paramètres!$A$1:$I$89,5,0)</f>
        <v>133.66080000000011</v>
      </c>
      <c r="GB142" s="13">
        <f t="shared" si="157"/>
        <v>34.840890682716783</v>
      </c>
      <c r="GC142" s="20">
        <f t="shared" si="133"/>
        <v>293.4737779390652</v>
      </c>
      <c r="GD142" s="59">
        <f t="shared" si="134"/>
        <v>578.75721819526609</v>
      </c>
      <c r="GE142" s="59">
        <f ca="1">AVERAGE(OFFSET($GD$3,0,0,'Données projet'!$E$17+1,1))-AVERAGE(OFFSET($H$3,0,0,'Données projet'!$E$17+1,1))</f>
        <v>257.66104339896992</v>
      </c>
      <c r="GF142" s="59">
        <f t="shared" si="158"/>
        <v>254.79488636184996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14.934675464878337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14.934675464878337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234.00000000000003</v>
      </c>
      <c r="GV142" s="17">
        <f>GU142*VLOOKUP('Données projet'!$B$18,Paramètres!$A$1:$I$89,3,0)*VLOOKUP('Données projet'!$B$18,Paramètres!$A$1:$I$89,5,0)</f>
        <v>189.82080000000005</v>
      </c>
      <c r="GW142" s="13">
        <f t="shared" si="159"/>
        <v>47.500332100049796</v>
      </c>
      <c r="GX142" s="20">
        <f t="shared" si="136"/>
        <v>413.33430507425345</v>
      </c>
      <c r="GY142" s="59">
        <f t="shared" si="137"/>
        <v>698.61774533045434</v>
      </c>
      <c r="GZ142" s="59">
        <f ca="1">AVERAGE(OFFSET($GY$3,0,0,'Données projet'!$E$18+1,1))-AVERAGE(OFFSET($H$3,0,0,'Données projet'!$E$18+1,1))</f>
        <v>299.98377156721153</v>
      </c>
      <c r="HA142" s="59">
        <f t="shared" si="160"/>
        <v>241.36164657721102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14.388655308418068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14.388655308418068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19.8100000000004</v>
      </c>
      <c r="O143" s="13">
        <f>N143*VLOOKUP('Données projet'!$B$9,Paramètres!$A$1:$I$89,3,0)*VLOOKUP('Données projet'!$B$9,Paramètres!$A$1:$I$89,5,0)</f>
        <v>17.924088000000364</v>
      </c>
      <c r="P143" s="13">
        <f t="shared" si="141"/>
        <v>5.9032212091029486</v>
      </c>
      <c r="Q143" s="20">
        <f t="shared" si="108"/>
        <v>41.499230205854936</v>
      </c>
      <c r="R143" s="59">
        <f t="shared" si="109"/>
        <v>326.92231811007929</v>
      </c>
      <c r="S143" s="59">
        <f ca="1">AVERAGE(OFFSET($R$3,0,0,'Données projet'!$E$9+1,1))-AVERAGE(OFFSET($H$3,0,0,'Données projet'!$E$9+1,1))</f>
        <v>567.42635821507474</v>
      </c>
      <c r="T143" s="59">
        <f t="shared" si="142"/>
        <v>299.04735309930152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231.84725025383466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231.84725025383466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474.99999999999994</v>
      </c>
      <c r="AJ143" s="13">
        <f>AI143*VLOOKUP('Données projet'!$B$10,Paramètres!$A$1:$I$89,3,0)*VLOOKUP('Données projet'!$B$10,Paramètres!$A$1:$I$89,5,0)</f>
        <v>407.55</v>
      </c>
      <c r="AK143" s="13">
        <f t="shared" si="143"/>
        <v>93.305642095357683</v>
      </c>
      <c r="AL143" s="20">
        <f t="shared" si="112"/>
        <v>872.32357664941446</v>
      </c>
      <c r="AM143" s="59">
        <f t="shared" si="113"/>
        <v>1157.7466645536388</v>
      </c>
      <c r="AN143" s="59">
        <f ca="1">AVERAGE(OFFSET($AM$3,0,0,'Données projet'!$E$10+1,1))-AVERAGE(OFFSET($H$3,0,0,'Données projet'!$E$10+1,1))</f>
        <v>569.97793593332699</v>
      </c>
      <c r="AO143" s="59">
        <f t="shared" si="144"/>
        <v>331.25104323342907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82.249055936643117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82.249055936643117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277.99999999999994</v>
      </c>
      <c r="BE143" s="13">
        <f>BD143*VLOOKUP('Données projet'!$B$11,Paramètres!$A$1:$I$89,3,0)*VLOOKUP('Données projet'!$B$11,Paramètres!$A$1:$I$89,5,0)</f>
        <v>151.78799999999998</v>
      </c>
      <c r="BF143" s="13">
        <f t="shared" si="145"/>
        <v>38.984634390835623</v>
      </c>
      <c r="BG143" s="20">
        <f t="shared" si="115"/>
        <v>332.26233823070532</v>
      </c>
      <c r="BH143" s="59">
        <f t="shared" si="116"/>
        <v>617.68542613492968</v>
      </c>
      <c r="BI143" s="59">
        <f ca="1">AVERAGE(OFFSET($BH$3,0,0,'Données projet'!$E$11+1,1))-AVERAGE(OFFSET($H$3,0,0,'Données projet'!$E$11+1,1))</f>
        <v>215.37314197175104</v>
      </c>
      <c r="BJ143" s="59">
        <f t="shared" si="146"/>
        <v>361.17630426655978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4.1557018625657323</v>
      </c>
      <c r="BQ143" s="21">
        <f>EXP(-LN(2)/25)*BQ142+(1-EXP(-LN(2)/25))/(LN(2)/25)*Calculateur!BL143*Calculateur!BN143*VLOOKUP('Données projet'!$B$11,Paramètres!$A$1:$I$89,3,0)*0.475*44/12</f>
        <v>4.5491139905889915</v>
      </c>
      <c r="BR143" s="21">
        <f>EXP(-LN(2)/2)*BR142+(1-EXP(-LN(2)/2))/(LN(2)/2)*BL143*BO143*VLOOKUP('Données projet'!$B$11,Paramètres!$A$1:$I$89,3,0)*0.475*44/12</f>
        <v>7.0376514530500578E-19</v>
      </c>
      <c r="BS143" s="22">
        <f t="shared" si="117"/>
        <v>8.7048158531547237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0.8600000000003547</v>
      </c>
      <c r="BZ143" s="13">
        <f>BY143*VLOOKUP('Données projet'!$B$12,Paramètres!$A$1:$I$89,3,0)*VLOOKUP('Données projet'!$B$12,Paramètres!$A$1:$I$89,5,0)</f>
        <v>0.48074000000019829</v>
      </c>
      <c r="CA143" s="13">
        <f t="shared" si="147"/>
        <v>0.24126147010950588</v>
      </c>
      <c r="CB143" s="20">
        <f t="shared" si="118"/>
        <v>1.2574858937744013</v>
      </c>
      <c r="CC143" s="59">
        <f t="shared" si="119"/>
        <v>286.68057379799876</v>
      </c>
      <c r="CD143" s="59">
        <f ca="1">AVERAGE(OFFSET($CC$3,0,0,'Données projet'!$E$12+1,1))-AVERAGE(OFFSET($H$3,0,0,'Données projet'!$E$12+1,1))</f>
        <v>420.4890915162182</v>
      </c>
      <c r="CE143" s="59">
        <f t="shared" si="148"/>
        <v>553.48432338023565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69.059696392174274</v>
      </c>
      <c r="CL143" s="21">
        <f>EXP(-LN(2)/25)*CL142+(1-EXP(-LN(2)/25))/(LN(2)/25)*Calculateur!CG143*Calculateur!CI143*VLOOKUP('Données projet'!$B$12,Paramètres!$A$1:$I$89,3,0)*0.475*44/12</f>
        <v>2.3953660644657631</v>
      </c>
      <c r="CM143" s="21">
        <f>EXP(-LN(2)/2)*CM142+(1-EXP(-LN(2)/2))/(LN(2)/2)*CG143*CJ143*VLOOKUP('Données projet'!$B$12,Paramètres!$A$1:$I$89,3,0)*0.475*44/12</f>
        <v>2.0536920193959033E-17</v>
      </c>
      <c r="CN143" s="22">
        <f t="shared" si="120"/>
        <v>71.455062456640036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367.99999999999972</v>
      </c>
      <c r="CU143" s="17">
        <f>CT143*VLOOKUP('Données projet'!$B$13,Paramètres!$A$1:$I$89,3,0)*VLOOKUP('Données projet'!$B$13,Paramètres!$A$1:$I$89,5,0)</f>
        <v>269.8175999999998</v>
      </c>
      <c r="CV143" s="13">
        <f t="shared" si="149"/>
        <v>64.810557882019467</v>
      </c>
      <c r="CW143" s="20">
        <f t="shared" si="121"/>
        <v>582.81070831118348</v>
      </c>
      <c r="CX143" s="59">
        <f t="shared" si="122"/>
        <v>868.23379621540789</v>
      </c>
      <c r="CY143" s="59">
        <f ca="1">AVERAGE(OFFSET($CX$3,0,0,'Données projet'!$E$13+1,1))-AVERAGE(OFFSET($H$3,0,0,'Données projet'!$E$13+1,1))</f>
        <v>400.48995908576177</v>
      </c>
      <c r="CZ143" s="59">
        <f t="shared" si="150"/>
        <v>384.86917865380076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14.043648919493716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14.043648919493716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367.99999999999972</v>
      </c>
      <c r="DP143" s="17">
        <f>DO143*VLOOKUP('Données projet'!$B$14,Paramètres!$A$1:$I$89,3,0)*VLOOKUP('Données projet'!$B$14,Paramètres!$A$1:$I$89,5,0)</f>
        <v>292.78079999999977</v>
      </c>
      <c r="DQ143" s="13">
        <f t="shared" si="151"/>
        <v>69.660903052386217</v>
      </c>
      <c r="DR143" s="20">
        <f t="shared" si="124"/>
        <v>631.25263281623893</v>
      </c>
      <c r="DS143" s="59">
        <f t="shared" si="125"/>
        <v>916.67572072046323</v>
      </c>
      <c r="DT143" s="59">
        <f ca="1">AVERAGE(OFFSET($DS$3,0,0,'Données projet'!$E$14+1,1))-AVERAGE(OFFSET($H$3,0,0,'Données projet'!$E$14+1,1))</f>
        <v>429.30603040255431</v>
      </c>
      <c r="DU143" s="59">
        <f t="shared" si="152"/>
        <v>412.18613903804726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18.78277240444903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18.78277240444903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210.25641025641013</v>
      </c>
      <c r="EK143" s="17">
        <f>EJ143*VLOOKUP('Données projet'!$B$15,Paramètres!$A$1:$I$89,3,0)*VLOOKUP('Données projet'!$B$15,Paramètres!$A$1:$I$89,5,0)</f>
        <v>163.99999999999991</v>
      </c>
      <c r="EL143" s="13">
        <f t="shared" si="153"/>
        <v>41.743425908362248</v>
      </c>
      <c r="EM143" s="20">
        <f t="shared" si="127"/>
        <v>358.33646679039742</v>
      </c>
      <c r="EN143" s="59">
        <f t="shared" si="128"/>
        <v>643.75955469462178</v>
      </c>
      <c r="EO143" s="59">
        <f ca="1">AVERAGE(OFFSET($EN$3,0,0,'Données projet'!$E$15+1,1))-AVERAGE(OFFSET($H$3,0,0,'Données projet'!$E$15+1,1))</f>
        <v>217.53602321474159</v>
      </c>
      <c r="EP143" s="59">
        <f t="shared" si="154"/>
        <v>215.75909414893025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7.9154282816603621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7.9154282816603621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19.8100000000004</v>
      </c>
      <c r="FF143" s="17">
        <f>FE143*VLOOKUP('Données projet'!$B$16,Paramètres!$A$1:$I$89,3,0)*VLOOKUP('Données projet'!$B$16,Paramètres!$A$1:$I$89,5,0)</f>
        <v>13.288548000000269</v>
      </c>
      <c r="FG143" s="13">
        <f t="shared" si="155"/>
        <v>4.531654695205642</v>
      </c>
      <c r="FH143" s="20">
        <f t="shared" si="130"/>
        <v>31.036853027483627</v>
      </c>
      <c r="FI143" s="59">
        <f t="shared" si="131"/>
        <v>316.45994093170799</v>
      </c>
      <c r="FJ143" s="59">
        <f ca="1">AVERAGE(OFFSET($FI$3,0,0,'Données projet'!$E$16+1,1))-AVERAGE(OFFSET($H$3,0,0,'Données projet'!$E$16+1,1))</f>
        <v>441.20130048888439</v>
      </c>
      <c r="FK143" s="59">
        <f t="shared" si="156"/>
        <v>237.47732532183946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211.86041833540065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211.86041833540065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204.00000000000017</v>
      </c>
      <c r="GA143" s="17">
        <f>FZ143*VLOOKUP('Données projet'!$B$17,Paramètres!$A$1:$I$89,3,0)*VLOOKUP('Données projet'!$B$17,Paramètres!$A$1:$I$89,5,0)</f>
        <v>133.66080000000011</v>
      </c>
      <c r="GB143" s="13">
        <f t="shared" si="157"/>
        <v>34.840890682716783</v>
      </c>
      <c r="GC143" s="20">
        <f t="shared" si="133"/>
        <v>293.4737779390652</v>
      </c>
      <c r="GD143" s="59">
        <f t="shared" si="134"/>
        <v>578.89686584328956</v>
      </c>
      <c r="GE143" s="59">
        <f ca="1">AVERAGE(OFFSET($GD$3,0,0,'Données projet'!$E$17+1,1))-AVERAGE(OFFSET($H$3,0,0,'Données projet'!$E$17+1,1))</f>
        <v>257.66104339896992</v>
      </c>
      <c r="GF143" s="59">
        <f t="shared" si="158"/>
        <v>254.79488636184996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14.641815588264642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14.641815588264642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234.00000000000003</v>
      </c>
      <c r="GV143" s="17">
        <f>GU143*VLOOKUP('Données projet'!$B$18,Paramètres!$A$1:$I$89,3,0)*VLOOKUP('Données projet'!$B$18,Paramètres!$A$1:$I$89,5,0)</f>
        <v>189.82080000000005</v>
      </c>
      <c r="GW143" s="13">
        <f t="shared" si="159"/>
        <v>47.500332100049796</v>
      </c>
      <c r="GX143" s="20">
        <f t="shared" si="136"/>
        <v>413.33430507425345</v>
      </c>
      <c r="GY143" s="59">
        <f t="shared" si="137"/>
        <v>698.75739297847781</v>
      </c>
      <c r="GZ143" s="59">
        <f ca="1">AVERAGE(OFFSET($GY$3,0,0,'Données projet'!$E$18+1,1))-AVERAGE(OFFSET($H$3,0,0,'Données projet'!$E$18+1,1))</f>
        <v>299.98377156721153</v>
      </c>
      <c r="HA143" s="59">
        <f t="shared" si="160"/>
        <v>241.36164657721102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14.106502554033149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14.106502554033149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19.8100000000004</v>
      </c>
      <c r="O144" s="13">
        <f>N144*VLOOKUP('Données projet'!$B$9,Paramètres!$A$1:$I$89,3,0)*VLOOKUP('Données projet'!$B$9,Paramètres!$A$1:$I$89,5,0)</f>
        <v>17.924088000000364</v>
      </c>
      <c r="P144" s="13">
        <f t="shared" si="141"/>
        <v>5.9032212091029486</v>
      </c>
      <c r="Q144" s="20">
        <f t="shared" si="108"/>
        <v>41.499230205854936</v>
      </c>
      <c r="R144" s="59">
        <f t="shared" si="109"/>
        <v>327.05954318361495</v>
      </c>
      <c r="S144" s="59">
        <f ca="1">AVERAGE(OFFSET($R$3,0,0,'Données projet'!$E$9+1,1))-AVERAGE(OFFSET($H$3,0,0,'Données projet'!$E$9+1,1))</f>
        <v>567.42635821507474</v>
      </c>
      <c r="T144" s="59">
        <f t="shared" si="142"/>
        <v>299.04735309930152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227.30086708921627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227.30086708921627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474.99999999999994</v>
      </c>
      <c r="AJ144" s="13">
        <f>AI144*VLOOKUP('Données projet'!$B$10,Paramètres!$A$1:$I$89,3,0)*VLOOKUP('Données projet'!$B$10,Paramètres!$A$1:$I$89,5,0)</f>
        <v>407.55</v>
      </c>
      <c r="AK144" s="13">
        <f t="shared" si="143"/>
        <v>93.305642095357683</v>
      </c>
      <c r="AL144" s="20">
        <f t="shared" si="112"/>
        <v>872.32357664941446</v>
      </c>
      <c r="AM144" s="59">
        <f t="shared" si="113"/>
        <v>1157.8838896271745</v>
      </c>
      <c r="AN144" s="59">
        <f ca="1">AVERAGE(OFFSET($AM$3,0,0,'Données projet'!$E$10+1,1))-AVERAGE(OFFSET($H$3,0,0,'Données projet'!$E$10+1,1))</f>
        <v>569.97793593332699</v>
      </c>
      <c r="AO144" s="59">
        <f t="shared" si="144"/>
        <v>331.25104323342907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80.636202116696083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80.636202116696083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277.99999999999994</v>
      </c>
      <c r="BE144" s="13">
        <f>BD144*VLOOKUP('Données projet'!$B$11,Paramètres!$A$1:$I$89,3,0)*VLOOKUP('Données projet'!$B$11,Paramètres!$A$1:$I$89,5,0)</f>
        <v>151.78799999999998</v>
      </c>
      <c r="BF144" s="13">
        <f t="shared" si="145"/>
        <v>38.984634390835623</v>
      </c>
      <c r="BG144" s="20">
        <f t="shared" si="115"/>
        <v>332.26233823070532</v>
      </c>
      <c r="BH144" s="59">
        <f t="shared" si="116"/>
        <v>617.82265120846535</v>
      </c>
      <c r="BI144" s="59">
        <f ca="1">AVERAGE(OFFSET($BH$3,0,0,'Données projet'!$E$11+1,1))-AVERAGE(OFFSET($H$3,0,0,'Données projet'!$E$11+1,1))</f>
        <v>215.37314197175104</v>
      </c>
      <c r="BJ144" s="59">
        <f t="shared" si="146"/>
        <v>361.17630426655978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4.0742110837686711</v>
      </c>
      <c r="BQ144" s="21">
        <f>EXP(-LN(2)/25)*BQ143+(1-EXP(-LN(2)/25))/(LN(2)/25)*Calculateur!BL144*Calculateur!BN144*VLOOKUP('Données projet'!$B$11,Paramètres!$A$1:$I$89,3,0)*0.475*44/12</f>
        <v>4.4247182292888283</v>
      </c>
      <c r="BR144" s="21">
        <f>EXP(-LN(2)/2)*BR143+(1-EXP(-LN(2)/2))/(LN(2)/2)*BL144*BO144*VLOOKUP('Données projet'!$B$11,Paramètres!$A$1:$I$89,3,0)*0.475*44/12</f>
        <v>4.9763710660790553E-19</v>
      </c>
      <c r="BS144" s="22">
        <f t="shared" si="117"/>
        <v>8.4989293130574985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0.8600000000003547</v>
      </c>
      <c r="BZ144" s="13">
        <f>BY144*VLOOKUP('Données projet'!$B$12,Paramètres!$A$1:$I$89,3,0)*VLOOKUP('Données projet'!$B$12,Paramètres!$A$1:$I$89,5,0)</f>
        <v>0.48074000000019829</v>
      </c>
      <c r="CA144" s="13">
        <f t="shared" si="147"/>
        <v>0.24126147010950588</v>
      </c>
      <c r="CB144" s="20">
        <f t="shared" si="118"/>
        <v>1.2574858937744013</v>
      </c>
      <c r="CC144" s="59">
        <f t="shared" si="119"/>
        <v>286.81779887153442</v>
      </c>
      <c r="CD144" s="59">
        <f ca="1">AVERAGE(OFFSET($CC$3,0,0,'Données projet'!$E$12+1,1))-AVERAGE(OFFSET($H$3,0,0,'Données projet'!$E$12+1,1))</f>
        <v>420.4890915162182</v>
      </c>
      <c r="CE144" s="59">
        <f t="shared" si="148"/>
        <v>553.48432338023565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67.705477868179315</v>
      </c>
      <c r="CL144" s="21">
        <f>EXP(-LN(2)/25)*CL143+(1-EXP(-LN(2)/25))/(LN(2)/25)*Calculateur!CG144*Calculateur!CI144*VLOOKUP('Données projet'!$B$12,Paramètres!$A$1:$I$89,3,0)*0.475*44/12</f>
        <v>2.32986465346612</v>
      </c>
      <c r="CM144" s="21">
        <f>EXP(-LN(2)/2)*CM143+(1-EXP(-LN(2)/2))/(LN(2)/2)*CG144*CJ144*VLOOKUP('Données projet'!$B$12,Paramètres!$A$1:$I$89,3,0)*0.475*44/12</f>
        <v>1.4521795533835379E-17</v>
      </c>
      <c r="CN144" s="22">
        <f t="shared" si="120"/>
        <v>70.035342521645433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367.99999999999972</v>
      </c>
      <c r="CU144" s="17">
        <f>CT144*VLOOKUP('Données projet'!$B$13,Paramètres!$A$1:$I$89,3,0)*VLOOKUP('Données projet'!$B$13,Paramètres!$A$1:$I$89,5,0)</f>
        <v>269.8175999999998</v>
      </c>
      <c r="CV144" s="13">
        <f t="shared" si="149"/>
        <v>64.810557882019467</v>
      </c>
      <c r="CW144" s="20">
        <f t="shared" si="121"/>
        <v>582.81070831118348</v>
      </c>
      <c r="CX144" s="59">
        <f t="shared" si="122"/>
        <v>868.37102128894344</v>
      </c>
      <c r="CY144" s="59">
        <f ca="1">AVERAGE(OFFSET($CX$3,0,0,'Données projet'!$E$13+1,1))-AVERAGE(OFFSET($H$3,0,0,'Données projet'!$E$13+1,1))</f>
        <v>400.48995908576177</v>
      </c>
      <c r="CZ144" s="59">
        <f t="shared" si="150"/>
        <v>384.86917865380076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13.768261529962485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13.768261529962485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367.99999999999972</v>
      </c>
      <c r="DP144" s="17">
        <f>DO144*VLOOKUP('Données projet'!$B$14,Paramètres!$A$1:$I$89,3,0)*VLOOKUP('Données projet'!$B$14,Paramètres!$A$1:$I$89,5,0)</f>
        <v>292.78079999999977</v>
      </c>
      <c r="DQ144" s="13">
        <f t="shared" si="151"/>
        <v>69.660903052386217</v>
      </c>
      <c r="DR144" s="20">
        <f t="shared" si="124"/>
        <v>631.25263281623893</v>
      </c>
      <c r="DS144" s="59">
        <f t="shared" si="125"/>
        <v>916.81294579399901</v>
      </c>
      <c r="DT144" s="59">
        <f ca="1">AVERAGE(OFFSET($DS$3,0,0,'Données projet'!$E$14+1,1))-AVERAGE(OFFSET($H$3,0,0,'Données projet'!$E$14+1,1))</f>
        <v>429.30603040255431</v>
      </c>
      <c r="DU144" s="59">
        <f t="shared" si="152"/>
        <v>412.18613903804726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18.414453693957729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18.414453693957729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210.25641025641013</v>
      </c>
      <c r="EK144" s="17">
        <f>EJ144*VLOOKUP('Données projet'!$B$15,Paramètres!$A$1:$I$89,3,0)*VLOOKUP('Données projet'!$B$15,Paramètres!$A$1:$I$89,5,0)</f>
        <v>163.99999999999991</v>
      </c>
      <c r="EL144" s="13">
        <f t="shared" si="153"/>
        <v>41.743425908362248</v>
      </c>
      <c r="EM144" s="20">
        <f t="shared" si="127"/>
        <v>358.33646679039742</v>
      </c>
      <c r="EN144" s="59">
        <f t="shared" si="128"/>
        <v>643.89677976815744</v>
      </c>
      <c r="EO144" s="59">
        <f ca="1">AVERAGE(OFFSET($EN$3,0,0,'Données projet'!$E$15+1,1))-AVERAGE(OFFSET($H$3,0,0,'Données projet'!$E$15+1,1))</f>
        <v>217.53602321474159</v>
      </c>
      <c r="EP144" s="59">
        <f t="shared" si="154"/>
        <v>215.75909414893025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7.760211560991535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7.760211560991535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19.8100000000004</v>
      </c>
      <c r="FF144" s="17">
        <f>FE144*VLOOKUP('Données projet'!$B$16,Paramètres!$A$1:$I$89,3,0)*VLOOKUP('Données projet'!$B$16,Paramètres!$A$1:$I$89,5,0)</f>
        <v>13.288548000000269</v>
      </c>
      <c r="FG144" s="13">
        <f t="shared" si="155"/>
        <v>4.531654695205642</v>
      </c>
      <c r="FH144" s="20">
        <f t="shared" si="130"/>
        <v>31.036853027483627</v>
      </c>
      <c r="FI144" s="59">
        <f t="shared" si="131"/>
        <v>316.59716600524365</v>
      </c>
      <c r="FJ144" s="59">
        <f ca="1">AVERAGE(OFFSET($FI$3,0,0,'Données projet'!$E$16+1,1))-AVERAGE(OFFSET($H$3,0,0,'Données projet'!$E$16+1,1))</f>
        <v>441.20130048888439</v>
      </c>
      <c r="FK144" s="59">
        <f t="shared" si="156"/>
        <v>237.47732532183946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207.70596475393901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207.70596475393901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204.00000000000017</v>
      </c>
      <c r="GA144" s="17">
        <f>FZ144*VLOOKUP('Données projet'!$B$17,Paramètres!$A$1:$I$89,3,0)*VLOOKUP('Données projet'!$B$17,Paramètres!$A$1:$I$89,5,0)</f>
        <v>133.66080000000011</v>
      </c>
      <c r="GB144" s="13">
        <f t="shared" si="157"/>
        <v>34.840890682716783</v>
      </c>
      <c r="GC144" s="20">
        <f t="shared" si="133"/>
        <v>293.4737779390652</v>
      </c>
      <c r="GD144" s="59">
        <f t="shared" si="134"/>
        <v>579.03409091682522</v>
      </c>
      <c r="GE144" s="59">
        <f ca="1">AVERAGE(OFFSET($GD$3,0,0,'Données projet'!$E$17+1,1))-AVERAGE(OFFSET($H$3,0,0,'Données projet'!$E$17+1,1))</f>
        <v>257.66104339896992</v>
      </c>
      <c r="GF144" s="59">
        <f t="shared" si="158"/>
        <v>254.79488636184996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14.354698515204454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14.354698515204454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234.00000000000003</v>
      </c>
      <c r="GV144" s="17">
        <f>GU144*VLOOKUP('Données projet'!$B$18,Paramètres!$A$1:$I$89,3,0)*VLOOKUP('Données projet'!$B$18,Paramètres!$A$1:$I$89,5,0)</f>
        <v>189.82080000000005</v>
      </c>
      <c r="GW144" s="13">
        <f t="shared" si="159"/>
        <v>47.500332100049796</v>
      </c>
      <c r="GX144" s="20">
        <f t="shared" si="136"/>
        <v>413.33430507425345</v>
      </c>
      <c r="GY144" s="59">
        <f t="shared" si="137"/>
        <v>698.89461805201347</v>
      </c>
      <c r="GZ144" s="59">
        <f ca="1">AVERAGE(OFFSET($GY$3,0,0,'Données projet'!$E$18+1,1))-AVERAGE(OFFSET($H$3,0,0,'Données projet'!$E$18+1,1))</f>
        <v>299.98377156721153</v>
      </c>
      <c r="HA144" s="59">
        <f t="shared" si="160"/>
        <v>241.36164657721102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13.829882643065531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13.829882643065531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19.8100000000004</v>
      </c>
      <c r="O145" s="13">
        <f>N145*VLOOKUP('Données projet'!$B$9,Paramètres!$A$1:$I$89,3,0)*VLOOKUP('Données projet'!$B$9,Paramètres!$A$1:$I$89,5,0)</f>
        <v>17.924088000000364</v>
      </c>
      <c r="P145" s="13">
        <f t="shared" si="141"/>
        <v>5.9032212091029486</v>
      </c>
      <c r="Q145" s="20">
        <f t="shared" si="108"/>
        <v>41.499230205854936</v>
      </c>
      <c r="R145" s="59">
        <f t="shared" si="109"/>
        <v>327.19438770891401</v>
      </c>
      <c r="S145" s="59">
        <f ca="1">AVERAGE(OFFSET($R$3,0,0,'Données projet'!$E$9+1,1))-AVERAGE(OFFSET($H$3,0,0,'Données projet'!$E$9+1,1))</f>
        <v>567.42635821507474</v>
      </c>
      <c r="T145" s="59">
        <f t="shared" si="142"/>
        <v>299.04735309930152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222.84363572543612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222.84363572543612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474.99999999999994</v>
      </c>
      <c r="AJ145" s="13">
        <f>AI145*VLOOKUP('Données projet'!$B$10,Paramètres!$A$1:$I$89,3,0)*VLOOKUP('Données projet'!$B$10,Paramètres!$A$1:$I$89,5,0)</f>
        <v>407.55</v>
      </c>
      <c r="AK145" s="13">
        <f t="shared" si="143"/>
        <v>93.305642095357683</v>
      </c>
      <c r="AL145" s="20">
        <f t="shared" si="112"/>
        <v>872.32357664941446</v>
      </c>
      <c r="AM145" s="59">
        <f t="shared" si="113"/>
        <v>1158.0187341524736</v>
      </c>
      <c r="AN145" s="59">
        <f ca="1">AVERAGE(OFFSET($AM$3,0,0,'Données projet'!$E$10+1,1))-AVERAGE(OFFSET($H$3,0,0,'Données projet'!$E$10+1,1))</f>
        <v>569.97793593332699</v>
      </c>
      <c r="AO145" s="59">
        <f t="shared" si="144"/>
        <v>331.25104323342907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79.054975376414518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79.054975376414518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277.99999999999994</v>
      </c>
      <c r="BE145" s="13">
        <f>BD145*VLOOKUP('Données projet'!$B$11,Paramètres!$A$1:$I$89,3,0)*VLOOKUP('Données projet'!$B$11,Paramètres!$A$1:$I$89,5,0)</f>
        <v>151.78799999999998</v>
      </c>
      <c r="BF145" s="13">
        <f t="shared" si="145"/>
        <v>38.984634390835623</v>
      </c>
      <c r="BG145" s="20">
        <f t="shared" si="115"/>
        <v>332.26233823070532</v>
      </c>
      <c r="BH145" s="59">
        <f t="shared" si="116"/>
        <v>617.9574957337644</v>
      </c>
      <c r="BI145" s="59">
        <f ca="1">AVERAGE(OFFSET($BH$3,0,0,'Données projet'!$E$11+1,1))-AVERAGE(OFFSET($H$3,0,0,'Données projet'!$E$11+1,1))</f>
        <v>215.37314197175104</v>
      </c>
      <c r="BJ145" s="59">
        <f t="shared" si="146"/>
        <v>361.17630426655978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3.9943182894393527</v>
      </c>
      <c r="BQ145" s="21">
        <f>EXP(-LN(2)/25)*BQ144+(1-EXP(-LN(2)/25))/(LN(2)/25)*Calculateur!BL145*Calculateur!BN145*VLOOKUP('Données projet'!$B$11,Paramètres!$A$1:$I$89,3,0)*0.475*44/12</f>
        <v>4.3037240766231069</v>
      </c>
      <c r="BR145" s="21">
        <f>EXP(-LN(2)/2)*BR144+(1-EXP(-LN(2)/2))/(LN(2)/2)*BL145*BO145*VLOOKUP('Données projet'!$B$11,Paramètres!$A$1:$I$89,3,0)*0.475*44/12</f>
        <v>3.5188257265250289E-19</v>
      </c>
      <c r="BS145" s="22">
        <f t="shared" si="117"/>
        <v>8.2980423660624592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0.8600000000003547</v>
      </c>
      <c r="BZ145" s="13">
        <f>BY145*VLOOKUP('Données projet'!$B$12,Paramètres!$A$1:$I$89,3,0)*VLOOKUP('Données projet'!$B$12,Paramètres!$A$1:$I$89,5,0)</f>
        <v>0.48074000000019829</v>
      </c>
      <c r="CA145" s="13">
        <f t="shared" si="147"/>
        <v>0.24126147010950588</v>
      </c>
      <c r="CB145" s="20">
        <f t="shared" si="118"/>
        <v>1.2574858937744013</v>
      </c>
      <c r="CC145" s="59">
        <f t="shared" si="119"/>
        <v>286.95264339683348</v>
      </c>
      <c r="CD145" s="59">
        <f ca="1">AVERAGE(OFFSET($CC$3,0,0,'Données projet'!$E$12+1,1))-AVERAGE(OFFSET($H$3,0,0,'Données projet'!$E$12+1,1))</f>
        <v>420.4890915162182</v>
      </c>
      <c r="CE145" s="59">
        <f t="shared" si="148"/>
        <v>553.48432338023565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66.377814743448155</v>
      </c>
      <c r="CL145" s="21">
        <f>EXP(-LN(2)/25)*CL144+(1-EXP(-LN(2)/25))/(LN(2)/25)*Calculateur!CG145*Calculateur!CI145*VLOOKUP('Données projet'!$B$12,Paramètres!$A$1:$I$89,3,0)*0.475*44/12</f>
        <v>2.266154381994832</v>
      </c>
      <c r="CM145" s="21">
        <f>EXP(-LN(2)/2)*CM144+(1-EXP(-LN(2)/2))/(LN(2)/2)*CG145*CJ145*VLOOKUP('Données projet'!$B$12,Paramètres!$A$1:$I$89,3,0)*0.475*44/12</f>
        <v>1.0268460096979517E-17</v>
      </c>
      <c r="CN145" s="22">
        <f t="shared" si="120"/>
        <v>68.643969125442993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367.99999999999972</v>
      </c>
      <c r="CU145" s="17">
        <f>CT145*VLOOKUP('Données projet'!$B$13,Paramètres!$A$1:$I$89,3,0)*VLOOKUP('Données projet'!$B$13,Paramètres!$A$1:$I$89,5,0)</f>
        <v>269.8175999999998</v>
      </c>
      <c r="CV145" s="13">
        <f t="shared" si="149"/>
        <v>64.810557882019467</v>
      </c>
      <c r="CW145" s="20">
        <f t="shared" si="121"/>
        <v>582.81070831118348</v>
      </c>
      <c r="CX145" s="59">
        <f t="shared" si="122"/>
        <v>868.5058658142425</v>
      </c>
      <c r="CY145" s="59">
        <f ca="1">AVERAGE(OFFSET($CX$3,0,0,'Données projet'!$E$13+1,1))-AVERAGE(OFFSET($H$3,0,0,'Données projet'!$E$13+1,1))</f>
        <v>400.48995908576177</v>
      </c>
      <c r="CZ145" s="59">
        <f t="shared" si="150"/>
        <v>384.86917865380076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13.498274319170239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13.498274319170239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367.99999999999972</v>
      </c>
      <c r="DP145" s="17">
        <f>DO145*VLOOKUP('Données projet'!$B$14,Paramètres!$A$1:$I$89,3,0)*VLOOKUP('Données projet'!$B$14,Paramètres!$A$1:$I$89,5,0)</f>
        <v>292.78079999999977</v>
      </c>
      <c r="DQ145" s="13">
        <f t="shared" si="151"/>
        <v>69.660903052386217</v>
      </c>
      <c r="DR145" s="20">
        <f t="shared" si="124"/>
        <v>631.25263281623893</v>
      </c>
      <c r="DS145" s="59">
        <f t="shared" si="125"/>
        <v>916.94779031929806</v>
      </c>
      <c r="DT145" s="59">
        <f ca="1">AVERAGE(OFFSET($DS$3,0,0,'Données projet'!$E$14+1,1))-AVERAGE(OFFSET($H$3,0,0,'Données projet'!$E$14+1,1))</f>
        <v>429.30603040255431</v>
      </c>
      <c r="DU145" s="59">
        <f t="shared" si="152"/>
        <v>412.18613903804726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18.053357488726931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18.053357488726931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210.25641025641013</v>
      </c>
      <c r="EK145" s="17">
        <f>EJ145*VLOOKUP('Données projet'!$B$15,Paramètres!$A$1:$I$89,3,0)*VLOOKUP('Données projet'!$B$15,Paramètres!$A$1:$I$89,5,0)</f>
        <v>163.99999999999991</v>
      </c>
      <c r="EL145" s="13">
        <f t="shared" si="153"/>
        <v>41.743425908362248</v>
      </c>
      <c r="EM145" s="20">
        <f t="shared" si="127"/>
        <v>358.33646679039742</v>
      </c>
      <c r="EN145" s="59">
        <f t="shared" si="128"/>
        <v>644.0316242934565</v>
      </c>
      <c r="EO145" s="59">
        <f ca="1">AVERAGE(OFFSET($EN$3,0,0,'Données projet'!$E$15+1,1))-AVERAGE(OFFSET($H$3,0,0,'Données projet'!$E$15+1,1))</f>
        <v>217.53602321474159</v>
      </c>
      <c r="EP145" s="59">
        <f t="shared" si="154"/>
        <v>215.75909414893025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7.6080385455421728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7.6080385455421728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19.8100000000004</v>
      </c>
      <c r="FF145" s="17">
        <f>FE145*VLOOKUP('Données projet'!$B$16,Paramètres!$A$1:$I$89,3,0)*VLOOKUP('Données projet'!$B$16,Paramètres!$A$1:$I$89,5,0)</f>
        <v>13.288548000000269</v>
      </c>
      <c r="FG145" s="13">
        <f t="shared" si="155"/>
        <v>4.531654695205642</v>
      </c>
      <c r="FH145" s="20">
        <f t="shared" si="130"/>
        <v>31.036853027483627</v>
      </c>
      <c r="FI145" s="59">
        <f t="shared" si="131"/>
        <v>316.73201053054271</v>
      </c>
      <c r="FJ145" s="59">
        <f ca="1">AVERAGE(OFFSET($FI$3,0,0,'Données projet'!$E$16+1,1))-AVERAGE(OFFSET($H$3,0,0,'Données projet'!$E$16+1,1))</f>
        <v>441.20130048888439</v>
      </c>
      <c r="FK145" s="59">
        <f t="shared" si="156"/>
        <v>237.47732532183946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203.63297747324336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203.63297747324336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204.00000000000017</v>
      </c>
      <c r="GA145" s="17">
        <f>FZ145*VLOOKUP('Données projet'!$B$17,Paramètres!$A$1:$I$89,3,0)*VLOOKUP('Données projet'!$B$17,Paramètres!$A$1:$I$89,5,0)</f>
        <v>133.66080000000011</v>
      </c>
      <c r="GB145" s="13">
        <f t="shared" si="157"/>
        <v>34.840890682716783</v>
      </c>
      <c r="GC145" s="20">
        <f t="shared" si="133"/>
        <v>293.4737779390652</v>
      </c>
      <c r="GD145" s="59">
        <f t="shared" si="134"/>
        <v>579.16893544212428</v>
      </c>
      <c r="GE145" s="59">
        <f ca="1">AVERAGE(OFFSET($GD$3,0,0,'Données projet'!$E$17+1,1))-AVERAGE(OFFSET($H$3,0,0,'Données projet'!$E$17+1,1))</f>
        <v>257.66104339896992</v>
      </c>
      <c r="GF145" s="59">
        <f t="shared" si="158"/>
        <v>254.79488636184996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14.073211632822854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14.073211632822854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234.00000000000003</v>
      </c>
      <c r="GV145" s="17">
        <f>GU145*VLOOKUP('Données projet'!$B$18,Paramètres!$A$1:$I$89,3,0)*VLOOKUP('Données projet'!$B$18,Paramètres!$A$1:$I$89,5,0)</f>
        <v>189.82080000000005</v>
      </c>
      <c r="GW145" s="13">
        <f t="shared" si="159"/>
        <v>47.500332100049796</v>
      </c>
      <c r="GX145" s="20">
        <f t="shared" si="136"/>
        <v>413.33430507425345</v>
      </c>
      <c r="GY145" s="59">
        <f t="shared" si="137"/>
        <v>699.02946257731253</v>
      </c>
      <c r="GZ145" s="59">
        <f ca="1">AVERAGE(OFFSET($GY$3,0,0,'Données projet'!$E$18+1,1))-AVERAGE(OFFSET($H$3,0,0,'Données projet'!$E$18+1,1))</f>
        <v>299.98377156721153</v>
      </c>
      <c r="HA145" s="59">
        <f t="shared" si="160"/>
        <v>241.36164657721102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13.558687079830502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13.558687079830502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19.8100000000004</v>
      </c>
      <c r="O146" s="13">
        <f>N146*VLOOKUP('Données projet'!$B$9,Paramètres!$A$1:$I$89,3,0)*VLOOKUP('Données projet'!$B$9,Paramètres!$A$1:$I$89,5,0)</f>
        <v>17.924088000000364</v>
      </c>
      <c r="P146" s="13">
        <f t="shared" si="141"/>
        <v>5.9032212091029486</v>
      </c>
      <c r="Q146" s="20">
        <f t="shared" si="108"/>
        <v>41.499230205854936</v>
      </c>
      <c r="R146" s="59">
        <f t="shared" si="109"/>
        <v>327.32689298316637</v>
      </c>
      <c r="S146" s="59">
        <f ca="1">AVERAGE(OFFSET($R$3,0,0,'Données projet'!$E$9+1,1))-AVERAGE(OFFSET($H$3,0,0,'Données projet'!$E$9+1,1))</f>
        <v>567.42635821507474</v>
      </c>
      <c r="T146" s="59">
        <f t="shared" si="142"/>
        <v>299.04735309930152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218.47380795005699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218.47380795005699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474.99999999999994</v>
      </c>
      <c r="AJ146" s="13">
        <f>AI146*VLOOKUP('Données projet'!$B$10,Paramètres!$A$1:$I$89,3,0)*VLOOKUP('Données projet'!$B$10,Paramètres!$A$1:$I$89,5,0)</f>
        <v>407.55</v>
      </c>
      <c r="AK146" s="13">
        <f t="shared" si="143"/>
        <v>93.305642095357683</v>
      </c>
      <c r="AL146" s="20">
        <f t="shared" si="112"/>
        <v>872.32357664941446</v>
      </c>
      <c r="AM146" s="59">
        <f t="shared" si="113"/>
        <v>1158.1512394267259</v>
      </c>
      <c r="AN146" s="59">
        <f ca="1">AVERAGE(OFFSET($AM$3,0,0,'Données projet'!$E$10+1,1))-AVERAGE(OFFSET($H$3,0,0,'Données projet'!$E$10+1,1))</f>
        <v>569.97793593332699</v>
      </c>
      <c r="AO146" s="59">
        <f t="shared" si="144"/>
        <v>331.25104323342907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77.504755528056805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77.504755528056805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277.99999999999994</v>
      </c>
      <c r="BE146" s="13">
        <f>BD146*VLOOKUP('Données projet'!$B$11,Paramètres!$A$1:$I$89,3,0)*VLOOKUP('Données projet'!$B$11,Paramètres!$A$1:$I$89,5,0)</f>
        <v>151.78799999999998</v>
      </c>
      <c r="BF146" s="13">
        <f t="shared" si="145"/>
        <v>38.984634390835623</v>
      </c>
      <c r="BG146" s="20">
        <f t="shared" si="115"/>
        <v>332.26233823070532</v>
      </c>
      <c r="BH146" s="59">
        <f t="shared" si="116"/>
        <v>618.09000100801677</v>
      </c>
      <c r="BI146" s="59">
        <f ca="1">AVERAGE(OFFSET($BH$3,0,0,'Données projet'!$E$11+1,1))-AVERAGE(OFFSET($H$3,0,0,'Données projet'!$E$11+1,1))</f>
        <v>215.37314197175104</v>
      </c>
      <c r="BJ146" s="59">
        <f t="shared" si="146"/>
        <v>361.17630426655978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3.9159921440770398</v>
      </c>
      <c r="BQ146" s="21">
        <f>EXP(-LN(2)/25)*BQ145+(1-EXP(-LN(2)/25))/(LN(2)/25)*Calculateur!BL146*Calculateur!BN146*VLOOKUP('Données projet'!$B$11,Paramètres!$A$1:$I$89,3,0)*0.475*44/12</f>
        <v>4.1860385154248352</v>
      </c>
      <c r="BR146" s="21">
        <f>EXP(-LN(2)/2)*BR145+(1-EXP(-LN(2)/2))/(LN(2)/2)*BL146*BO146*VLOOKUP('Données projet'!$B$11,Paramètres!$A$1:$I$89,3,0)*0.475*44/12</f>
        <v>2.4881855330395277E-19</v>
      </c>
      <c r="BS146" s="22">
        <f t="shared" si="117"/>
        <v>8.1020306595018745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0.8600000000003547</v>
      </c>
      <c r="BZ146" s="13">
        <f>BY146*VLOOKUP('Données projet'!$B$12,Paramètres!$A$1:$I$89,3,0)*VLOOKUP('Données projet'!$B$12,Paramètres!$A$1:$I$89,5,0)</f>
        <v>0.48074000000019829</v>
      </c>
      <c r="CA146" s="13">
        <f t="shared" si="147"/>
        <v>0.24126147010950588</v>
      </c>
      <c r="CB146" s="20">
        <f t="shared" si="118"/>
        <v>1.2574858937744013</v>
      </c>
      <c r="CC146" s="59">
        <f t="shared" si="119"/>
        <v>287.08514867108585</v>
      </c>
      <c r="CD146" s="59">
        <f ca="1">AVERAGE(OFFSET($CC$3,0,0,'Données projet'!$E$12+1,1))-AVERAGE(OFFSET($H$3,0,0,'Données projet'!$E$12+1,1))</f>
        <v>420.4890915162182</v>
      </c>
      <c r="CE146" s="59">
        <f t="shared" si="148"/>
        <v>553.48432338023565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65.076186282798417</v>
      </c>
      <c r="CL146" s="21">
        <f>EXP(-LN(2)/25)*CL145+(1-EXP(-LN(2)/25))/(LN(2)/25)*Calculateur!CG146*Calculateur!CI146*VLOOKUP('Données projet'!$B$12,Paramètres!$A$1:$I$89,3,0)*0.475*44/12</f>
        <v>2.2041862712473037</v>
      </c>
      <c r="CM146" s="21">
        <f>EXP(-LN(2)/2)*CM145+(1-EXP(-LN(2)/2))/(LN(2)/2)*CG146*CJ146*VLOOKUP('Données projet'!$B$12,Paramètres!$A$1:$I$89,3,0)*0.475*44/12</f>
        <v>7.2608977669176894E-18</v>
      </c>
      <c r="CN146" s="22">
        <f t="shared" si="120"/>
        <v>67.280372554045726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367.99999999999972</v>
      </c>
      <c r="CU146" s="17">
        <f>CT146*VLOOKUP('Données projet'!$B$13,Paramètres!$A$1:$I$89,3,0)*VLOOKUP('Données projet'!$B$13,Paramètres!$A$1:$I$89,5,0)</f>
        <v>269.8175999999998</v>
      </c>
      <c r="CV146" s="13">
        <f t="shared" si="149"/>
        <v>64.810557882019467</v>
      </c>
      <c r="CW146" s="20">
        <f t="shared" si="121"/>
        <v>582.81070831118348</v>
      </c>
      <c r="CX146" s="59">
        <f t="shared" si="122"/>
        <v>868.63837108849498</v>
      </c>
      <c r="CY146" s="59">
        <f ca="1">AVERAGE(OFFSET($CX$3,0,0,'Données projet'!$E$13+1,1))-AVERAGE(OFFSET($H$3,0,0,'Données projet'!$E$13+1,1))</f>
        <v>400.48995908576177</v>
      </c>
      <c r="CZ146" s="59">
        <f t="shared" si="150"/>
        <v>384.86917865380076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13.233581392905691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13.233581392905691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367.99999999999972</v>
      </c>
      <c r="DP146" s="17">
        <f>DO146*VLOOKUP('Données projet'!$B$14,Paramètres!$A$1:$I$89,3,0)*VLOOKUP('Données projet'!$B$14,Paramètres!$A$1:$I$89,5,0)</f>
        <v>292.78079999999977</v>
      </c>
      <c r="DQ146" s="13">
        <f t="shared" si="151"/>
        <v>69.660903052386217</v>
      </c>
      <c r="DR146" s="20">
        <f t="shared" si="124"/>
        <v>631.25263281623893</v>
      </c>
      <c r="DS146" s="59">
        <f t="shared" si="125"/>
        <v>917.08029559355032</v>
      </c>
      <c r="DT146" s="59">
        <f ca="1">AVERAGE(OFFSET($DS$3,0,0,'Données projet'!$E$14+1,1))-AVERAGE(OFFSET($H$3,0,0,'Données projet'!$E$14+1,1))</f>
        <v>429.30603040255431</v>
      </c>
      <c r="DU146" s="59">
        <f t="shared" si="152"/>
        <v>412.18613903804726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17.699342159833773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17.699342159833773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210.25641025641013</v>
      </c>
      <c r="EK146" s="17">
        <f>EJ146*VLOOKUP('Données projet'!$B$15,Paramètres!$A$1:$I$89,3,0)*VLOOKUP('Données projet'!$B$15,Paramètres!$A$1:$I$89,5,0)</f>
        <v>163.99999999999991</v>
      </c>
      <c r="EL146" s="13">
        <f t="shared" si="153"/>
        <v>41.743425908362248</v>
      </c>
      <c r="EM146" s="20">
        <f t="shared" si="127"/>
        <v>358.33646679039742</v>
      </c>
      <c r="EN146" s="59">
        <f t="shared" si="128"/>
        <v>644.16412956770887</v>
      </c>
      <c r="EO146" s="59">
        <f ca="1">AVERAGE(OFFSET($EN$3,0,0,'Données projet'!$E$15+1,1))-AVERAGE(OFFSET($H$3,0,0,'Données projet'!$E$15+1,1))</f>
        <v>217.53602321474159</v>
      </c>
      <c r="EP146" s="59">
        <f t="shared" si="154"/>
        <v>215.75909414893025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7.4588495501093979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7.4588495501093979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19.8100000000004</v>
      </c>
      <c r="FF146" s="17">
        <f>FE146*VLOOKUP('Données projet'!$B$16,Paramètres!$A$1:$I$89,3,0)*VLOOKUP('Données projet'!$B$16,Paramètres!$A$1:$I$89,5,0)</f>
        <v>13.288548000000269</v>
      </c>
      <c r="FG146" s="13">
        <f t="shared" si="155"/>
        <v>4.531654695205642</v>
      </c>
      <c r="FH146" s="20">
        <f t="shared" si="130"/>
        <v>31.036853027483627</v>
      </c>
      <c r="FI146" s="59">
        <f t="shared" si="131"/>
        <v>316.86451580479508</v>
      </c>
      <c r="FJ146" s="59">
        <f ca="1">AVERAGE(OFFSET($FI$3,0,0,'Données projet'!$E$16+1,1))-AVERAGE(OFFSET($H$3,0,0,'Données projet'!$E$16+1,1))</f>
        <v>441.20130048888439</v>
      </c>
      <c r="FK146" s="59">
        <f t="shared" si="156"/>
        <v>237.47732532183946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199.63985898884519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199.63985898884519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204.00000000000017</v>
      </c>
      <c r="GA146" s="17">
        <f>FZ146*VLOOKUP('Données projet'!$B$17,Paramètres!$A$1:$I$89,3,0)*VLOOKUP('Données projet'!$B$17,Paramètres!$A$1:$I$89,5,0)</f>
        <v>133.66080000000011</v>
      </c>
      <c r="GB146" s="13">
        <f t="shared" si="157"/>
        <v>34.840890682716783</v>
      </c>
      <c r="GC146" s="20">
        <f t="shared" si="133"/>
        <v>293.4737779390652</v>
      </c>
      <c r="GD146" s="59">
        <f t="shared" si="134"/>
        <v>579.30144071637665</v>
      </c>
      <c r="GE146" s="59">
        <f ca="1">AVERAGE(OFFSET($GD$3,0,0,'Données projet'!$E$17+1,1))-AVERAGE(OFFSET($H$3,0,0,'Données projet'!$E$17+1,1))</f>
        <v>257.66104339896992</v>
      </c>
      <c r="GF146" s="59">
        <f t="shared" si="158"/>
        <v>254.79488636184996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13.797244536514713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13.797244536514713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234.00000000000003</v>
      </c>
      <c r="GV146" s="17">
        <f>GU146*VLOOKUP('Données projet'!$B$18,Paramètres!$A$1:$I$89,3,0)*VLOOKUP('Données projet'!$B$18,Paramètres!$A$1:$I$89,5,0)</f>
        <v>189.82080000000005</v>
      </c>
      <c r="GW146" s="13">
        <f t="shared" si="159"/>
        <v>47.500332100049796</v>
      </c>
      <c r="GX146" s="20">
        <f t="shared" si="136"/>
        <v>413.33430507425345</v>
      </c>
      <c r="GY146" s="59">
        <f t="shared" si="137"/>
        <v>699.1619678515649</v>
      </c>
      <c r="GZ146" s="59">
        <f ca="1">AVERAGE(OFFSET($GY$3,0,0,'Données projet'!$E$18+1,1))-AVERAGE(OFFSET($H$3,0,0,'Données projet'!$E$18+1,1))</f>
        <v>299.98377156721153</v>
      </c>
      <c r="HA146" s="59">
        <f t="shared" si="160"/>
        <v>241.36164657721102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13.292809496177552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13.292809496177552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19.8100000000004</v>
      </c>
      <c r="O147" s="13">
        <f>N147*VLOOKUP('Données projet'!$B$9,Paramètres!$A$1:$I$89,3,0)*VLOOKUP('Données projet'!$B$9,Paramètres!$A$1:$I$89,5,0)</f>
        <v>17.924088000000364</v>
      </c>
      <c r="P147" s="13">
        <f t="shared" si="141"/>
        <v>5.9032212091029486</v>
      </c>
      <c r="Q147" s="20">
        <f t="shared" si="108"/>
        <v>41.499230205854936</v>
      </c>
      <c r="R147" s="59">
        <f t="shared" si="109"/>
        <v>327.45709958714781</v>
      </c>
      <c r="S147" s="59">
        <f ca="1">AVERAGE(OFFSET($R$3,0,0,'Données projet'!$E$9+1,1))-AVERAGE(OFFSET($H$3,0,0,'Données projet'!$E$9+1,1))</f>
        <v>567.42635821507474</v>
      </c>
      <c r="T147" s="59">
        <f t="shared" si="142"/>
        <v>299.04735309930152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214.18966983202131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214.18966983202131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474.99999999999994</v>
      </c>
      <c r="AJ147" s="13">
        <f>AI147*VLOOKUP('Données projet'!$B$10,Paramètres!$A$1:$I$89,3,0)*VLOOKUP('Données projet'!$B$10,Paramètres!$A$1:$I$89,5,0)</f>
        <v>407.55</v>
      </c>
      <c r="AK147" s="13">
        <f t="shared" si="143"/>
        <v>93.305642095357683</v>
      </c>
      <c r="AL147" s="20">
        <f t="shared" si="112"/>
        <v>872.32357664941446</v>
      </c>
      <c r="AM147" s="59">
        <f t="shared" si="113"/>
        <v>1158.2814460307072</v>
      </c>
      <c r="AN147" s="59">
        <f ca="1">AVERAGE(OFFSET($AM$3,0,0,'Données projet'!$E$10+1,1))-AVERAGE(OFFSET($H$3,0,0,'Données projet'!$E$10+1,1))</f>
        <v>569.97793593332699</v>
      </c>
      <c r="AO147" s="59">
        <f t="shared" si="144"/>
        <v>331.25104323342907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75.984934545384633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75.984934545384633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277.99999999999994</v>
      </c>
      <c r="BE147" s="13">
        <f>BD147*VLOOKUP('Données projet'!$B$11,Paramètres!$A$1:$I$89,3,0)*VLOOKUP('Données projet'!$B$11,Paramètres!$A$1:$I$89,5,0)</f>
        <v>151.78799999999998</v>
      </c>
      <c r="BF147" s="13">
        <f t="shared" si="145"/>
        <v>38.984634390835623</v>
      </c>
      <c r="BG147" s="20">
        <f t="shared" si="115"/>
        <v>332.26233823070532</v>
      </c>
      <c r="BH147" s="59">
        <f t="shared" si="116"/>
        <v>618.22020761199815</v>
      </c>
      <c r="BI147" s="59">
        <f ca="1">AVERAGE(OFFSET($BH$3,0,0,'Données projet'!$E$11+1,1))-AVERAGE(OFFSET($H$3,0,0,'Données projet'!$E$11+1,1))</f>
        <v>215.37314197175104</v>
      </c>
      <c r="BJ147" s="59">
        <f t="shared" si="146"/>
        <v>361.17630426655978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3.8392019266510502</v>
      </c>
      <c r="BQ147" s="21">
        <f>EXP(-LN(2)/25)*BQ146+(1-EXP(-LN(2)/25))/(LN(2)/25)*Calculateur!BL147*Calculateur!BN147*VLOOKUP('Données projet'!$B$11,Paramètres!$A$1:$I$89,3,0)*0.475*44/12</f>
        <v>4.0715710720863445</v>
      </c>
      <c r="BR147" s="21">
        <f>EXP(-LN(2)/2)*BR146+(1-EXP(-LN(2)/2))/(LN(2)/2)*BL147*BO147*VLOOKUP('Données projet'!$B$11,Paramètres!$A$1:$I$89,3,0)*0.475*44/12</f>
        <v>1.7594128632625144E-19</v>
      </c>
      <c r="BS147" s="22">
        <f t="shared" si="117"/>
        <v>7.9107729987373947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0.8600000000003547</v>
      </c>
      <c r="BZ147" s="13">
        <f>BY147*VLOOKUP('Données projet'!$B$12,Paramètres!$A$1:$I$89,3,0)*VLOOKUP('Données projet'!$B$12,Paramètres!$A$1:$I$89,5,0)</f>
        <v>0.48074000000019829</v>
      </c>
      <c r="CA147" s="13">
        <f t="shared" si="147"/>
        <v>0.24126147010950588</v>
      </c>
      <c r="CB147" s="20">
        <f t="shared" si="118"/>
        <v>1.2574858937744013</v>
      </c>
      <c r="CC147" s="59">
        <f t="shared" si="119"/>
        <v>287.21535527506728</v>
      </c>
      <c r="CD147" s="59">
        <f ca="1">AVERAGE(OFFSET($CC$3,0,0,'Données projet'!$E$12+1,1))-AVERAGE(OFFSET($H$3,0,0,'Données projet'!$E$12+1,1))</f>
        <v>420.4890915162182</v>
      </c>
      <c r="CE147" s="59">
        <f t="shared" si="148"/>
        <v>553.48432338023565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63.800081962347058</v>
      </c>
      <c r="CL147" s="21">
        <f>EXP(-LN(2)/25)*CL146+(1-EXP(-LN(2)/25))/(LN(2)/25)*Calculateur!CG147*Calculateur!CI147*VLOOKUP('Données projet'!$B$12,Paramètres!$A$1:$I$89,3,0)*0.475*44/12</f>
        <v>2.1439126817469281</v>
      </c>
      <c r="CM147" s="21">
        <f>EXP(-LN(2)/2)*CM146+(1-EXP(-LN(2)/2))/(LN(2)/2)*CG147*CJ147*VLOOKUP('Données projet'!$B$12,Paramètres!$A$1:$I$89,3,0)*0.475*44/12</f>
        <v>5.1342300484897583E-18</v>
      </c>
      <c r="CN147" s="22">
        <f t="shared" si="120"/>
        <v>65.943994644093991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367.99999999999972</v>
      </c>
      <c r="CU147" s="17">
        <f>CT147*VLOOKUP('Données projet'!$B$13,Paramètres!$A$1:$I$89,3,0)*VLOOKUP('Données projet'!$B$13,Paramètres!$A$1:$I$89,5,0)</f>
        <v>269.8175999999998</v>
      </c>
      <c r="CV147" s="13">
        <f t="shared" si="149"/>
        <v>64.810557882019467</v>
      </c>
      <c r="CW147" s="20">
        <f t="shared" si="121"/>
        <v>582.81070831118348</v>
      </c>
      <c r="CX147" s="59">
        <f t="shared" si="122"/>
        <v>868.76857769247636</v>
      </c>
      <c r="CY147" s="59">
        <f ca="1">AVERAGE(OFFSET($CX$3,0,0,'Données projet'!$E$13+1,1))-AVERAGE(OFFSET($H$3,0,0,'Données projet'!$E$13+1,1))</f>
        <v>400.48995908576177</v>
      </c>
      <c r="CZ147" s="59">
        <f t="shared" si="150"/>
        <v>384.86917865380076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12.974078933478447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12.974078933478447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367.99999999999972</v>
      </c>
      <c r="DP147" s="17">
        <f>DO147*VLOOKUP('Données projet'!$B$14,Paramètres!$A$1:$I$89,3,0)*VLOOKUP('Données projet'!$B$14,Paramètres!$A$1:$I$89,5,0)</f>
        <v>292.78079999999977</v>
      </c>
      <c r="DQ147" s="13">
        <f t="shared" si="151"/>
        <v>69.660903052386217</v>
      </c>
      <c r="DR147" s="20">
        <f t="shared" si="124"/>
        <v>631.25263281623893</v>
      </c>
      <c r="DS147" s="59">
        <f t="shared" si="125"/>
        <v>917.21050219753181</v>
      </c>
      <c r="DT147" s="59">
        <f ca="1">AVERAGE(OFFSET($DS$3,0,0,'Données projet'!$E$14+1,1))-AVERAGE(OFFSET($H$3,0,0,'Données projet'!$E$14+1,1))</f>
        <v>429.30603040255431</v>
      </c>
      <c r="DU147" s="59">
        <f t="shared" si="152"/>
        <v>412.18613903804726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17.352268855612181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17.352268855612181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210.25641025641013</v>
      </c>
      <c r="EK147" s="17">
        <f>EJ147*VLOOKUP('Données projet'!$B$15,Paramètres!$A$1:$I$89,3,0)*VLOOKUP('Données projet'!$B$15,Paramètres!$A$1:$I$89,5,0)</f>
        <v>163.99999999999991</v>
      </c>
      <c r="EL147" s="13">
        <f t="shared" si="153"/>
        <v>41.743425908362248</v>
      </c>
      <c r="EM147" s="20">
        <f t="shared" si="127"/>
        <v>358.33646679039742</v>
      </c>
      <c r="EN147" s="59">
        <f t="shared" si="128"/>
        <v>644.29433617169025</v>
      </c>
      <c r="EO147" s="59">
        <f ca="1">AVERAGE(OFFSET($EN$3,0,0,'Données projet'!$E$15+1,1))-AVERAGE(OFFSET($H$3,0,0,'Données projet'!$E$15+1,1))</f>
        <v>217.53602321474159</v>
      </c>
      <c r="EP147" s="59">
        <f t="shared" si="154"/>
        <v>215.75909414893025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7.3125860598807577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7.3125860598807577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19.8100000000004</v>
      </c>
      <c r="FF147" s="17">
        <f>FE147*VLOOKUP('Données projet'!$B$16,Paramètres!$A$1:$I$89,3,0)*VLOOKUP('Données projet'!$B$16,Paramètres!$A$1:$I$89,5,0)</f>
        <v>13.288548000000269</v>
      </c>
      <c r="FG147" s="13">
        <f t="shared" si="155"/>
        <v>4.531654695205642</v>
      </c>
      <c r="FH147" s="20">
        <f t="shared" si="130"/>
        <v>31.036853027483627</v>
      </c>
      <c r="FI147" s="59">
        <f t="shared" si="131"/>
        <v>316.99472240877651</v>
      </c>
      <c r="FJ147" s="59">
        <f ca="1">AVERAGE(OFFSET($FI$3,0,0,'Données projet'!$E$16+1,1))-AVERAGE(OFFSET($H$3,0,0,'Données projet'!$E$16+1,1))</f>
        <v>441.20130048888439</v>
      </c>
      <c r="FK147" s="59">
        <f t="shared" si="156"/>
        <v>237.47732532183946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195.7250431223643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195.7250431223643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204.00000000000017</v>
      </c>
      <c r="GA147" s="17">
        <f>FZ147*VLOOKUP('Données projet'!$B$17,Paramètres!$A$1:$I$89,3,0)*VLOOKUP('Données projet'!$B$17,Paramètres!$A$1:$I$89,5,0)</f>
        <v>133.66080000000011</v>
      </c>
      <c r="GB147" s="13">
        <f t="shared" si="157"/>
        <v>34.840890682716783</v>
      </c>
      <c r="GC147" s="20">
        <f t="shared" si="133"/>
        <v>293.4737779390652</v>
      </c>
      <c r="GD147" s="59">
        <f t="shared" si="134"/>
        <v>579.43164732035802</v>
      </c>
      <c r="GE147" s="59">
        <f ca="1">AVERAGE(OFFSET($GD$3,0,0,'Données projet'!$E$17+1,1))-AVERAGE(OFFSET($H$3,0,0,'Données projet'!$E$17+1,1))</f>
        <v>257.66104339896992</v>
      </c>
      <c r="GF147" s="59">
        <f t="shared" si="158"/>
        <v>254.79488636184996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13.526688986641867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13.526688986641867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234.00000000000003</v>
      </c>
      <c r="GV147" s="17">
        <f>GU147*VLOOKUP('Données projet'!$B$18,Paramètres!$A$1:$I$89,3,0)*VLOOKUP('Données projet'!$B$18,Paramètres!$A$1:$I$89,5,0)</f>
        <v>189.82080000000005</v>
      </c>
      <c r="GW147" s="13">
        <f t="shared" si="159"/>
        <v>47.500332100049796</v>
      </c>
      <c r="GX147" s="20">
        <f t="shared" si="136"/>
        <v>413.33430507425345</v>
      </c>
      <c r="GY147" s="59">
        <f t="shared" si="137"/>
        <v>699.29217445554627</v>
      </c>
      <c r="GZ147" s="59">
        <f ca="1">AVERAGE(OFFSET($GY$3,0,0,'Données projet'!$E$18+1,1))-AVERAGE(OFFSET($H$3,0,0,'Données projet'!$E$18+1,1))</f>
        <v>299.98377156721153</v>
      </c>
      <c r="HA147" s="59">
        <f t="shared" si="160"/>
        <v>241.36164657721102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13.032145609770723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13.032145609770723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19.8100000000004</v>
      </c>
      <c r="O148" s="13">
        <f>N148*VLOOKUP('Données projet'!$B$9,Paramètres!$A$1:$I$89,3,0)*VLOOKUP('Données projet'!$B$9,Paramètres!$A$1:$I$89,5,0)</f>
        <v>17.924088000000364</v>
      </c>
      <c r="P148" s="13">
        <f t="shared" si="141"/>
        <v>5.9032212091029486</v>
      </c>
      <c r="Q148" s="20">
        <f t="shared" si="108"/>
        <v>41.499230205854936</v>
      </c>
      <c r="R148" s="59">
        <f t="shared" si="109"/>
        <v>327.58504739764851</v>
      </c>
      <c r="S148" s="59">
        <f ca="1">AVERAGE(OFFSET($R$3,0,0,'Données projet'!$E$9+1,1))-AVERAGE(OFFSET($H$3,0,0,'Données projet'!$E$9+1,1))</f>
        <v>567.42635821507474</v>
      </c>
      <c r="T148" s="59">
        <f t="shared" si="142"/>
        <v>299.04735309930152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209.98954104941407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209.98954104941407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474.99999999999994</v>
      </c>
      <c r="AJ148" s="13">
        <f>AI148*VLOOKUP('Données projet'!$B$10,Paramètres!$A$1:$I$89,3,0)*VLOOKUP('Données projet'!$B$10,Paramètres!$A$1:$I$89,5,0)</f>
        <v>407.55</v>
      </c>
      <c r="AK148" s="13">
        <f t="shared" si="143"/>
        <v>93.305642095357683</v>
      </c>
      <c r="AL148" s="20">
        <f t="shared" si="112"/>
        <v>872.32357664941446</v>
      </c>
      <c r="AM148" s="59">
        <f t="shared" si="113"/>
        <v>1158.4093938412079</v>
      </c>
      <c r="AN148" s="59">
        <f ca="1">AVERAGE(OFFSET($AM$3,0,0,'Données projet'!$E$10+1,1))-AVERAGE(OFFSET($H$3,0,0,'Données projet'!$E$10+1,1))</f>
        <v>569.97793593332699</v>
      </c>
      <c r="AO148" s="59">
        <f t="shared" si="144"/>
        <v>331.25104323342907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74.494916325183397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74.494916325183397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277.99999999999994</v>
      </c>
      <c r="BE148" s="13">
        <f>BD148*VLOOKUP('Données projet'!$B$11,Paramètres!$A$1:$I$89,3,0)*VLOOKUP('Données projet'!$B$11,Paramètres!$A$1:$I$89,5,0)</f>
        <v>151.78799999999998</v>
      </c>
      <c r="BF148" s="13">
        <f t="shared" si="145"/>
        <v>38.984634390835623</v>
      </c>
      <c r="BG148" s="20">
        <f t="shared" si="115"/>
        <v>332.26233823070532</v>
      </c>
      <c r="BH148" s="59">
        <f t="shared" si="116"/>
        <v>618.34815542249885</v>
      </c>
      <c r="BI148" s="59">
        <f ca="1">AVERAGE(OFFSET($BH$3,0,0,'Données projet'!$E$11+1,1))-AVERAGE(OFFSET($H$3,0,0,'Données projet'!$E$11+1,1))</f>
        <v>215.37314197175104</v>
      </c>
      <c r="BJ148" s="59">
        <f t="shared" si="146"/>
        <v>361.17630426655978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3.7639175185513767</v>
      </c>
      <c r="BQ148" s="21">
        <f>EXP(-LN(2)/25)*BQ147+(1-EXP(-LN(2)/25))/(LN(2)/25)*Calculateur!BL148*Calculateur!BN148*VLOOKUP('Données projet'!$B$11,Paramètres!$A$1:$I$89,3,0)*0.475*44/12</f>
        <v>3.9602337470055264</v>
      </c>
      <c r="BR148" s="21">
        <f>EXP(-LN(2)/2)*BR147+(1-EXP(-LN(2)/2))/(LN(2)/2)*BL148*BO148*VLOOKUP('Données projet'!$B$11,Paramètres!$A$1:$I$89,3,0)*0.475*44/12</f>
        <v>1.2440927665197638E-19</v>
      </c>
      <c r="BS148" s="22">
        <f t="shared" si="117"/>
        <v>7.7241512655569036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0.8600000000003547</v>
      </c>
      <c r="BZ148" s="13">
        <f>BY148*VLOOKUP('Données projet'!$B$12,Paramètres!$A$1:$I$89,3,0)*VLOOKUP('Données projet'!$B$12,Paramètres!$A$1:$I$89,5,0)</f>
        <v>0.48074000000019829</v>
      </c>
      <c r="CA148" s="13">
        <f t="shared" si="147"/>
        <v>0.24126147010950588</v>
      </c>
      <c r="CB148" s="20">
        <f t="shared" si="118"/>
        <v>1.2574858937744013</v>
      </c>
      <c r="CC148" s="59">
        <f t="shared" si="119"/>
        <v>287.34330308556798</v>
      </c>
      <c r="CD148" s="59">
        <f ca="1">AVERAGE(OFFSET($CC$3,0,0,'Données projet'!$E$12+1,1))-AVERAGE(OFFSET($H$3,0,0,'Données projet'!$E$12+1,1))</f>
        <v>420.4890915162182</v>
      </c>
      <c r="CE148" s="59">
        <f t="shared" si="148"/>
        <v>553.48432338023565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62.549001269272971</v>
      </c>
      <c r="CL148" s="21">
        <f>EXP(-LN(2)/25)*CL147+(1-EXP(-LN(2)/25))/(LN(2)/25)*Calculateur!CG148*Calculateur!CI148*VLOOKUP('Données projet'!$B$12,Paramètres!$A$1:$I$89,3,0)*0.475*44/12</f>
        <v>2.0852872767210902</v>
      </c>
      <c r="CM148" s="21">
        <f>EXP(-LN(2)/2)*CM147+(1-EXP(-LN(2)/2))/(LN(2)/2)*CG148*CJ148*VLOOKUP('Données projet'!$B$12,Paramètres!$A$1:$I$89,3,0)*0.475*44/12</f>
        <v>3.6304488834588447E-18</v>
      </c>
      <c r="CN148" s="22">
        <f t="shared" si="120"/>
        <v>64.634288545994067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367.99999999999972</v>
      </c>
      <c r="CU148" s="17">
        <f>CT148*VLOOKUP('Données projet'!$B$13,Paramètres!$A$1:$I$89,3,0)*VLOOKUP('Données projet'!$B$13,Paramètres!$A$1:$I$89,5,0)</f>
        <v>269.8175999999998</v>
      </c>
      <c r="CV148" s="13">
        <f t="shared" si="149"/>
        <v>64.810557882019467</v>
      </c>
      <c r="CW148" s="20">
        <f t="shared" si="121"/>
        <v>582.81070831118348</v>
      </c>
      <c r="CX148" s="59">
        <f t="shared" si="122"/>
        <v>868.89652550297706</v>
      </c>
      <c r="CY148" s="59">
        <f ca="1">AVERAGE(OFFSET($CX$3,0,0,'Données projet'!$E$13+1,1))-AVERAGE(OFFSET($H$3,0,0,'Données projet'!$E$13+1,1))</f>
        <v>400.48995908576177</v>
      </c>
      <c r="CZ148" s="59">
        <f t="shared" si="150"/>
        <v>384.86917865380076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12.7196651589997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12.7196651589997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367.99999999999972</v>
      </c>
      <c r="DP148" s="17">
        <f>DO148*VLOOKUP('Données projet'!$B$14,Paramètres!$A$1:$I$89,3,0)*VLOOKUP('Données projet'!$B$14,Paramètres!$A$1:$I$89,5,0)</f>
        <v>292.78079999999977</v>
      </c>
      <c r="DQ148" s="13">
        <f t="shared" si="151"/>
        <v>69.660903052386217</v>
      </c>
      <c r="DR148" s="20">
        <f t="shared" si="124"/>
        <v>631.25263281623893</v>
      </c>
      <c r="DS148" s="59">
        <f t="shared" si="125"/>
        <v>917.33845000803251</v>
      </c>
      <c r="DT148" s="59">
        <f ca="1">AVERAGE(OFFSET($DS$3,0,0,'Données projet'!$E$14+1,1))-AVERAGE(OFFSET($H$3,0,0,'Données projet'!$E$14+1,1))</f>
        <v>429.30603040255431</v>
      </c>
      <c r="DU148" s="59">
        <f t="shared" si="152"/>
        <v>412.18613903804726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17.01200144719256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17.01200144719256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210.25641025641013</v>
      </c>
      <c r="EK148" s="17">
        <f>EJ148*VLOOKUP('Données projet'!$B$15,Paramètres!$A$1:$I$89,3,0)*VLOOKUP('Données projet'!$B$15,Paramètres!$A$1:$I$89,5,0)</f>
        <v>163.99999999999991</v>
      </c>
      <c r="EL148" s="13">
        <f t="shared" si="153"/>
        <v>41.743425908362248</v>
      </c>
      <c r="EM148" s="20">
        <f t="shared" si="127"/>
        <v>358.33646679039742</v>
      </c>
      <c r="EN148" s="59">
        <f t="shared" si="128"/>
        <v>644.42228398219095</v>
      </c>
      <c r="EO148" s="59">
        <f ca="1">AVERAGE(OFFSET($EN$3,0,0,'Données projet'!$E$15+1,1))-AVERAGE(OFFSET($H$3,0,0,'Données projet'!$E$15+1,1))</f>
        <v>217.53602321474159</v>
      </c>
      <c r="EP148" s="59">
        <f t="shared" si="154"/>
        <v>215.75909414893025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7.1691907074835806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7.1691907074835806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19.8100000000004</v>
      </c>
      <c r="FF148" s="17">
        <f>FE148*VLOOKUP('Données projet'!$B$16,Paramètres!$A$1:$I$89,3,0)*VLOOKUP('Données projet'!$B$16,Paramètres!$A$1:$I$89,5,0)</f>
        <v>13.288548000000269</v>
      </c>
      <c r="FG148" s="13">
        <f t="shared" si="155"/>
        <v>4.531654695205642</v>
      </c>
      <c r="FH148" s="20">
        <f t="shared" si="130"/>
        <v>31.036853027483627</v>
      </c>
      <c r="FI148" s="59">
        <f t="shared" si="131"/>
        <v>317.12267021927721</v>
      </c>
      <c r="FJ148" s="59">
        <f ca="1">AVERAGE(OFFSET($FI$3,0,0,'Données projet'!$E$16+1,1))-AVERAGE(OFFSET($H$3,0,0,'Données projet'!$E$16+1,1))</f>
        <v>441.20130048888439</v>
      </c>
      <c r="FK148" s="59">
        <f t="shared" si="156"/>
        <v>237.47732532183946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191.8869944072232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191.8869944072232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204.00000000000017</v>
      </c>
      <c r="GA148" s="17">
        <f>FZ148*VLOOKUP('Données projet'!$B$17,Paramètres!$A$1:$I$89,3,0)*VLOOKUP('Données projet'!$B$17,Paramètres!$A$1:$I$89,5,0)</f>
        <v>133.66080000000011</v>
      </c>
      <c r="GB148" s="13">
        <f t="shared" si="157"/>
        <v>34.840890682716783</v>
      </c>
      <c r="GC148" s="20">
        <f t="shared" si="133"/>
        <v>293.4737779390652</v>
      </c>
      <c r="GD148" s="59">
        <f t="shared" si="134"/>
        <v>579.55959513085872</v>
      </c>
      <c r="GE148" s="59">
        <f ca="1">AVERAGE(OFFSET($GD$3,0,0,'Données projet'!$E$17+1,1))-AVERAGE(OFFSET($H$3,0,0,'Données projet'!$E$17+1,1))</f>
        <v>257.66104339896992</v>
      </c>
      <c r="GF148" s="59">
        <f t="shared" si="158"/>
        <v>254.79488636184996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13.261438866079436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13.261438866079436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234.00000000000003</v>
      </c>
      <c r="GV148" s="17">
        <f>GU148*VLOOKUP('Données projet'!$B$18,Paramètres!$A$1:$I$89,3,0)*VLOOKUP('Données projet'!$B$18,Paramètres!$A$1:$I$89,5,0)</f>
        <v>189.82080000000005</v>
      </c>
      <c r="GW148" s="13">
        <f t="shared" si="159"/>
        <v>47.500332100049796</v>
      </c>
      <c r="GX148" s="20">
        <f t="shared" si="136"/>
        <v>413.33430507425345</v>
      </c>
      <c r="GY148" s="59">
        <f t="shared" si="137"/>
        <v>699.42012226604697</v>
      </c>
      <c r="GZ148" s="59">
        <f ca="1">AVERAGE(OFFSET($GY$3,0,0,'Données projet'!$E$18+1,1))-AVERAGE(OFFSET($H$3,0,0,'Données projet'!$E$18+1,1))</f>
        <v>299.98377156721153</v>
      </c>
      <c r="HA148" s="59">
        <f t="shared" si="160"/>
        <v>241.36164657721102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12.77659318318706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12.77659318318706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19.8100000000004</v>
      </c>
      <c r="O149" s="13">
        <f>N149*VLOOKUP('Données projet'!$B$9,Paramètres!$A$1:$I$89,3,0)*VLOOKUP('Données projet'!$B$9,Paramètres!$A$1:$I$89,5,0)</f>
        <v>17.924088000000364</v>
      </c>
      <c r="P149" s="13">
        <f t="shared" si="141"/>
        <v>5.9032212091029486</v>
      </c>
      <c r="Q149" s="20">
        <f t="shared" si="108"/>
        <v>41.499230205854936</v>
      </c>
      <c r="R149" s="59">
        <f t="shared" si="109"/>
        <v>327.71077559968558</v>
      </c>
      <c r="S149" s="59">
        <f ca="1">AVERAGE(OFFSET($R$3,0,0,'Données projet'!$E$9+1,1))-AVERAGE(OFFSET($H$3,0,0,'Données projet'!$E$9+1,1))</f>
        <v>567.42635821507474</v>
      </c>
      <c r="T149" s="59">
        <f t="shared" si="142"/>
        <v>299.04735309930152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205.87177423040816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205.87177423040816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474.99999999999994</v>
      </c>
      <c r="AJ149" s="13">
        <f>AI149*VLOOKUP('Données projet'!$B$10,Paramètres!$A$1:$I$89,3,0)*VLOOKUP('Données projet'!$B$10,Paramètres!$A$1:$I$89,5,0)</f>
        <v>407.55</v>
      </c>
      <c r="AK149" s="13">
        <f t="shared" si="143"/>
        <v>93.305642095357683</v>
      </c>
      <c r="AL149" s="20">
        <f t="shared" si="112"/>
        <v>872.32357664941446</v>
      </c>
      <c r="AM149" s="59">
        <f t="shared" si="113"/>
        <v>1158.5351220432451</v>
      </c>
      <c r="AN149" s="59">
        <f ca="1">AVERAGE(OFFSET($AM$3,0,0,'Données projet'!$E$10+1,1))-AVERAGE(OFFSET($H$3,0,0,'Données projet'!$E$10+1,1))</f>
        <v>569.97793593332699</v>
      </c>
      <c r="AO149" s="59">
        <f t="shared" si="144"/>
        <v>331.25104323342907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73.034116453458935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73.034116453458935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277.99999999999994</v>
      </c>
      <c r="BE149" s="13">
        <f>BD149*VLOOKUP('Données projet'!$B$11,Paramètres!$A$1:$I$89,3,0)*VLOOKUP('Données projet'!$B$11,Paramètres!$A$1:$I$89,5,0)</f>
        <v>151.78799999999998</v>
      </c>
      <c r="BF149" s="13">
        <f t="shared" si="145"/>
        <v>38.984634390835623</v>
      </c>
      <c r="BG149" s="20">
        <f t="shared" si="115"/>
        <v>332.26233823070532</v>
      </c>
      <c r="BH149" s="59">
        <f t="shared" si="116"/>
        <v>618.47388362453603</v>
      </c>
      <c r="BI149" s="59">
        <f ca="1">AVERAGE(OFFSET($BH$3,0,0,'Données projet'!$E$11+1,1))-AVERAGE(OFFSET($H$3,0,0,'Données projet'!$E$11+1,1))</f>
        <v>215.37314197175104</v>
      </c>
      <c r="BJ149" s="59">
        <f t="shared" si="146"/>
        <v>361.17630426655978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3.6901093917755827</v>
      </c>
      <c r="BQ149" s="21">
        <f>EXP(-LN(2)/25)*BQ148+(1-EXP(-LN(2)/25))/(LN(2)/25)*Calculateur!BL149*Calculateur!BN149*VLOOKUP('Données projet'!$B$11,Paramètres!$A$1:$I$89,3,0)*0.475*44/12</f>
        <v>3.8519409469340187</v>
      </c>
      <c r="BR149" s="21">
        <f>EXP(-LN(2)/2)*BR148+(1-EXP(-LN(2)/2))/(LN(2)/2)*BL149*BO149*VLOOKUP('Données projet'!$B$11,Paramètres!$A$1:$I$89,3,0)*0.475*44/12</f>
        <v>8.7970643163125722E-20</v>
      </c>
      <c r="BS149" s="22">
        <f t="shared" si="117"/>
        <v>7.5420503387096014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0.8600000000003547</v>
      </c>
      <c r="BZ149" s="13">
        <f>BY149*VLOOKUP('Données projet'!$B$12,Paramètres!$A$1:$I$89,3,0)*VLOOKUP('Données projet'!$B$12,Paramètres!$A$1:$I$89,5,0)</f>
        <v>0.48074000000019829</v>
      </c>
      <c r="CA149" s="13">
        <f t="shared" si="147"/>
        <v>0.24126147010950588</v>
      </c>
      <c r="CB149" s="20">
        <f t="shared" si="118"/>
        <v>1.2574858937744013</v>
      </c>
      <c r="CC149" s="59">
        <f t="shared" si="119"/>
        <v>287.46903128760505</v>
      </c>
      <c r="CD149" s="59">
        <f ca="1">AVERAGE(OFFSET($CC$3,0,0,'Données projet'!$E$12+1,1))-AVERAGE(OFFSET($H$3,0,0,'Données projet'!$E$12+1,1))</f>
        <v>420.4890915162182</v>
      </c>
      <c r="CE149" s="59">
        <f t="shared" si="148"/>
        <v>553.48432338023565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61.322453505506189</v>
      </c>
      <c r="CL149" s="21">
        <f>EXP(-LN(2)/25)*CL148+(1-EXP(-LN(2)/25))/(LN(2)/25)*Calculateur!CG149*Calculateur!CI149*VLOOKUP('Données projet'!$B$12,Paramètres!$A$1:$I$89,3,0)*0.475*44/12</f>
        <v>2.0282649864786602</v>
      </c>
      <c r="CM149" s="21">
        <f>EXP(-LN(2)/2)*CM148+(1-EXP(-LN(2)/2))/(LN(2)/2)*CG149*CJ149*VLOOKUP('Données projet'!$B$12,Paramètres!$A$1:$I$89,3,0)*0.475*44/12</f>
        <v>2.5671150242448792E-18</v>
      </c>
      <c r="CN149" s="22">
        <f t="shared" si="120"/>
        <v>63.35071849198485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367.99999999999972</v>
      </c>
      <c r="CU149" s="17">
        <f>CT149*VLOOKUP('Données projet'!$B$13,Paramètres!$A$1:$I$89,3,0)*VLOOKUP('Données projet'!$B$13,Paramètres!$A$1:$I$89,5,0)</f>
        <v>269.8175999999998</v>
      </c>
      <c r="CV149" s="13">
        <f t="shared" si="149"/>
        <v>64.810557882019467</v>
      </c>
      <c r="CW149" s="20">
        <f t="shared" si="121"/>
        <v>582.81070831118348</v>
      </c>
      <c r="CX149" s="59">
        <f t="shared" si="122"/>
        <v>869.02225370501412</v>
      </c>
      <c r="CY149" s="59">
        <f ca="1">AVERAGE(OFFSET($CX$3,0,0,'Données projet'!$E$13+1,1))-AVERAGE(OFFSET($H$3,0,0,'Données projet'!$E$13+1,1))</f>
        <v>400.48995908576177</v>
      </c>
      <c r="CZ149" s="59">
        <f t="shared" si="150"/>
        <v>384.86917865380076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12.470240283461401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12.470240283461401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367.99999999999972</v>
      </c>
      <c r="DP149" s="17">
        <f>DO149*VLOOKUP('Données projet'!$B$14,Paramètres!$A$1:$I$89,3,0)*VLOOKUP('Données projet'!$B$14,Paramètres!$A$1:$I$89,5,0)</f>
        <v>292.78079999999977</v>
      </c>
      <c r="DQ149" s="13">
        <f t="shared" si="151"/>
        <v>69.660903052386217</v>
      </c>
      <c r="DR149" s="20">
        <f t="shared" si="124"/>
        <v>631.25263281623893</v>
      </c>
      <c r="DS149" s="59">
        <f t="shared" si="125"/>
        <v>917.46417821006958</v>
      </c>
      <c r="DT149" s="59">
        <f ca="1">AVERAGE(OFFSET($DS$3,0,0,'Données projet'!$E$14+1,1))-AVERAGE(OFFSET($H$3,0,0,'Données projet'!$E$14+1,1))</f>
        <v>429.30603040255431</v>
      </c>
      <c r="DU149" s="59">
        <f t="shared" si="152"/>
        <v>412.18613903804726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16.678406475109423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16.678406475109423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210.25641025641013</v>
      </c>
      <c r="EK149" s="17">
        <f>EJ149*VLOOKUP('Données projet'!$B$15,Paramètres!$A$1:$I$89,3,0)*VLOOKUP('Données projet'!$B$15,Paramètres!$A$1:$I$89,5,0)</f>
        <v>163.99999999999991</v>
      </c>
      <c r="EL149" s="13">
        <f t="shared" si="153"/>
        <v>41.743425908362248</v>
      </c>
      <c r="EM149" s="20">
        <f t="shared" si="127"/>
        <v>358.33646679039742</v>
      </c>
      <c r="EN149" s="59">
        <f t="shared" si="128"/>
        <v>644.54801218422813</v>
      </c>
      <c r="EO149" s="59">
        <f ca="1">AVERAGE(OFFSET($EN$3,0,0,'Données projet'!$E$15+1,1))-AVERAGE(OFFSET($H$3,0,0,'Données projet'!$E$15+1,1))</f>
        <v>217.53602321474159</v>
      </c>
      <c r="EP149" s="59">
        <f t="shared" si="154"/>
        <v>215.75909414893025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7.0286072504843835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7.0286072504843835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19.8100000000004</v>
      </c>
      <c r="FF149" s="17">
        <f>FE149*VLOOKUP('Données projet'!$B$16,Paramètres!$A$1:$I$89,3,0)*VLOOKUP('Données projet'!$B$16,Paramètres!$A$1:$I$89,5,0)</f>
        <v>13.288548000000269</v>
      </c>
      <c r="FG149" s="13">
        <f t="shared" si="155"/>
        <v>4.531654695205642</v>
      </c>
      <c r="FH149" s="20">
        <f t="shared" si="130"/>
        <v>31.036853027483627</v>
      </c>
      <c r="FI149" s="59">
        <f t="shared" si="131"/>
        <v>317.24839842131428</v>
      </c>
      <c r="FJ149" s="59">
        <f ca="1">AVERAGE(OFFSET($FI$3,0,0,'Données projet'!$E$16+1,1))-AVERAGE(OFFSET($H$3,0,0,'Données projet'!$E$16+1,1))</f>
        <v>441.20130048888439</v>
      </c>
      <c r="FK149" s="59">
        <f t="shared" si="156"/>
        <v>237.47732532183946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188.12420748640744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188.12420748640744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204.00000000000017</v>
      </c>
      <c r="GA149" s="17">
        <f>FZ149*VLOOKUP('Données projet'!$B$17,Paramètres!$A$1:$I$89,3,0)*VLOOKUP('Données projet'!$B$17,Paramètres!$A$1:$I$89,5,0)</f>
        <v>133.66080000000011</v>
      </c>
      <c r="GB149" s="13">
        <f t="shared" si="157"/>
        <v>34.840890682716783</v>
      </c>
      <c r="GC149" s="20">
        <f t="shared" si="133"/>
        <v>293.4737779390652</v>
      </c>
      <c r="GD149" s="59">
        <f t="shared" si="134"/>
        <v>579.6853233328959</v>
      </c>
      <c r="GE149" s="59">
        <f ca="1">AVERAGE(OFFSET($GD$3,0,0,'Données projet'!$E$17+1,1))-AVERAGE(OFFSET($H$3,0,0,'Données projet'!$E$17+1,1))</f>
        <v>257.66104339896992</v>
      </c>
      <c r="GF149" s="59">
        <f t="shared" si="158"/>
        <v>254.79488636184996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13.001390138594635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13.001390138594635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234.00000000000003</v>
      </c>
      <c r="GV149" s="17">
        <f>GU149*VLOOKUP('Données projet'!$B$18,Paramètres!$A$1:$I$89,3,0)*VLOOKUP('Données projet'!$B$18,Paramètres!$A$1:$I$89,5,0)</f>
        <v>189.82080000000005</v>
      </c>
      <c r="GW149" s="13">
        <f t="shared" si="159"/>
        <v>47.500332100049796</v>
      </c>
      <c r="GX149" s="20">
        <f t="shared" si="136"/>
        <v>413.33430507425345</v>
      </c>
      <c r="GY149" s="59">
        <f t="shared" si="137"/>
        <v>699.54585046808415</v>
      </c>
      <c r="GZ149" s="59">
        <f ca="1">AVERAGE(OFFSET($GY$3,0,0,'Données projet'!$E$18+1,1))-AVERAGE(OFFSET($H$3,0,0,'Données projet'!$E$18+1,1))</f>
        <v>299.98377156721153</v>
      </c>
      <c r="HA149" s="59">
        <f t="shared" si="160"/>
        <v>241.36164657721102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12.526051983817114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12.526051983817114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19.8100000000004</v>
      </c>
      <c r="O150" s="13">
        <f>N150*VLOOKUP('Données projet'!$B$9,Paramètres!$A$1:$I$89,3,0)*VLOOKUP('Données projet'!$B$9,Paramètres!$A$1:$I$89,5,0)</f>
        <v>17.924088000000364</v>
      </c>
      <c r="P150" s="13">
        <f t="shared" si="141"/>
        <v>5.9032212091029486</v>
      </c>
      <c r="Q150" s="20">
        <f t="shared" si="108"/>
        <v>41.499230205854936</v>
      </c>
      <c r="R150" s="59">
        <f t="shared" si="109"/>
        <v>327.83432269850334</v>
      </c>
      <c r="S150" s="59">
        <f ca="1">AVERAGE(OFFSET($R$3,0,0,'Données projet'!$E$9+1,1))-AVERAGE(OFFSET($H$3,0,0,'Données projet'!$E$9+1,1))</f>
        <v>567.42635821507474</v>
      </c>
      <c r="T150" s="59">
        <f t="shared" si="142"/>
        <v>299.04735309930152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201.83475430713318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201.83475430713318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474.99999999999994</v>
      </c>
      <c r="AJ150" s="13">
        <f>AI150*VLOOKUP('Données projet'!$B$10,Paramètres!$A$1:$I$89,3,0)*VLOOKUP('Données projet'!$B$10,Paramètres!$A$1:$I$89,5,0)</f>
        <v>407.55</v>
      </c>
      <c r="AK150" s="13">
        <f t="shared" si="143"/>
        <v>93.305642095357683</v>
      </c>
      <c r="AL150" s="20">
        <f t="shared" si="112"/>
        <v>872.32357664941446</v>
      </c>
      <c r="AM150" s="59">
        <f t="shared" si="113"/>
        <v>1158.658669142063</v>
      </c>
      <c r="AN150" s="59">
        <f ca="1">AVERAGE(OFFSET($AM$3,0,0,'Données projet'!$E$10+1,1))-AVERAGE(OFFSET($H$3,0,0,'Données projet'!$E$10+1,1))</f>
        <v>569.97793593332699</v>
      </c>
      <c r="AO150" s="59">
        <f t="shared" si="144"/>
        <v>331.25104323342907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71.601961976219044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71.601961976219044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277.99999999999994</v>
      </c>
      <c r="BE150" s="13">
        <f>BD150*VLOOKUP('Données projet'!$B$11,Paramètres!$A$1:$I$89,3,0)*VLOOKUP('Données projet'!$B$11,Paramètres!$A$1:$I$89,5,0)</f>
        <v>151.78799999999998</v>
      </c>
      <c r="BF150" s="13">
        <f t="shared" si="145"/>
        <v>38.984634390835623</v>
      </c>
      <c r="BG150" s="20">
        <f t="shared" si="115"/>
        <v>332.26233823070532</v>
      </c>
      <c r="BH150" s="59">
        <f t="shared" si="116"/>
        <v>618.59743072335368</v>
      </c>
      <c r="BI150" s="59">
        <f ca="1">AVERAGE(OFFSET($BH$3,0,0,'Données projet'!$E$11+1,1))-AVERAGE(OFFSET($H$3,0,0,'Données projet'!$E$11+1,1))</f>
        <v>215.37314197175104</v>
      </c>
      <c r="BJ150" s="59">
        <f t="shared" si="146"/>
        <v>361.17630426655978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3.61774859734735</v>
      </c>
      <c r="BQ150" s="21">
        <f>EXP(-LN(2)/25)*BQ149+(1-EXP(-LN(2)/25))/(LN(2)/25)*Calculateur!BL150*Calculateur!BN150*VLOOKUP('Données projet'!$B$11,Paramètres!$A$1:$I$89,3,0)*0.475*44/12</f>
        <v>3.7466094191753374</v>
      </c>
      <c r="BR150" s="21">
        <f>EXP(-LN(2)/2)*BR149+(1-EXP(-LN(2)/2))/(LN(2)/2)*BL150*BO150*VLOOKUP('Données projet'!$B$11,Paramètres!$A$1:$I$89,3,0)*0.475*44/12</f>
        <v>6.2204638325988191E-20</v>
      </c>
      <c r="BS150" s="22">
        <f t="shared" si="117"/>
        <v>7.3643580165226874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0.8600000000003547</v>
      </c>
      <c r="BZ150" s="13">
        <f>BY150*VLOOKUP('Données projet'!$B$12,Paramètres!$A$1:$I$89,3,0)*VLOOKUP('Données projet'!$B$12,Paramètres!$A$1:$I$89,5,0)</f>
        <v>0.48074000000019829</v>
      </c>
      <c r="CA150" s="13">
        <f t="shared" si="147"/>
        <v>0.24126147010950588</v>
      </c>
      <c r="CB150" s="20">
        <f t="shared" si="118"/>
        <v>1.2574858937744013</v>
      </c>
      <c r="CC150" s="59">
        <f t="shared" si="119"/>
        <v>287.59257838642282</v>
      </c>
      <c r="CD150" s="59">
        <f ca="1">AVERAGE(OFFSET($CC$3,0,0,'Données projet'!$E$12+1,1))-AVERAGE(OFFSET($H$3,0,0,'Données projet'!$E$12+1,1))</f>
        <v>420.4890915162182</v>
      </c>
      <c r="CE150" s="59">
        <f t="shared" si="148"/>
        <v>553.48432338023565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60.119957595266612</v>
      </c>
      <c r="CL150" s="21">
        <f>EXP(-LN(2)/25)*CL149+(1-EXP(-LN(2)/25))/(LN(2)/25)*Calculateur!CG150*Calculateur!CI150*VLOOKUP('Données projet'!$B$12,Paramètres!$A$1:$I$89,3,0)*0.475*44/12</f>
        <v>1.9728019737615812</v>
      </c>
      <c r="CM150" s="21">
        <f>EXP(-LN(2)/2)*CM149+(1-EXP(-LN(2)/2))/(LN(2)/2)*CG150*CJ150*VLOOKUP('Données projet'!$B$12,Paramètres!$A$1:$I$89,3,0)*0.475*44/12</f>
        <v>1.8152244417294224E-18</v>
      </c>
      <c r="CN150" s="22">
        <f t="shared" si="120"/>
        <v>62.092759569028196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367.99999999999972</v>
      </c>
      <c r="CU150" s="17">
        <f>CT150*VLOOKUP('Données projet'!$B$13,Paramètres!$A$1:$I$89,3,0)*VLOOKUP('Données projet'!$B$13,Paramètres!$A$1:$I$89,5,0)</f>
        <v>269.8175999999998</v>
      </c>
      <c r="CV150" s="13">
        <f t="shared" si="149"/>
        <v>64.810557882019467</v>
      </c>
      <c r="CW150" s="20">
        <f t="shared" si="121"/>
        <v>582.81070831118348</v>
      </c>
      <c r="CX150" s="59">
        <f t="shared" si="122"/>
        <v>869.14580080383189</v>
      </c>
      <c r="CY150" s="59">
        <f ca="1">AVERAGE(OFFSET($CX$3,0,0,'Données projet'!$E$13+1,1))-AVERAGE(OFFSET($H$3,0,0,'Données projet'!$E$13+1,1))</f>
        <v>400.48995908576177</v>
      </c>
      <c r="CZ150" s="59">
        <f t="shared" si="150"/>
        <v>384.86917865380076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12.225706477598257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12.225706477598257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367.99999999999972</v>
      </c>
      <c r="DP150" s="17">
        <f>DO150*VLOOKUP('Données projet'!$B$14,Paramètres!$A$1:$I$89,3,0)*VLOOKUP('Données projet'!$B$14,Paramètres!$A$1:$I$89,5,0)</f>
        <v>292.78079999999977</v>
      </c>
      <c r="DQ150" s="13">
        <f t="shared" si="151"/>
        <v>69.660903052386217</v>
      </c>
      <c r="DR150" s="20">
        <f t="shared" si="124"/>
        <v>631.25263281623893</v>
      </c>
      <c r="DS150" s="59">
        <f t="shared" si="125"/>
        <v>917.58772530888734</v>
      </c>
      <c r="DT150" s="59">
        <f ca="1">AVERAGE(OFFSET($DS$3,0,0,'Données projet'!$E$14+1,1))-AVERAGE(OFFSET($H$3,0,0,'Données projet'!$E$14+1,1))</f>
        <v>429.30603040255431</v>
      </c>
      <c r="DU150" s="59">
        <f t="shared" si="152"/>
        <v>412.18613903804726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16.351353096955993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16.351353096955993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210.25641025641013</v>
      </c>
      <c r="EK150" s="17">
        <f>EJ150*VLOOKUP('Données projet'!$B$15,Paramètres!$A$1:$I$89,3,0)*VLOOKUP('Données projet'!$B$15,Paramètres!$A$1:$I$89,5,0)</f>
        <v>163.99999999999991</v>
      </c>
      <c r="EL150" s="13">
        <f t="shared" si="153"/>
        <v>41.743425908362248</v>
      </c>
      <c r="EM150" s="20">
        <f t="shared" si="127"/>
        <v>358.33646679039742</v>
      </c>
      <c r="EN150" s="59">
        <f t="shared" si="128"/>
        <v>644.67155928304578</v>
      </c>
      <c r="EO150" s="59">
        <f ca="1">AVERAGE(OFFSET($EN$3,0,0,'Données projet'!$E$15+1,1))-AVERAGE(OFFSET($H$3,0,0,'Données projet'!$E$15+1,1))</f>
        <v>217.53602321474159</v>
      </c>
      <c r="EP150" s="59">
        <f t="shared" si="154"/>
        <v>215.75909414893025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6.8907805493294987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6.8907805493294987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19.8100000000004</v>
      </c>
      <c r="FF150" s="17">
        <f>FE150*VLOOKUP('Données projet'!$B$16,Paramètres!$A$1:$I$89,3,0)*VLOOKUP('Données projet'!$B$16,Paramètres!$A$1:$I$89,5,0)</f>
        <v>13.288548000000269</v>
      </c>
      <c r="FG150" s="13">
        <f t="shared" si="155"/>
        <v>4.531654695205642</v>
      </c>
      <c r="FH150" s="20">
        <f t="shared" si="130"/>
        <v>31.036853027483627</v>
      </c>
      <c r="FI150" s="59">
        <f t="shared" si="131"/>
        <v>317.37194552013204</v>
      </c>
      <c r="FJ150" s="59">
        <f ca="1">AVERAGE(OFFSET($FI$3,0,0,'Données projet'!$E$16+1,1))-AVERAGE(OFFSET($H$3,0,0,'Données projet'!$E$16+1,1))</f>
        <v>441.20130048888439</v>
      </c>
      <c r="FK150" s="59">
        <f t="shared" si="156"/>
        <v>237.47732532183946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184.43520652203549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184.43520652203549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204.00000000000017</v>
      </c>
      <c r="GA150" s="17">
        <f>FZ150*VLOOKUP('Données projet'!$B$17,Paramètres!$A$1:$I$89,3,0)*VLOOKUP('Données projet'!$B$17,Paramètres!$A$1:$I$89,5,0)</f>
        <v>133.66080000000011</v>
      </c>
      <c r="GB150" s="13">
        <f t="shared" si="157"/>
        <v>34.840890682716783</v>
      </c>
      <c r="GC150" s="20">
        <f t="shared" si="133"/>
        <v>293.4737779390652</v>
      </c>
      <c r="GD150" s="59">
        <f t="shared" si="134"/>
        <v>579.80887043171356</v>
      </c>
      <c r="GE150" s="59">
        <f ca="1">AVERAGE(OFFSET($GD$3,0,0,'Données projet'!$E$17+1,1))-AVERAGE(OFFSET($H$3,0,0,'Données projet'!$E$17+1,1))</f>
        <v>257.66104339896992</v>
      </c>
      <c r="GF150" s="59">
        <f t="shared" si="158"/>
        <v>254.79488636184996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12.746440808041751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12.746440808041751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234.00000000000003</v>
      </c>
      <c r="GV150" s="17">
        <f>GU150*VLOOKUP('Données projet'!$B$18,Paramètres!$A$1:$I$89,3,0)*VLOOKUP('Données projet'!$B$18,Paramètres!$A$1:$I$89,5,0)</f>
        <v>189.82080000000005</v>
      </c>
      <c r="GW150" s="13">
        <f t="shared" si="159"/>
        <v>47.500332100049796</v>
      </c>
      <c r="GX150" s="20">
        <f t="shared" si="136"/>
        <v>413.33430507425345</v>
      </c>
      <c r="GY150" s="59">
        <f t="shared" si="137"/>
        <v>699.66939756690181</v>
      </c>
      <c r="GZ150" s="59">
        <f ca="1">AVERAGE(OFFSET($GY$3,0,0,'Données projet'!$E$18+1,1))-AVERAGE(OFFSET($H$3,0,0,'Données projet'!$E$18+1,1))</f>
        <v>299.98377156721153</v>
      </c>
      <c r="HA150" s="59">
        <f t="shared" si="160"/>
        <v>241.36164657721102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12.28042374455177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12.28042374455177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19.8100000000004</v>
      </c>
      <c r="O151" s="13">
        <f>N151*VLOOKUP('Données projet'!$B$9,Paramètres!$A$1:$I$89,3,0)*VLOOKUP('Données projet'!$B$9,Paramètres!$A$1:$I$89,5,0)</f>
        <v>17.924088000000364</v>
      </c>
      <c r="P151" s="13">
        <f t="shared" si="141"/>
        <v>5.9032212091029486</v>
      </c>
      <c r="Q151" s="20">
        <f t="shared" si="108"/>
        <v>41.499230205854936</v>
      </c>
      <c r="R151" s="59">
        <f t="shared" si="109"/>
        <v>327.95572653136662</v>
      </c>
      <c r="S151" s="59">
        <f ca="1">AVERAGE(OFFSET($R$3,0,0,'Données projet'!$E$9+1,1))-AVERAGE(OFFSET($H$3,0,0,'Données projet'!$E$9+1,1))</f>
        <v>567.42635821507474</v>
      </c>
      <c r="T151" s="59">
        <f t="shared" si="142"/>
        <v>299.04735309930152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197.87689788221462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197.87689788221462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474.99999999999994</v>
      </c>
      <c r="AJ151" s="13">
        <f>AI151*VLOOKUP('Données projet'!$B$10,Paramètres!$A$1:$I$89,3,0)*VLOOKUP('Données projet'!$B$10,Paramètres!$A$1:$I$89,5,0)</f>
        <v>407.55</v>
      </c>
      <c r="AK151" s="13">
        <f t="shared" si="143"/>
        <v>93.305642095357683</v>
      </c>
      <c r="AL151" s="20">
        <f t="shared" si="112"/>
        <v>872.32357664941446</v>
      </c>
      <c r="AM151" s="59">
        <f t="shared" si="113"/>
        <v>1158.780072974926</v>
      </c>
      <c r="AN151" s="59">
        <f ca="1">AVERAGE(OFFSET($AM$3,0,0,'Données projet'!$E$10+1,1))-AVERAGE(OFFSET($H$3,0,0,'Données projet'!$E$10+1,1))</f>
        <v>569.97793593332699</v>
      </c>
      <c r="AO151" s="59">
        <f t="shared" si="144"/>
        <v>331.25104323342907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70.197891174749856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70.197891174749856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277.99999999999994</v>
      </c>
      <c r="BE151" s="13">
        <f>BD151*VLOOKUP('Données projet'!$B$11,Paramètres!$A$1:$I$89,3,0)*VLOOKUP('Données projet'!$B$11,Paramètres!$A$1:$I$89,5,0)</f>
        <v>151.78799999999998</v>
      </c>
      <c r="BF151" s="13">
        <f t="shared" si="145"/>
        <v>38.984634390835623</v>
      </c>
      <c r="BG151" s="20">
        <f t="shared" si="115"/>
        <v>332.26233823070532</v>
      </c>
      <c r="BH151" s="59">
        <f t="shared" si="116"/>
        <v>618.71883455621696</v>
      </c>
      <c r="BI151" s="59">
        <f ca="1">AVERAGE(OFFSET($BH$3,0,0,'Données projet'!$E$11+1,1))-AVERAGE(OFFSET($H$3,0,0,'Données projet'!$E$11+1,1))</f>
        <v>215.37314197175104</v>
      </c>
      <c r="BJ151" s="59">
        <f t="shared" si="146"/>
        <v>361.17630426655978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3.5468067539621284</v>
      </c>
      <c r="BQ151" s="21">
        <f>EXP(-LN(2)/25)*BQ150+(1-EXP(-LN(2)/25))/(LN(2)/25)*Calculateur!BL151*Calculateur!BN151*VLOOKUP('Données projet'!$B$11,Paramètres!$A$1:$I$89,3,0)*0.475*44/12</f>
        <v>3.6441581875823617</v>
      </c>
      <c r="BR151" s="21">
        <f>EXP(-LN(2)/2)*BR150+(1-EXP(-LN(2)/2))/(LN(2)/2)*BL151*BO151*VLOOKUP('Données projet'!$B$11,Paramètres!$A$1:$I$89,3,0)*0.475*44/12</f>
        <v>4.3985321581562861E-20</v>
      </c>
      <c r="BS151" s="22">
        <f t="shared" si="117"/>
        <v>7.1909649415444896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0.8600000000003547</v>
      </c>
      <c r="BZ151" s="13">
        <f>BY151*VLOOKUP('Données projet'!$B$12,Paramètres!$A$1:$I$89,3,0)*VLOOKUP('Données projet'!$B$12,Paramètres!$A$1:$I$89,5,0)</f>
        <v>0.48074000000019829</v>
      </c>
      <c r="CA151" s="13">
        <f t="shared" si="147"/>
        <v>0.24126147010950588</v>
      </c>
      <c r="CB151" s="20">
        <f t="shared" si="118"/>
        <v>1.2574858937744013</v>
      </c>
      <c r="CC151" s="59">
        <f t="shared" si="119"/>
        <v>287.71398221928609</v>
      </c>
      <c r="CD151" s="59">
        <f ca="1">AVERAGE(OFFSET($CC$3,0,0,'Données projet'!$E$12+1,1))-AVERAGE(OFFSET($H$3,0,0,'Données projet'!$E$12+1,1))</f>
        <v>420.4890915162182</v>
      </c>
      <c r="CE151" s="59">
        <f t="shared" si="148"/>
        <v>553.48432338023565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58.941041896376753</v>
      </c>
      <c r="CL151" s="21">
        <f>EXP(-LN(2)/25)*CL150+(1-EXP(-LN(2)/25))/(LN(2)/25)*Calculateur!CG151*Calculateur!CI151*VLOOKUP('Données projet'!$B$12,Paramètres!$A$1:$I$89,3,0)*0.475*44/12</f>
        <v>1.9188556000439239</v>
      </c>
      <c r="CM151" s="21">
        <f>EXP(-LN(2)/2)*CM150+(1-EXP(-LN(2)/2))/(LN(2)/2)*CG151*CJ151*VLOOKUP('Données projet'!$B$12,Paramètres!$A$1:$I$89,3,0)*0.475*44/12</f>
        <v>1.2835575121224396E-18</v>
      </c>
      <c r="CN151" s="22">
        <f t="shared" si="120"/>
        <v>60.859897496420679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367.99999999999972</v>
      </c>
      <c r="CU151" s="17">
        <f>CT151*VLOOKUP('Données projet'!$B$13,Paramètres!$A$1:$I$89,3,0)*VLOOKUP('Données projet'!$B$13,Paramètres!$A$1:$I$89,5,0)</f>
        <v>269.8175999999998</v>
      </c>
      <c r="CV151" s="13">
        <f t="shared" si="149"/>
        <v>64.810557882019467</v>
      </c>
      <c r="CW151" s="20">
        <f t="shared" si="121"/>
        <v>582.81070831118348</v>
      </c>
      <c r="CX151" s="59">
        <f t="shared" si="122"/>
        <v>869.26720463669517</v>
      </c>
      <c r="CY151" s="59">
        <f ca="1">AVERAGE(OFFSET($CX$3,0,0,'Données projet'!$E$13+1,1))-AVERAGE(OFFSET($H$3,0,0,'Données projet'!$E$13+1,1))</f>
        <v>400.48995908576177</v>
      </c>
      <c r="CZ151" s="59">
        <f t="shared" si="150"/>
        <v>384.86917865380076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11.985967830517193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11.985967830517193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367.99999999999972</v>
      </c>
      <c r="DP151" s="17">
        <f>DO151*VLOOKUP('Données projet'!$B$14,Paramètres!$A$1:$I$89,3,0)*VLOOKUP('Données projet'!$B$14,Paramètres!$A$1:$I$89,5,0)</f>
        <v>292.78079999999977</v>
      </c>
      <c r="DQ151" s="13">
        <f t="shared" si="151"/>
        <v>69.660903052386217</v>
      </c>
      <c r="DR151" s="20">
        <f t="shared" si="124"/>
        <v>631.25263281623893</v>
      </c>
      <c r="DS151" s="59">
        <f t="shared" si="125"/>
        <v>917.70912914175062</v>
      </c>
      <c r="DT151" s="59">
        <f ca="1">AVERAGE(OFFSET($DS$3,0,0,'Données projet'!$E$14+1,1))-AVERAGE(OFFSET($H$3,0,0,'Données projet'!$E$14+1,1))</f>
        <v>429.30603040255431</v>
      </c>
      <c r="DU151" s="59">
        <f t="shared" si="152"/>
        <v>412.18613903804726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16.03071303606529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16.03071303606529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210.25641025641013</v>
      </c>
      <c r="EK151" s="17">
        <f>EJ151*VLOOKUP('Données projet'!$B$15,Paramètres!$A$1:$I$89,3,0)*VLOOKUP('Données projet'!$B$15,Paramètres!$A$1:$I$89,5,0)</f>
        <v>163.99999999999991</v>
      </c>
      <c r="EL151" s="13">
        <f t="shared" si="153"/>
        <v>41.743425908362248</v>
      </c>
      <c r="EM151" s="20">
        <f t="shared" si="127"/>
        <v>358.33646679039742</v>
      </c>
      <c r="EN151" s="59">
        <f t="shared" si="128"/>
        <v>644.79296311590906</v>
      </c>
      <c r="EO151" s="59">
        <f ca="1">AVERAGE(OFFSET($EN$3,0,0,'Données projet'!$E$15+1,1))-AVERAGE(OFFSET($H$3,0,0,'Données projet'!$E$15+1,1))</f>
        <v>217.53602321474159</v>
      </c>
      <c r="EP151" s="59">
        <f t="shared" si="154"/>
        <v>215.75909414893025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6.7556565457182742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6.7556565457182742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19.8100000000004</v>
      </c>
      <c r="FF151" s="17">
        <f>FE151*VLOOKUP('Données projet'!$B$16,Paramètres!$A$1:$I$89,3,0)*VLOOKUP('Données projet'!$B$16,Paramètres!$A$1:$I$89,5,0)</f>
        <v>13.288548000000269</v>
      </c>
      <c r="FG151" s="13">
        <f t="shared" si="155"/>
        <v>4.531654695205642</v>
      </c>
      <c r="FH151" s="20">
        <f t="shared" si="130"/>
        <v>31.036853027483627</v>
      </c>
      <c r="FI151" s="59">
        <f t="shared" si="131"/>
        <v>317.49334935299532</v>
      </c>
      <c r="FJ151" s="59">
        <f ca="1">AVERAGE(OFFSET($FI$3,0,0,'Données projet'!$E$16+1,1))-AVERAGE(OFFSET($H$3,0,0,'Données projet'!$E$16+1,1))</f>
        <v>441.20130048888439</v>
      </c>
      <c r="FK151" s="59">
        <f t="shared" si="156"/>
        <v>237.47732532183946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180.81854461650644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180.81854461650644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204.00000000000017</v>
      </c>
      <c r="GA151" s="17">
        <f>FZ151*VLOOKUP('Données projet'!$B$17,Paramètres!$A$1:$I$89,3,0)*VLOOKUP('Données projet'!$B$17,Paramètres!$A$1:$I$89,5,0)</f>
        <v>133.66080000000011</v>
      </c>
      <c r="GB151" s="13">
        <f t="shared" si="157"/>
        <v>34.840890682716783</v>
      </c>
      <c r="GC151" s="20">
        <f t="shared" si="133"/>
        <v>293.4737779390652</v>
      </c>
      <c r="GD151" s="59">
        <f t="shared" si="134"/>
        <v>579.93027426457684</v>
      </c>
      <c r="GE151" s="59">
        <f ca="1">AVERAGE(OFFSET($GD$3,0,0,'Données projet'!$E$17+1,1))-AVERAGE(OFFSET($H$3,0,0,'Données projet'!$E$17+1,1))</f>
        <v>257.66104339896992</v>
      </c>
      <c r="GF151" s="59">
        <f t="shared" si="158"/>
        <v>254.79488636184996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12.496490878357271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12.496490878357271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234.00000000000003</v>
      </c>
      <c r="GV151" s="17">
        <f>GU151*VLOOKUP('Données projet'!$B$18,Paramètres!$A$1:$I$89,3,0)*VLOOKUP('Données projet'!$B$18,Paramètres!$A$1:$I$89,5,0)</f>
        <v>189.82080000000005</v>
      </c>
      <c r="GW151" s="13">
        <f t="shared" si="159"/>
        <v>47.500332100049796</v>
      </c>
      <c r="GX151" s="20">
        <f t="shared" si="136"/>
        <v>413.33430507425345</v>
      </c>
      <c r="GY151" s="59">
        <f t="shared" si="137"/>
        <v>699.79080139976509</v>
      </c>
      <c r="GZ151" s="59">
        <f ca="1">AVERAGE(OFFSET($GY$3,0,0,'Données projet'!$E$18+1,1))-AVERAGE(OFFSET($H$3,0,0,'Données projet'!$E$18+1,1))</f>
        <v>299.98377156721153</v>
      </c>
      <c r="HA151" s="59">
        <f t="shared" si="160"/>
        <v>241.36164657721102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12.039612125239987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12.039612125239987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19.8100000000004</v>
      </c>
      <c r="O152" s="13">
        <f>N152*VLOOKUP('Données projet'!$B$9,Paramètres!$A$1:$I$89,3,0)*VLOOKUP('Données projet'!$B$9,Paramètres!$A$1:$I$89,5,0)</f>
        <v>17.924088000000364</v>
      </c>
      <c r="P152" s="13">
        <f t="shared" si="141"/>
        <v>5.9032212091029486</v>
      </c>
      <c r="Q152" s="20">
        <f t="shared" si="108"/>
        <v>41.499230205854936</v>
      </c>
      <c r="R152" s="59">
        <f t="shared" si="109"/>
        <v>328.07502427914801</v>
      </c>
      <c r="S152" s="59">
        <f ca="1">AVERAGE(OFFSET($R$3,0,0,'Données projet'!$E$9+1,1))-AVERAGE(OFFSET($H$3,0,0,'Données projet'!$E$9+1,1))</f>
        <v>567.42635821507474</v>
      </c>
      <c r="T152" s="59">
        <f t="shared" si="142"/>
        <v>299.04735309930152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193.99665260773466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193.99665260773466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474.99999999999994</v>
      </c>
      <c r="AJ152" s="13">
        <f>AI152*VLOOKUP('Données projet'!$B$10,Paramètres!$A$1:$I$89,3,0)*VLOOKUP('Données projet'!$B$10,Paramètres!$A$1:$I$89,5,0)</f>
        <v>407.55</v>
      </c>
      <c r="AK152" s="13">
        <f t="shared" si="143"/>
        <v>93.305642095357683</v>
      </c>
      <c r="AL152" s="20">
        <f t="shared" si="112"/>
        <v>872.32357664941446</v>
      </c>
      <c r="AM152" s="59">
        <f t="shared" si="113"/>
        <v>1158.8993707227075</v>
      </c>
      <c r="AN152" s="59">
        <f ca="1">AVERAGE(OFFSET($AM$3,0,0,'Données projet'!$E$10+1,1))-AVERAGE(OFFSET($H$3,0,0,'Données projet'!$E$10+1,1))</f>
        <v>569.97793593332699</v>
      </c>
      <c r="AO152" s="59">
        <f t="shared" si="144"/>
        <v>331.25104323342907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68.821353345298846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68.821353345298846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277.99999999999994</v>
      </c>
      <c r="BE152" s="13">
        <f>BD152*VLOOKUP('Données projet'!$B$11,Paramètres!$A$1:$I$89,3,0)*VLOOKUP('Données projet'!$B$11,Paramètres!$A$1:$I$89,5,0)</f>
        <v>151.78799999999998</v>
      </c>
      <c r="BF152" s="13">
        <f t="shared" si="145"/>
        <v>38.984634390835623</v>
      </c>
      <c r="BG152" s="20">
        <f t="shared" si="115"/>
        <v>332.26233823070532</v>
      </c>
      <c r="BH152" s="59">
        <f t="shared" si="116"/>
        <v>618.83813230399846</v>
      </c>
      <c r="BI152" s="59">
        <f ca="1">AVERAGE(OFFSET($BH$3,0,0,'Données projet'!$E$11+1,1))-AVERAGE(OFFSET($H$3,0,0,'Données projet'!$E$11+1,1))</f>
        <v>215.37314197175104</v>
      </c>
      <c r="BJ152" s="59">
        <f t="shared" si="146"/>
        <v>361.17630426655978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3.4772560368554393</v>
      </c>
      <c r="BQ152" s="21">
        <f>EXP(-LN(2)/25)*BQ151+(1-EXP(-LN(2)/25))/(LN(2)/25)*Calculateur!BL152*Calculateur!BN152*VLOOKUP('Données projet'!$B$11,Paramètres!$A$1:$I$89,3,0)*0.475*44/12</f>
        <v>3.5445084903049717</v>
      </c>
      <c r="BR152" s="21">
        <f>EXP(-LN(2)/2)*BR151+(1-EXP(-LN(2)/2))/(LN(2)/2)*BL152*BO152*VLOOKUP('Données projet'!$B$11,Paramètres!$A$1:$I$89,3,0)*0.475*44/12</f>
        <v>3.1102319162994096E-20</v>
      </c>
      <c r="BS152" s="22">
        <f t="shared" si="117"/>
        <v>7.0217645271604106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0.8600000000003547</v>
      </c>
      <c r="BZ152" s="13">
        <f>BY152*VLOOKUP('Données projet'!$B$12,Paramètres!$A$1:$I$89,3,0)*VLOOKUP('Données projet'!$B$12,Paramètres!$A$1:$I$89,5,0)</f>
        <v>0.48074000000019829</v>
      </c>
      <c r="CA152" s="13">
        <f t="shared" si="147"/>
        <v>0.24126147010950588</v>
      </c>
      <c r="CB152" s="20">
        <f t="shared" si="118"/>
        <v>1.2574858937744013</v>
      </c>
      <c r="CC152" s="59">
        <f t="shared" si="119"/>
        <v>287.83327996706748</v>
      </c>
      <c r="CD152" s="59">
        <f ca="1">AVERAGE(OFFSET($CC$3,0,0,'Données projet'!$E$12+1,1))-AVERAGE(OFFSET($H$3,0,0,'Données projet'!$E$12+1,1))</f>
        <v>420.4890915162182</v>
      </c>
      <c r="CE152" s="59">
        <f t="shared" si="148"/>
        <v>553.48432338023565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57.785244015274543</v>
      </c>
      <c r="CL152" s="21">
        <f>EXP(-LN(2)/25)*CL151+(1-EXP(-LN(2)/25))/(LN(2)/25)*Calculateur!CG152*Calculateur!CI152*VLOOKUP('Données projet'!$B$12,Paramètres!$A$1:$I$89,3,0)*0.475*44/12</f>
        <v>1.8663843927524923</v>
      </c>
      <c r="CM152" s="21">
        <f>EXP(-LN(2)/2)*CM151+(1-EXP(-LN(2)/2))/(LN(2)/2)*CG152*CJ152*VLOOKUP('Données projet'!$B$12,Paramètres!$A$1:$I$89,3,0)*0.475*44/12</f>
        <v>9.0761222086471118E-19</v>
      </c>
      <c r="CN152" s="22">
        <f t="shared" si="120"/>
        <v>59.651628408027037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367.99999999999972</v>
      </c>
      <c r="CU152" s="17">
        <f>CT152*VLOOKUP('Données projet'!$B$13,Paramètres!$A$1:$I$89,3,0)*VLOOKUP('Données projet'!$B$13,Paramètres!$A$1:$I$89,5,0)</f>
        <v>269.8175999999998</v>
      </c>
      <c r="CV152" s="13">
        <f t="shared" si="149"/>
        <v>64.810557882019467</v>
      </c>
      <c r="CW152" s="20">
        <f t="shared" si="121"/>
        <v>582.81070831118348</v>
      </c>
      <c r="CX152" s="59">
        <f t="shared" si="122"/>
        <v>869.38650238447656</v>
      </c>
      <c r="CY152" s="59">
        <f ca="1">AVERAGE(OFFSET($CX$3,0,0,'Données projet'!$E$13+1,1))-AVERAGE(OFFSET($H$3,0,0,'Données projet'!$E$13+1,1))</f>
        <v>400.48995908576177</v>
      </c>
      <c r="CZ152" s="59">
        <f t="shared" si="150"/>
        <v>384.86917865380076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11.750930312079253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11.750930312079253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367.99999999999972</v>
      </c>
      <c r="DP152" s="17">
        <f>DO152*VLOOKUP('Données projet'!$B$14,Paramètres!$A$1:$I$89,3,0)*VLOOKUP('Données projet'!$B$14,Paramètres!$A$1:$I$89,5,0)</f>
        <v>292.78079999999977</v>
      </c>
      <c r="DQ152" s="13">
        <f t="shared" si="151"/>
        <v>69.660903052386217</v>
      </c>
      <c r="DR152" s="20">
        <f t="shared" si="124"/>
        <v>631.25263281623893</v>
      </c>
      <c r="DS152" s="59">
        <f t="shared" si="125"/>
        <v>917.82842688953201</v>
      </c>
      <c r="DT152" s="59">
        <f ca="1">AVERAGE(OFFSET($DS$3,0,0,'Données projet'!$E$14+1,1))-AVERAGE(OFFSET($H$3,0,0,'Données projet'!$E$14+1,1))</f>
        <v>429.30603040255431</v>
      </c>
      <c r="DU152" s="59">
        <f t="shared" si="152"/>
        <v>412.18613903804726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15.716360531197527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15.716360531197527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210.25641025641013</v>
      </c>
      <c r="EK152" s="17">
        <f>EJ152*VLOOKUP('Données projet'!$B$15,Paramètres!$A$1:$I$89,3,0)*VLOOKUP('Données projet'!$B$15,Paramètres!$A$1:$I$89,5,0)</f>
        <v>163.99999999999991</v>
      </c>
      <c r="EL152" s="13">
        <f t="shared" si="153"/>
        <v>41.743425908362248</v>
      </c>
      <c r="EM152" s="20">
        <f t="shared" si="127"/>
        <v>358.33646679039742</v>
      </c>
      <c r="EN152" s="59">
        <f t="shared" si="128"/>
        <v>644.91226086369056</v>
      </c>
      <c r="EO152" s="59">
        <f ca="1">AVERAGE(OFFSET($EN$3,0,0,'Données projet'!$E$15+1,1))-AVERAGE(OFFSET($H$3,0,0,'Données projet'!$E$15+1,1))</f>
        <v>217.53602321474159</v>
      </c>
      <c r="EP152" s="59">
        <f t="shared" si="154"/>
        <v>215.75909414893025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6.6231822414003618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6.6231822414003618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19.8100000000004</v>
      </c>
      <c r="FF152" s="17">
        <f>FE152*VLOOKUP('Données projet'!$B$16,Paramètres!$A$1:$I$89,3,0)*VLOOKUP('Données projet'!$B$16,Paramètres!$A$1:$I$89,5,0)</f>
        <v>13.288548000000269</v>
      </c>
      <c r="FG152" s="13">
        <f t="shared" si="155"/>
        <v>4.531654695205642</v>
      </c>
      <c r="FH152" s="20">
        <f t="shared" si="130"/>
        <v>31.036853027483627</v>
      </c>
      <c r="FI152" s="59">
        <f t="shared" si="131"/>
        <v>317.61264710077671</v>
      </c>
      <c r="FJ152" s="59">
        <f ca="1">AVERAGE(OFFSET($FI$3,0,0,'Données projet'!$E$16+1,1))-AVERAGE(OFFSET($H$3,0,0,'Données projet'!$E$16+1,1))</f>
        <v>441.20130048888439</v>
      </c>
      <c r="FK152" s="59">
        <f t="shared" si="156"/>
        <v>237.47732532183946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177.2728032449989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177.2728032449989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204.00000000000017</v>
      </c>
      <c r="GA152" s="17">
        <f>FZ152*VLOOKUP('Données projet'!$B$17,Paramètres!$A$1:$I$89,3,0)*VLOOKUP('Données projet'!$B$17,Paramètres!$A$1:$I$89,5,0)</f>
        <v>133.66080000000011</v>
      </c>
      <c r="GB152" s="13">
        <f t="shared" si="157"/>
        <v>34.840890682716783</v>
      </c>
      <c r="GC152" s="20">
        <f t="shared" si="133"/>
        <v>293.4737779390652</v>
      </c>
      <c r="GD152" s="59">
        <f t="shared" si="134"/>
        <v>580.04957201235834</v>
      </c>
      <c r="GE152" s="59">
        <f ca="1">AVERAGE(OFFSET($GD$3,0,0,'Données projet'!$E$17+1,1))-AVERAGE(OFFSET($H$3,0,0,'Données projet'!$E$17+1,1))</f>
        <v>257.66104339896992</v>
      </c>
      <c r="GF152" s="59">
        <f t="shared" si="158"/>
        <v>254.79488636184996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12.251442314339501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12.251442314339501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234.00000000000003</v>
      </c>
      <c r="GV152" s="17">
        <f>GU152*VLOOKUP('Données projet'!$B$18,Paramètres!$A$1:$I$89,3,0)*VLOOKUP('Données projet'!$B$18,Paramètres!$A$1:$I$89,5,0)</f>
        <v>189.82080000000005</v>
      </c>
      <c r="GW152" s="13">
        <f t="shared" si="159"/>
        <v>47.500332100049796</v>
      </c>
      <c r="GX152" s="20">
        <f t="shared" si="136"/>
        <v>413.33430507425345</v>
      </c>
      <c r="GY152" s="59">
        <f t="shared" si="137"/>
        <v>699.91009914754659</v>
      </c>
      <c r="GZ152" s="59">
        <f ca="1">AVERAGE(OFFSET($GY$3,0,0,'Données projet'!$E$18+1,1))-AVERAGE(OFFSET($H$3,0,0,'Données projet'!$E$18+1,1))</f>
        <v>299.98377156721153</v>
      </c>
      <c r="HA152" s="59">
        <f t="shared" si="160"/>
        <v>241.36164657721102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11.803522674902323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11.803522674902323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19.8100000000004</v>
      </c>
      <c r="O153" s="13">
        <f>N153*VLOOKUP('Données projet'!$B$9,Paramètres!$A$1:$I$89,3,0)*VLOOKUP('Données projet'!$B$9,Paramètres!$A$1:$I$89,5,0)</f>
        <v>17.924088000000364</v>
      </c>
      <c r="P153" s="13">
        <f t="shared" si="141"/>
        <v>5.9032212091029486</v>
      </c>
      <c r="Q153" s="20">
        <f t="shared" si="108"/>
        <v>41.499230205854936</v>
      </c>
      <c r="R153" s="59">
        <f t="shared" si="109"/>
        <v>328.19225247771527</v>
      </c>
      <c r="S153" s="59">
        <f ca="1">AVERAGE(OFFSET($R$3,0,0,'Données projet'!$E$9+1,1))-AVERAGE(OFFSET($H$3,0,0,'Données projet'!$E$9+1,1))</f>
        <v>567.42635821507474</v>
      </c>
      <c r="T153" s="59">
        <f t="shared" si="142"/>
        <v>299.04735309930152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190.19249657637133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190.19249657637133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474.99999999999994</v>
      </c>
      <c r="AJ153" s="13">
        <f>AI153*VLOOKUP('Données projet'!$B$10,Paramètres!$A$1:$I$89,3,0)*VLOOKUP('Données projet'!$B$10,Paramètres!$A$1:$I$89,5,0)</f>
        <v>407.55</v>
      </c>
      <c r="AK153" s="13">
        <f t="shared" si="143"/>
        <v>93.305642095357683</v>
      </c>
      <c r="AL153" s="20">
        <f t="shared" si="112"/>
        <v>872.32357664941446</v>
      </c>
      <c r="AM153" s="59">
        <f t="shared" si="113"/>
        <v>1159.0165989212749</v>
      </c>
      <c r="AN153" s="59">
        <f ca="1">AVERAGE(OFFSET($AM$3,0,0,'Données projet'!$E$10+1,1))-AVERAGE(OFFSET($H$3,0,0,'Données projet'!$E$10+1,1))</f>
        <v>569.97793593332699</v>
      </c>
      <c r="AO153" s="59">
        <f t="shared" si="144"/>
        <v>331.25104323342907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67.4718085830782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67.4718085830782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277.99999999999994</v>
      </c>
      <c r="BE153" s="13">
        <f>BD153*VLOOKUP('Données projet'!$B$11,Paramètres!$A$1:$I$89,3,0)*VLOOKUP('Données projet'!$B$11,Paramètres!$A$1:$I$89,5,0)</f>
        <v>151.78799999999998</v>
      </c>
      <c r="BF153" s="13">
        <f t="shared" si="145"/>
        <v>38.984634390835623</v>
      </c>
      <c r="BG153" s="20">
        <f t="shared" si="115"/>
        <v>332.26233823070532</v>
      </c>
      <c r="BH153" s="59">
        <f t="shared" si="116"/>
        <v>618.95536050256567</v>
      </c>
      <c r="BI153" s="59">
        <f ca="1">AVERAGE(OFFSET($BH$3,0,0,'Données projet'!$E$11+1,1))-AVERAGE(OFFSET($H$3,0,0,'Données projet'!$E$11+1,1))</f>
        <v>215.37314197175104</v>
      </c>
      <c r="BJ153" s="59">
        <f t="shared" si="146"/>
        <v>361.17630426655978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3.4090691668894633</v>
      </c>
      <c r="BQ153" s="21">
        <f>EXP(-LN(2)/25)*BQ152+(1-EXP(-LN(2)/25))/(LN(2)/25)*Calculateur!BL153*Calculateur!BN153*VLOOKUP('Données projet'!$B$11,Paramètres!$A$1:$I$89,3,0)*0.475*44/12</f>
        <v>3.4475837192399816</v>
      </c>
      <c r="BR153" s="21">
        <f>EXP(-LN(2)/2)*BR152+(1-EXP(-LN(2)/2))/(LN(2)/2)*BL153*BO153*VLOOKUP('Données projet'!$B$11,Paramètres!$A$1:$I$89,3,0)*0.475*44/12</f>
        <v>2.1992660790781431E-20</v>
      </c>
      <c r="BS153" s="22">
        <f t="shared" si="117"/>
        <v>6.8566528861294449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0.8600000000003547</v>
      </c>
      <c r="BZ153" s="13">
        <f>BY153*VLOOKUP('Données projet'!$B$12,Paramètres!$A$1:$I$89,3,0)*VLOOKUP('Données projet'!$B$12,Paramètres!$A$1:$I$89,5,0)</f>
        <v>0.48074000000019829</v>
      </c>
      <c r="CA153" s="13">
        <f t="shared" si="147"/>
        <v>0.24126147010950588</v>
      </c>
      <c r="CB153" s="20">
        <f t="shared" si="118"/>
        <v>1.2574858937744013</v>
      </c>
      <c r="CC153" s="59">
        <f t="shared" si="119"/>
        <v>287.95050816563474</v>
      </c>
      <c r="CD153" s="59">
        <f ca="1">AVERAGE(OFFSET($CC$3,0,0,'Données projet'!$E$12+1,1))-AVERAGE(OFFSET($H$3,0,0,'Données projet'!$E$12+1,1))</f>
        <v>420.4890915162182</v>
      </c>
      <c r="CE153" s="59">
        <f t="shared" si="148"/>
        <v>553.48432338023565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56.652110625653656</v>
      </c>
      <c r="CL153" s="21">
        <f>EXP(-LN(2)/25)*CL152+(1-EXP(-LN(2)/25))/(LN(2)/25)*Calculateur!CG153*Calculateur!CI153*VLOOKUP('Données projet'!$B$12,Paramètres!$A$1:$I$89,3,0)*0.475*44/12</f>
        <v>1.8153480133837858</v>
      </c>
      <c r="CM153" s="21">
        <f>EXP(-LN(2)/2)*CM152+(1-EXP(-LN(2)/2))/(LN(2)/2)*CG153*CJ153*VLOOKUP('Données projet'!$B$12,Paramètres!$A$1:$I$89,3,0)*0.475*44/12</f>
        <v>6.4177875606121979E-19</v>
      </c>
      <c r="CN153" s="22">
        <f t="shared" si="120"/>
        <v>58.467458639037439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367.99999999999972</v>
      </c>
      <c r="CU153" s="17">
        <f>CT153*VLOOKUP('Données projet'!$B$13,Paramètres!$A$1:$I$89,3,0)*VLOOKUP('Données projet'!$B$13,Paramètres!$A$1:$I$89,5,0)</f>
        <v>269.8175999999998</v>
      </c>
      <c r="CV153" s="13">
        <f t="shared" si="149"/>
        <v>64.810557882019467</v>
      </c>
      <c r="CW153" s="20">
        <f t="shared" si="121"/>
        <v>582.81070831118348</v>
      </c>
      <c r="CX153" s="59">
        <f t="shared" si="122"/>
        <v>869.50373058304376</v>
      </c>
      <c r="CY153" s="59">
        <f ca="1">AVERAGE(OFFSET($CX$3,0,0,'Données projet'!$E$13+1,1))-AVERAGE(OFFSET($H$3,0,0,'Données projet'!$E$13+1,1))</f>
        <v>400.48995908576177</v>
      </c>
      <c r="CZ153" s="59">
        <f t="shared" si="150"/>
        <v>384.86917865380076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11.520501736019151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11.520501736019151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367.99999999999972</v>
      </c>
      <c r="DP153" s="17">
        <f>DO153*VLOOKUP('Données projet'!$B$14,Paramètres!$A$1:$I$89,3,0)*VLOOKUP('Données projet'!$B$14,Paramètres!$A$1:$I$89,5,0)</f>
        <v>292.78079999999977</v>
      </c>
      <c r="DQ153" s="13">
        <f t="shared" si="151"/>
        <v>69.660903052386217</v>
      </c>
      <c r="DR153" s="20">
        <f t="shared" si="124"/>
        <v>631.25263281623893</v>
      </c>
      <c r="DS153" s="59">
        <f t="shared" si="125"/>
        <v>917.94565508809933</v>
      </c>
      <c r="DT153" s="59">
        <f ca="1">AVERAGE(OFFSET($DS$3,0,0,'Données projet'!$E$14+1,1))-AVERAGE(OFFSET($H$3,0,0,'Données projet'!$E$14+1,1))</f>
        <v>429.30603040255431</v>
      </c>
      <c r="DU153" s="59">
        <f t="shared" si="152"/>
        <v>412.18613903804726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15.408172287214125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15.408172287214125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210.25641025641013</v>
      </c>
      <c r="EK153" s="17">
        <f>EJ153*VLOOKUP('Données projet'!$B$15,Paramètres!$A$1:$I$89,3,0)*VLOOKUP('Données projet'!$B$15,Paramètres!$A$1:$I$89,5,0)</f>
        <v>163.99999999999991</v>
      </c>
      <c r="EL153" s="13">
        <f t="shared" si="153"/>
        <v>41.743425908362248</v>
      </c>
      <c r="EM153" s="20">
        <f t="shared" si="127"/>
        <v>358.33646679039742</v>
      </c>
      <c r="EN153" s="59">
        <f t="shared" si="128"/>
        <v>645.02948906225777</v>
      </c>
      <c r="EO153" s="59">
        <f ca="1">AVERAGE(OFFSET($EN$3,0,0,'Données projet'!$E$15+1,1))-AVERAGE(OFFSET($H$3,0,0,'Données projet'!$E$15+1,1))</f>
        <v>217.53602321474159</v>
      </c>
      <c r="EP153" s="59">
        <f t="shared" si="154"/>
        <v>215.75909414893025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6.4933056773887765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6.4933056773887765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19.8100000000004</v>
      </c>
      <c r="FF153" s="17">
        <f>FE153*VLOOKUP('Données projet'!$B$16,Paramètres!$A$1:$I$89,3,0)*VLOOKUP('Données projet'!$B$16,Paramètres!$A$1:$I$89,5,0)</f>
        <v>13.288548000000269</v>
      </c>
      <c r="FG153" s="13">
        <f t="shared" si="155"/>
        <v>4.531654695205642</v>
      </c>
      <c r="FH153" s="20">
        <f t="shared" si="130"/>
        <v>31.036853027483627</v>
      </c>
      <c r="FI153" s="59">
        <f t="shared" si="131"/>
        <v>317.72987529934397</v>
      </c>
      <c r="FJ153" s="59">
        <f ca="1">AVERAGE(OFFSET($FI$3,0,0,'Données projet'!$E$16+1,1))-AVERAGE(OFFSET($H$3,0,0,'Données projet'!$E$16+1,1))</f>
        <v>441.20130048888439</v>
      </c>
      <c r="FK153" s="59">
        <f t="shared" si="156"/>
        <v>237.47732532183946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173.79659169909792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173.79659169909792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204.00000000000017</v>
      </c>
      <c r="GA153" s="17">
        <f>FZ153*VLOOKUP('Données projet'!$B$17,Paramètres!$A$1:$I$89,3,0)*VLOOKUP('Données projet'!$B$17,Paramètres!$A$1:$I$89,5,0)</f>
        <v>133.66080000000011</v>
      </c>
      <c r="GB153" s="13">
        <f t="shared" si="157"/>
        <v>34.840890682716783</v>
      </c>
      <c r="GC153" s="20">
        <f t="shared" si="133"/>
        <v>293.4737779390652</v>
      </c>
      <c r="GD153" s="59">
        <f t="shared" si="134"/>
        <v>580.16680021092554</v>
      </c>
      <c r="GE153" s="59">
        <f ca="1">AVERAGE(OFFSET($GD$3,0,0,'Données projet'!$E$17+1,1))-AVERAGE(OFFSET($H$3,0,0,'Données projet'!$E$17+1,1))</f>
        <v>257.66104339896992</v>
      </c>
      <c r="GF153" s="59">
        <f t="shared" si="158"/>
        <v>254.79488636184996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12.011199003197254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12.011199003197254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234.00000000000003</v>
      </c>
      <c r="GV153" s="17">
        <f>GU153*VLOOKUP('Données projet'!$B$18,Paramètres!$A$1:$I$89,3,0)*VLOOKUP('Données projet'!$B$18,Paramètres!$A$1:$I$89,5,0)</f>
        <v>189.82080000000005</v>
      </c>
      <c r="GW153" s="13">
        <f t="shared" si="159"/>
        <v>47.500332100049796</v>
      </c>
      <c r="GX153" s="20">
        <f t="shared" si="136"/>
        <v>413.33430507425345</v>
      </c>
      <c r="GY153" s="59">
        <f t="shared" si="137"/>
        <v>700.02732734611379</v>
      </c>
      <c r="GZ153" s="59">
        <f ca="1">AVERAGE(OFFSET($GY$3,0,0,'Données projet'!$E$18+1,1))-AVERAGE(OFFSET($H$3,0,0,'Données projet'!$E$18+1,1))</f>
        <v>299.98377156721153</v>
      </c>
      <c r="HA153" s="59">
        <f t="shared" si="160"/>
        <v>241.36164657721102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11.572062794685435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11.572062794685435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19.8100000000004</v>
      </c>
      <c r="O154" s="13">
        <f>N154*VLOOKUP('Données projet'!$B$9,Paramètres!$A$1:$I$89,3,0)*VLOOKUP('Données projet'!$B$9,Paramètres!$A$1:$I$89,5,0)</f>
        <v>17.924088000000364</v>
      </c>
      <c r="P154" s="13">
        <f t="shared" si="141"/>
        <v>5.9032212091029486</v>
      </c>
      <c r="Q154" s="20">
        <f t="shared" ref="Q154:Q203" si="162">(O154+P154)*0.475*44/12</f>
        <v>41.499230205854936</v>
      </c>
      <c r="R154" s="59">
        <f t="shared" si="109"/>
        <v>328.30744702912028</v>
      </c>
      <c r="S154" s="59">
        <f ca="1">AVERAGE(OFFSET($R$3,0,0,'Données projet'!$E$9+1,1))-AVERAGE(OFFSET($H$3,0,0,'Données projet'!$E$9+1,1))</f>
        <v>567.42635821507474</v>
      </c>
      <c r="T154" s="59">
        <f t="shared" si="142"/>
        <v>299.04735309930152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186.46293772447694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186.46293772447694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474.99999999999994</v>
      </c>
      <c r="AJ154" s="13">
        <f>AI154*VLOOKUP('Données projet'!$B$10,Paramètres!$A$1:$I$89,3,0)*VLOOKUP('Données projet'!$B$10,Paramètres!$A$1:$I$89,5,0)</f>
        <v>407.55</v>
      </c>
      <c r="AK154" s="13">
        <f t="shared" ref="AK154:AK203" si="164">EXP(-1.0587+0.8836*LN(AJ154)+0.284)</f>
        <v>93.305642095357683</v>
      </c>
      <c r="AL154" s="20">
        <f t="shared" ref="AL154:AL203" si="165">(AJ154+AK154)*0.475*44/12</f>
        <v>872.32357664941446</v>
      </c>
      <c r="AM154" s="59">
        <f t="shared" si="113"/>
        <v>1159.1317934726799</v>
      </c>
      <c r="AN154" s="59">
        <f ca="1">AVERAGE(OFFSET($AM$3,0,0,'Données projet'!$E$10+1,1))-AVERAGE(OFFSET($H$3,0,0,'Données projet'!$E$10+1,1))</f>
        <v>569.97793593332699</v>
      </c>
      <c r="AO154" s="59">
        <f t="shared" si="144"/>
        <v>331.25104323342907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66.148727570503681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66.148727570503681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277.99999999999994</v>
      </c>
      <c r="BE154" s="13">
        <f>BD154*VLOOKUP('Données projet'!$B$11,Paramètres!$A$1:$I$89,3,0)*VLOOKUP('Données projet'!$B$11,Paramètres!$A$1:$I$89,5,0)</f>
        <v>151.78799999999998</v>
      </c>
      <c r="BF154" s="13">
        <f t="shared" ref="BF154:BF203" si="167">EXP(-1.0587+0.8836*LN(BE154)+0.284)</f>
        <v>38.984634390835623</v>
      </c>
      <c r="BG154" s="20">
        <f t="shared" ref="BG154:BG203" si="168">(BE154+BF154)*0.475*44/12</f>
        <v>332.26233823070532</v>
      </c>
      <c r="BH154" s="59">
        <f t="shared" si="116"/>
        <v>619.07055505397068</v>
      </c>
      <c r="BI154" s="59">
        <f ca="1">AVERAGE(OFFSET($BH$3,0,0,'Données projet'!$E$11+1,1))-AVERAGE(OFFSET($H$3,0,0,'Données projet'!$E$11+1,1))</f>
        <v>215.37314197175104</v>
      </c>
      <c r="BJ154" s="59">
        <f t="shared" si="146"/>
        <v>361.17630426655978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3.342219399853636</v>
      </c>
      <c r="BQ154" s="21">
        <f>EXP(-LN(2)/25)*BQ153+(1-EXP(-LN(2)/25))/(LN(2)/25)*Calculateur!BL154*Calculateur!BN154*VLOOKUP('Données projet'!$B$11,Paramètres!$A$1:$I$89,3,0)*0.475*44/12</f>
        <v>3.3533093611368163</v>
      </c>
      <c r="BR154" s="21">
        <f>EXP(-LN(2)/2)*BR153+(1-EXP(-LN(2)/2))/(LN(2)/2)*BL154*BO154*VLOOKUP('Données projet'!$B$11,Paramètres!$A$1:$I$89,3,0)*0.475*44/12</f>
        <v>1.5551159581497048E-20</v>
      </c>
      <c r="BS154" s="22">
        <f t="shared" ref="BS154:BS203" si="169">SUM(BP154:BR154)</f>
        <v>6.6955287609904524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0.8600000000003547</v>
      </c>
      <c r="BZ154" s="13">
        <f>BY154*VLOOKUP('Données projet'!$B$12,Paramètres!$A$1:$I$89,3,0)*VLOOKUP('Données projet'!$B$12,Paramètres!$A$1:$I$89,5,0)</f>
        <v>0.48074000000019829</v>
      </c>
      <c r="CA154" s="13">
        <f t="shared" ref="CA154:CA203" si="170">EXP(-1.0587+0.8836*LN(BZ154)+0.284)</f>
        <v>0.24126147010950588</v>
      </c>
      <c r="CB154" s="20">
        <f t="shared" ref="CB154:CB203" si="171">(BZ154+CA154)*0.475*44/12</f>
        <v>1.2574858937744013</v>
      </c>
      <c r="CC154" s="59">
        <f t="shared" si="119"/>
        <v>288.06570271703976</v>
      </c>
      <c r="CD154" s="59">
        <f ca="1">AVERAGE(OFFSET($CC$3,0,0,'Données projet'!$E$12+1,1))-AVERAGE(OFFSET($H$3,0,0,'Données projet'!$E$12+1,1))</f>
        <v>420.4890915162182</v>
      </c>
      <c r="CE154" s="59">
        <f t="shared" si="148"/>
        <v>553.48432338023565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55.541197290660108</v>
      </c>
      <c r="CL154" s="21">
        <f>EXP(-LN(2)/25)*CL153+(1-EXP(-LN(2)/25))/(LN(2)/25)*Calculateur!CG154*Calculateur!CI154*VLOOKUP('Données projet'!$B$12,Paramètres!$A$1:$I$89,3,0)*0.475*44/12</f>
        <v>1.7657072264928033</v>
      </c>
      <c r="CM154" s="21">
        <f>EXP(-LN(2)/2)*CM153+(1-EXP(-LN(2)/2))/(LN(2)/2)*CG154*CJ154*VLOOKUP('Données projet'!$B$12,Paramètres!$A$1:$I$89,3,0)*0.475*44/12</f>
        <v>4.5380611043235559E-19</v>
      </c>
      <c r="CN154" s="22">
        <f t="shared" ref="CN154:CN203" si="172">SUM(CK154:CM154)</f>
        <v>57.306904517152908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367.99999999999972</v>
      </c>
      <c r="CU154" s="17">
        <f>CT154*VLOOKUP('Données projet'!$B$13,Paramètres!$A$1:$I$89,3,0)*VLOOKUP('Données projet'!$B$13,Paramètres!$A$1:$I$89,5,0)</f>
        <v>269.8175999999998</v>
      </c>
      <c r="CV154" s="13">
        <f t="shared" ref="CV154:CV203" si="173">EXP(-1.0587+0.8836*LN(CU154)+0.284)</f>
        <v>64.810557882019467</v>
      </c>
      <c r="CW154" s="20">
        <f t="shared" ref="CW154:CW203" si="174">(CU154+CV154)*0.475*44/12</f>
        <v>582.81070831118348</v>
      </c>
      <c r="CX154" s="59">
        <f t="shared" si="122"/>
        <v>869.61892513444877</v>
      </c>
      <c r="CY154" s="59">
        <f ca="1">AVERAGE(OFFSET($CX$3,0,0,'Données projet'!$E$13+1,1))-AVERAGE(OFFSET($H$3,0,0,'Données projet'!$E$13+1,1))</f>
        <v>400.48995908576177</v>
      </c>
      <c r="CZ154" s="59">
        <f t="shared" si="150"/>
        <v>384.86917865380076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11.294591723788034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11.294591723788034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367.99999999999972</v>
      </c>
      <c r="DP154" s="17">
        <f>DO154*VLOOKUP('Données projet'!$B$14,Paramètres!$A$1:$I$89,3,0)*VLOOKUP('Données projet'!$B$14,Paramètres!$A$1:$I$89,5,0)</f>
        <v>292.78079999999977</v>
      </c>
      <c r="DQ154" s="13">
        <f t="shared" ref="DQ154:DQ203" si="176">EXP(-1.0587+0.8836*LN(DP154)+0.284)</f>
        <v>69.660903052386217</v>
      </c>
      <c r="DR154" s="20">
        <f t="shared" ref="DR154:DR203" si="177">(DP154+DQ154)*0.475*44/12</f>
        <v>631.25263281623893</v>
      </c>
      <c r="DS154" s="59">
        <f t="shared" si="125"/>
        <v>918.06084963950434</v>
      </c>
      <c r="DT154" s="59">
        <f ca="1">AVERAGE(OFFSET($DS$3,0,0,'Données projet'!$E$14+1,1))-AVERAGE(OFFSET($H$3,0,0,'Données projet'!$E$14+1,1))</f>
        <v>429.30603040255431</v>
      </c>
      <c r="DU154" s="59">
        <f t="shared" si="152"/>
        <v>412.18613903804726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15.10602742671897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15.10602742671897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210.25641025641013</v>
      </c>
      <c r="EK154" s="17">
        <f>EJ154*VLOOKUP('Données projet'!$B$15,Paramètres!$A$1:$I$89,3,0)*VLOOKUP('Données projet'!$B$15,Paramètres!$A$1:$I$89,5,0)</f>
        <v>163.99999999999991</v>
      </c>
      <c r="EL154" s="13">
        <f t="shared" ref="EL154:EL203" si="179">EXP(-1.0587+0.8836*LN(EK154)+0.284)</f>
        <v>41.743425908362248</v>
      </c>
      <c r="EM154" s="20">
        <f t="shared" ref="EM154:EM203" si="180">(EK154+EL154)*0.475*44/12</f>
        <v>358.33646679039742</v>
      </c>
      <c r="EN154" s="59">
        <f t="shared" si="128"/>
        <v>645.14468361366278</v>
      </c>
      <c r="EO154" s="59">
        <f ca="1">AVERAGE(OFFSET($EN$3,0,0,'Données projet'!$E$15+1,1))-AVERAGE(OFFSET($H$3,0,0,'Données projet'!$E$15+1,1))</f>
        <v>217.53602321474159</v>
      </c>
      <c r="EP154" s="59">
        <f t="shared" si="154"/>
        <v>215.75909414893025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6.3659759135805762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6.3659759135805762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19.8100000000004</v>
      </c>
      <c r="FF154" s="17">
        <f>FE154*VLOOKUP('Données projet'!$B$16,Paramètres!$A$1:$I$89,3,0)*VLOOKUP('Données projet'!$B$16,Paramètres!$A$1:$I$89,5,0)</f>
        <v>13.288548000000269</v>
      </c>
      <c r="FG154" s="13">
        <f t="shared" ref="FG154:FG203" si="182">EXP(-1.0587+0.8836*LN(FF154)+0.284)</f>
        <v>4.531654695205642</v>
      </c>
      <c r="FH154" s="20">
        <f t="shared" ref="FH154:FH203" si="183">(FF154+FG154)*0.475*44/12</f>
        <v>31.036853027483627</v>
      </c>
      <c r="FI154" s="59">
        <f t="shared" si="131"/>
        <v>317.84506985074898</v>
      </c>
      <c r="FJ154" s="59">
        <f ca="1">AVERAGE(OFFSET($FI$3,0,0,'Données projet'!$E$16+1,1))-AVERAGE(OFFSET($H$3,0,0,'Données projet'!$E$16+1,1))</f>
        <v>441.20130048888439</v>
      </c>
      <c r="FK154" s="59">
        <f t="shared" si="156"/>
        <v>237.47732532183946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170.38854654133237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170.38854654133237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204.00000000000017</v>
      </c>
      <c r="GA154" s="17">
        <f>FZ154*VLOOKUP('Données projet'!$B$17,Paramètres!$A$1:$I$89,3,0)*VLOOKUP('Données projet'!$B$17,Paramètres!$A$1:$I$89,5,0)</f>
        <v>133.66080000000011</v>
      </c>
      <c r="GB154" s="13">
        <f t="shared" ref="GB154:GB203" si="185">EXP(-1.0587+0.8836*LN(GA154)+0.284)</f>
        <v>34.840890682716783</v>
      </c>
      <c r="GC154" s="20">
        <f t="shared" ref="GC154:GC203" si="186">(GA154+GB154)*0.475*44/12</f>
        <v>293.4737779390652</v>
      </c>
      <c r="GD154" s="59">
        <f t="shared" si="134"/>
        <v>580.28199476233056</v>
      </c>
      <c r="GE154" s="59">
        <f ca="1">AVERAGE(OFFSET($GD$3,0,0,'Données projet'!$E$17+1,1))-AVERAGE(OFFSET($H$3,0,0,'Données projet'!$E$17+1,1))</f>
        <v>257.66104339896992</v>
      </c>
      <c r="GF154" s="59">
        <f t="shared" si="158"/>
        <v>254.79488636184996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11.775666716852554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11.775666716852554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234.00000000000003</v>
      </c>
      <c r="GV154" s="17">
        <f>GU154*VLOOKUP('Données projet'!$B$18,Paramètres!$A$1:$I$89,3,0)*VLOOKUP('Données projet'!$B$18,Paramètres!$A$1:$I$89,5,0)</f>
        <v>189.82080000000005</v>
      </c>
      <c r="GW154" s="13">
        <f t="shared" ref="GW154:GW203" si="188">EXP(-1.0587+0.8836*LN(GV154)+0.284)</f>
        <v>47.500332100049796</v>
      </c>
      <c r="GX154" s="20">
        <f t="shared" ref="GX154:GX203" si="189">(GV154+GW154)*0.475*44/12</f>
        <v>413.33430507425345</v>
      </c>
      <c r="GY154" s="59">
        <f t="shared" si="137"/>
        <v>700.1425218975188</v>
      </c>
      <c r="GZ154" s="59">
        <f ca="1">AVERAGE(OFFSET($GY$3,0,0,'Données projet'!$E$18+1,1))-AVERAGE(OFFSET($H$3,0,0,'Données projet'!$E$18+1,1))</f>
        <v>299.98377156721153</v>
      </c>
      <c r="HA154" s="59">
        <f t="shared" si="160"/>
        <v>241.36164657721102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11.345141701543012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11.345141701543012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19.8100000000004</v>
      </c>
      <c r="O155" s="13">
        <f>N155*VLOOKUP('Données projet'!$B$9,Paramètres!$A$1:$I$89,3,0)*VLOOKUP('Données projet'!$B$9,Paramètres!$A$1:$I$89,5,0)</f>
        <v>17.924088000000364</v>
      </c>
      <c r="P155" s="13">
        <f t="shared" si="141"/>
        <v>5.9032212091029486</v>
      </c>
      <c r="Q155" s="20">
        <f t="shared" si="162"/>
        <v>41.499230205854936</v>
      </c>
      <c r="R155" s="59">
        <f t="shared" si="109"/>
        <v>328.42064321259483</v>
      </c>
      <c r="S155" s="59">
        <f ca="1">AVERAGE(OFFSET($R$3,0,0,'Données projet'!$E$9+1,1))-AVERAGE(OFFSET($H$3,0,0,'Données projet'!$E$9+1,1))</f>
        <v>567.42635821507474</v>
      </c>
      <c r="T155" s="59">
        <f t="shared" si="142"/>
        <v>299.04735309930152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182.80651324686195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182.80651324686195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474.99999999999994</v>
      </c>
      <c r="AJ155" s="13">
        <f>AI155*VLOOKUP('Données projet'!$B$10,Paramètres!$A$1:$I$89,3,0)*VLOOKUP('Données projet'!$B$10,Paramètres!$A$1:$I$89,5,0)</f>
        <v>407.55</v>
      </c>
      <c r="AK155" s="13">
        <f t="shared" si="164"/>
        <v>93.305642095357683</v>
      </c>
      <c r="AL155" s="20">
        <f t="shared" si="165"/>
        <v>872.32357664941446</v>
      </c>
      <c r="AM155" s="59">
        <f t="shared" si="113"/>
        <v>1159.2449896561543</v>
      </c>
      <c r="AN155" s="59">
        <f ca="1">AVERAGE(OFFSET($AM$3,0,0,'Données projet'!$E$10+1,1))-AVERAGE(OFFSET($H$3,0,0,'Données projet'!$E$10+1,1))</f>
        <v>569.97793593332699</v>
      </c>
      <c r="AO155" s="59">
        <f t="shared" si="144"/>
        <v>331.25104323342907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64.851591369586018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64.851591369586018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277.99999999999994</v>
      </c>
      <c r="BE155" s="13">
        <f>BD155*VLOOKUP('Données projet'!$B$11,Paramètres!$A$1:$I$89,3,0)*VLOOKUP('Données projet'!$B$11,Paramètres!$A$1:$I$89,5,0)</f>
        <v>151.78799999999998</v>
      </c>
      <c r="BF155" s="13">
        <f t="shared" si="167"/>
        <v>38.984634390835623</v>
      </c>
      <c r="BG155" s="20">
        <f t="shared" si="168"/>
        <v>332.26233823070532</v>
      </c>
      <c r="BH155" s="59">
        <f t="shared" si="116"/>
        <v>619.18375123744522</v>
      </c>
      <c r="BI155" s="59">
        <f ca="1">AVERAGE(OFFSET($BH$3,0,0,'Données projet'!$E$11+1,1))-AVERAGE(OFFSET($H$3,0,0,'Données projet'!$E$11+1,1))</f>
        <v>215.37314197175104</v>
      </c>
      <c r="BJ155" s="59">
        <f t="shared" si="146"/>
        <v>361.17630426655978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3.2766805159750496</v>
      </c>
      <c r="BQ155" s="21">
        <f>EXP(-LN(2)/25)*BQ154+(1-EXP(-LN(2)/25))/(LN(2)/25)*Calculateur!BL155*Calculateur!BN155*VLOOKUP('Données projet'!$B$11,Paramètres!$A$1:$I$89,3,0)*0.475*44/12</f>
        <v>3.2616129403136549</v>
      </c>
      <c r="BR155" s="21">
        <f>EXP(-LN(2)/2)*BR154+(1-EXP(-LN(2)/2))/(LN(2)/2)*BL155*BO155*VLOOKUP('Données projet'!$B$11,Paramètres!$A$1:$I$89,3,0)*0.475*44/12</f>
        <v>1.0996330395390715E-20</v>
      </c>
      <c r="BS155" s="22">
        <f t="shared" si="169"/>
        <v>6.5382934562887041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0.8600000000003547</v>
      </c>
      <c r="BZ155" s="13">
        <f>BY155*VLOOKUP('Données projet'!$B$12,Paramètres!$A$1:$I$89,3,0)*VLOOKUP('Données projet'!$B$12,Paramètres!$A$1:$I$89,5,0)</f>
        <v>0.48074000000019829</v>
      </c>
      <c r="CA155" s="13">
        <f t="shared" si="170"/>
        <v>0.24126147010950588</v>
      </c>
      <c r="CB155" s="20">
        <f t="shared" si="171"/>
        <v>1.2574858937744013</v>
      </c>
      <c r="CC155" s="59">
        <f t="shared" si="119"/>
        <v>288.1788989005143</v>
      </c>
      <c r="CD155" s="59">
        <f ca="1">AVERAGE(OFFSET($CC$3,0,0,'Données projet'!$E$12+1,1))-AVERAGE(OFFSET($H$3,0,0,'Données projet'!$E$12+1,1))</f>
        <v>420.4890915162182</v>
      </c>
      <c r="CE155" s="59">
        <f t="shared" si="148"/>
        <v>553.48432338023565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54.452068288575553</v>
      </c>
      <c r="CL155" s="21">
        <f>EXP(-LN(2)/25)*CL154+(1-EXP(-LN(2)/25))/(LN(2)/25)*Calculateur!CG155*Calculateur!CI155*VLOOKUP('Données projet'!$B$12,Paramètres!$A$1:$I$89,3,0)*0.475*44/12</f>
        <v>1.71742386952985</v>
      </c>
      <c r="CM155" s="21">
        <f>EXP(-LN(2)/2)*CM154+(1-EXP(-LN(2)/2))/(LN(2)/2)*CG155*CJ155*VLOOKUP('Données projet'!$B$12,Paramètres!$A$1:$I$89,3,0)*0.475*44/12</f>
        <v>3.208893780306099E-19</v>
      </c>
      <c r="CN155" s="22">
        <f t="shared" si="172"/>
        <v>56.169492158105406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367.99999999999972</v>
      </c>
      <c r="CU155" s="17">
        <f>CT155*VLOOKUP('Données projet'!$B$13,Paramètres!$A$1:$I$89,3,0)*VLOOKUP('Données projet'!$B$13,Paramètres!$A$1:$I$89,5,0)</f>
        <v>269.8175999999998</v>
      </c>
      <c r="CV155" s="13">
        <f t="shared" si="173"/>
        <v>64.810557882019467</v>
      </c>
      <c r="CW155" s="20">
        <f t="shared" si="174"/>
        <v>582.81070831118348</v>
      </c>
      <c r="CX155" s="59">
        <f t="shared" si="122"/>
        <v>869.73212131792343</v>
      </c>
      <c r="CY155" s="59">
        <f ca="1">AVERAGE(OFFSET($CX$3,0,0,'Données projet'!$E$13+1,1))-AVERAGE(OFFSET($H$3,0,0,'Données projet'!$E$13+1,1))</f>
        <v>400.48995908576177</v>
      </c>
      <c r="CZ155" s="59">
        <f t="shared" si="150"/>
        <v>384.86917865380076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11.073111669105268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11.073111669105268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367.99999999999972</v>
      </c>
      <c r="DP155" s="17">
        <f>DO155*VLOOKUP('Données projet'!$B$14,Paramètres!$A$1:$I$89,3,0)*VLOOKUP('Données projet'!$B$14,Paramètres!$A$1:$I$89,5,0)</f>
        <v>292.78079999999977</v>
      </c>
      <c r="DQ155" s="13">
        <f t="shared" si="176"/>
        <v>69.660903052386217</v>
      </c>
      <c r="DR155" s="20">
        <f t="shared" si="177"/>
        <v>631.25263281623893</v>
      </c>
      <c r="DS155" s="59">
        <f t="shared" si="125"/>
        <v>918.17404582297877</v>
      </c>
      <c r="DT155" s="59">
        <f ca="1">AVERAGE(OFFSET($DS$3,0,0,'Données projet'!$E$14+1,1))-AVERAGE(OFFSET($H$3,0,0,'Données projet'!$E$14+1,1))</f>
        <v>429.30603040255431</v>
      </c>
      <c r="DU155" s="59">
        <f t="shared" si="152"/>
        <v>412.18613903804726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14.809807442647958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14.809807442647958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210.25641025641013</v>
      </c>
      <c r="EK155" s="17">
        <f>EJ155*VLOOKUP('Données projet'!$B$15,Paramètres!$A$1:$I$89,3,0)*VLOOKUP('Données projet'!$B$15,Paramètres!$A$1:$I$89,5,0)</f>
        <v>163.99999999999991</v>
      </c>
      <c r="EL155" s="13">
        <f t="shared" si="179"/>
        <v>41.743425908362248</v>
      </c>
      <c r="EM155" s="20">
        <f t="shared" si="180"/>
        <v>358.33646679039742</v>
      </c>
      <c r="EN155" s="59">
        <f t="shared" si="128"/>
        <v>645.25787979713732</v>
      </c>
      <c r="EO155" s="59">
        <f ca="1">AVERAGE(OFFSET($EN$3,0,0,'Données projet'!$E$15+1,1))-AVERAGE(OFFSET($H$3,0,0,'Données projet'!$E$15+1,1))</f>
        <v>217.53602321474159</v>
      </c>
      <c r="EP155" s="59">
        <f t="shared" si="154"/>
        <v>215.75909414893025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6.2411430087771675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6.2411430087771675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19.8100000000004</v>
      </c>
      <c r="FF155" s="17">
        <f>FE155*VLOOKUP('Données projet'!$B$16,Paramètres!$A$1:$I$89,3,0)*VLOOKUP('Données projet'!$B$16,Paramètres!$A$1:$I$89,5,0)</f>
        <v>13.288548000000269</v>
      </c>
      <c r="FG155" s="13">
        <f t="shared" si="182"/>
        <v>4.531654695205642</v>
      </c>
      <c r="FH155" s="20">
        <f t="shared" si="183"/>
        <v>31.036853027483627</v>
      </c>
      <c r="FI155" s="59">
        <f t="shared" si="131"/>
        <v>317.95826603422353</v>
      </c>
      <c r="FJ155" s="59">
        <f ca="1">AVERAGE(OFFSET($FI$3,0,0,'Données projet'!$E$16+1,1))-AVERAGE(OFFSET($H$3,0,0,'Données projet'!$E$16+1,1))</f>
        <v>441.20130048888439</v>
      </c>
      <c r="FK155" s="59">
        <f t="shared" si="156"/>
        <v>237.47732532183946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167.04733107040832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167.04733107040832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204.00000000000017</v>
      </c>
      <c r="GA155" s="17">
        <f>FZ155*VLOOKUP('Données projet'!$B$17,Paramètres!$A$1:$I$89,3,0)*VLOOKUP('Données projet'!$B$17,Paramètres!$A$1:$I$89,5,0)</f>
        <v>133.66080000000011</v>
      </c>
      <c r="GB155" s="13">
        <f t="shared" si="185"/>
        <v>34.840890682716783</v>
      </c>
      <c r="GC155" s="20">
        <f t="shared" si="186"/>
        <v>293.4737779390652</v>
      </c>
      <c r="GD155" s="59">
        <f t="shared" si="134"/>
        <v>580.3951909458051</v>
      </c>
      <c r="GE155" s="59">
        <f ca="1">AVERAGE(OFFSET($GD$3,0,0,'Données projet'!$E$17+1,1))-AVERAGE(OFFSET($H$3,0,0,'Données projet'!$E$17+1,1))</f>
        <v>257.66104339896992</v>
      </c>
      <c r="GF155" s="59">
        <f t="shared" si="158"/>
        <v>254.79488636184996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11.544753074982564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11.544753074982564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234.00000000000003</v>
      </c>
      <c r="GV155" s="17">
        <f>GU155*VLOOKUP('Données projet'!$B$18,Paramètres!$A$1:$I$89,3,0)*VLOOKUP('Données projet'!$B$18,Paramètres!$A$1:$I$89,5,0)</f>
        <v>189.82080000000005</v>
      </c>
      <c r="GW155" s="13">
        <f t="shared" si="188"/>
        <v>47.500332100049796</v>
      </c>
      <c r="GX155" s="20">
        <f t="shared" si="189"/>
        <v>413.33430507425345</v>
      </c>
      <c r="GY155" s="59">
        <f t="shared" si="137"/>
        <v>700.25571808099335</v>
      </c>
      <c r="GZ155" s="59">
        <f ca="1">AVERAGE(OFFSET($GY$3,0,0,'Données projet'!$E$18+1,1))-AVERAGE(OFFSET($H$3,0,0,'Données projet'!$E$18+1,1))</f>
        <v>299.98377156721153</v>
      </c>
      <c r="HA155" s="59">
        <f t="shared" si="160"/>
        <v>241.36164657721102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11.122670392628914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11.122670392628914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19.8100000000004</v>
      </c>
      <c r="O156" s="13">
        <f>N156*VLOOKUP('Données projet'!$B$9,Paramètres!$A$1:$I$89,3,0)*VLOOKUP('Données projet'!$B$9,Paramètres!$A$1:$I$89,5,0)</f>
        <v>17.924088000000364</v>
      </c>
      <c r="P156" s="13">
        <f t="shared" si="141"/>
        <v>5.9032212091029486</v>
      </c>
      <c r="Q156" s="20">
        <f t="shared" si="162"/>
        <v>41.499230205854936</v>
      </c>
      <c r="R156" s="59">
        <f t="shared" si="109"/>
        <v>328.53187569535493</v>
      </c>
      <c r="S156" s="59">
        <f ca="1">AVERAGE(OFFSET($R$3,0,0,'Données projet'!$E$9+1,1))-AVERAGE(OFFSET($H$3,0,0,'Données projet'!$E$9+1,1))</f>
        <v>567.42635821507474</v>
      </c>
      <c r="T156" s="59">
        <f t="shared" si="142"/>
        <v>299.04735309930152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179.22178902305427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179.22178902305427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474.99999999999994</v>
      </c>
      <c r="AJ156" s="13">
        <f>AI156*VLOOKUP('Données projet'!$B$10,Paramètres!$A$1:$I$89,3,0)*VLOOKUP('Données projet'!$B$10,Paramètres!$A$1:$I$89,5,0)</f>
        <v>407.55</v>
      </c>
      <c r="AK156" s="13">
        <f t="shared" si="164"/>
        <v>93.305642095357683</v>
      </c>
      <c r="AL156" s="20">
        <f t="shared" si="165"/>
        <v>872.32357664941446</v>
      </c>
      <c r="AM156" s="59">
        <f t="shared" si="113"/>
        <v>1159.3562221389145</v>
      </c>
      <c r="AN156" s="59">
        <f ca="1">AVERAGE(OFFSET($AM$3,0,0,'Données projet'!$E$10+1,1))-AVERAGE(OFFSET($H$3,0,0,'Données projet'!$E$10+1,1))</f>
        <v>569.97793593332699</v>
      </c>
      <c r="AO156" s="59">
        <f t="shared" si="144"/>
        <v>331.25104323342907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63.579891218393385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63.579891218393385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277.99999999999994</v>
      </c>
      <c r="BE156" s="13">
        <f>BD156*VLOOKUP('Données projet'!$B$11,Paramètres!$A$1:$I$89,3,0)*VLOOKUP('Données projet'!$B$11,Paramètres!$A$1:$I$89,5,0)</f>
        <v>151.78799999999998</v>
      </c>
      <c r="BF156" s="13">
        <f t="shared" si="167"/>
        <v>38.984634390835623</v>
      </c>
      <c r="BG156" s="20">
        <f t="shared" si="168"/>
        <v>332.26233823070532</v>
      </c>
      <c r="BH156" s="59">
        <f t="shared" si="116"/>
        <v>619.29498372020532</v>
      </c>
      <c r="BI156" s="59">
        <f ca="1">AVERAGE(OFFSET($BH$3,0,0,'Données projet'!$E$11+1,1))-AVERAGE(OFFSET($H$3,0,0,'Données projet'!$E$11+1,1))</f>
        <v>215.37314197175104</v>
      </c>
      <c r="BJ156" s="59">
        <f t="shared" si="146"/>
        <v>361.17630426655978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3.2124268096345503</v>
      </c>
      <c r="BQ156" s="21">
        <f>EXP(-LN(2)/25)*BQ155+(1-EXP(-LN(2)/25))/(LN(2)/25)*Calculateur!BL156*Calculateur!BN156*VLOOKUP('Données projet'!$B$11,Paramètres!$A$1:$I$89,3,0)*0.475*44/12</f>
        <v>3.1724239629400079</v>
      </c>
      <c r="BR156" s="21">
        <f>EXP(-LN(2)/2)*BR155+(1-EXP(-LN(2)/2))/(LN(2)/2)*BL156*BO156*VLOOKUP('Données projet'!$B$11,Paramètres!$A$1:$I$89,3,0)*0.475*44/12</f>
        <v>7.7755797907485239E-21</v>
      </c>
      <c r="BS156" s="22">
        <f t="shared" si="169"/>
        <v>6.3848507725745582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0.8600000000003547</v>
      </c>
      <c r="BZ156" s="13">
        <f>BY156*VLOOKUP('Données projet'!$B$12,Paramètres!$A$1:$I$89,3,0)*VLOOKUP('Données projet'!$B$12,Paramètres!$A$1:$I$89,5,0)</f>
        <v>0.48074000000019829</v>
      </c>
      <c r="CA156" s="13">
        <f t="shared" si="170"/>
        <v>0.24126147010950588</v>
      </c>
      <c r="CB156" s="20">
        <f t="shared" si="171"/>
        <v>1.2574858937744013</v>
      </c>
      <c r="CC156" s="59">
        <f t="shared" si="119"/>
        <v>288.2901313832744</v>
      </c>
      <c r="CD156" s="59">
        <f ca="1">AVERAGE(OFFSET($CC$3,0,0,'Données projet'!$E$12+1,1))-AVERAGE(OFFSET($H$3,0,0,'Données projet'!$E$12+1,1))</f>
        <v>420.4890915162182</v>
      </c>
      <c r="CE156" s="59">
        <f t="shared" si="148"/>
        <v>553.48432338023565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53.384296441918785</v>
      </c>
      <c r="CL156" s="21">
        <f>EXP(-LN(2)/25)*CL155+(1-EXP(-LN(2)/25))/(LN(2)/25)*Calculateur!CG156*Calculateur!CI156*VLOOKUP('Données projet'!$B$12,Paramètres!$A$1:$I$89,3,0)*0.475*44/12</f>
        <v>1.6704608235021603</v>
      </c>
      <c r="CM156" s="21">
        <f>EXP(-LN(2)/2)*CM155+(1-EXP(-LN(2)/2))/(LN(2)/2)*CG156*CJ156*VLOOKUP('Données projet'!$B$12,Paramètres!$A$1:$I$89,3,0)*0.475*44/12</f>
        <v>2.269030552161778E-19</v>
      </c>
      <c r="CN156" s="22">
        <f t="shared" si="172"/>
        <v>55.054757265420946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367.99999999999972</v>
      </c>
      <c r="CU156" s="17">
        <f>CT156*VLOOKUP('Données projet'!$B$13,Paramètres!$A$1:$I$89,3,0)*VLOOKUP('Données projet'!$B$13,Paramètres!$A$1:$I$89,5,0)</f>
        <v>269.8175999999998</v>
      </c>
      <c r="CV156" s="13">
        <f t="shared" si="173"/>
        <v>64.810557882019467</v>
      </c>
      <c r="CW156" s="20">
        <f t="shared" si="174"/>
        <v>582.81070831118348</v>
      </c>
      <c r="CX156" s="59">
        <f t="shared" si="122"/>
        <v>869.84335380068342</v>
      </c>
      <c r="CY156" s="59">
        <f ca="1">AVERAGE(OFFSET($CX$3,0,0,'Données projet'!$E$13+1,1))-AVERAGE(OFFSET($H$3,0,0,'Données projet'!$E$13+1,1))</f>
        <v>400.48995908576177</v>
      </c>
      <c r="CZ156" s="59">
        <f t="shared" si="150"/>
        <v>384.86917865380076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10.855974703205337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10.855974703205337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367.99999999999972</v>
      </c>
      <c r="DP156" s="17">
        <f>DO156*VLOOKUP('Données projet'!$B$14,Paramètres!$A$1:$I$89,3,0)*VLOOKUP('Données projet'!$B$14,Paramètres!$A$1:$I$89,5,0)</f>
        <v>292.78079999999977</v>
      </c>
      <c r="DQ156" s="13">
        <f t="shared" si="176"/>
        <v>69.660903052386217</v>
      </c>
      <c r="DR156" s="20">
        <f t="shared" si="177"/>
        <v>631.25263281623893</v>
      </c>
      <c r="DS156" s="59">
        <f t="shared" si="125"/>
        <v>918.28527830573898</v>
      </c>
      <c r="DT156" s="59">
        <f ca="1">AVERAGE(OFFSET($DS$3,0,0,'Données projet'!$E$14+1,1))-AVERAGE(OFFSET($H$3,0,0,'Données projet'!$E$14+1,1))</f>
        <v>429.30603040255431</v>
      </c>
      <c r="DU156" s="59">
        <f t="shared" si="152"/>
        <v>412.18613903804726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14.519396151788229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14.519396151788229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210.25641025641013</v>
      </c>
      <c r="EK156" s="17">
        <f>EJ156*VLOOKUP('Données projet'!$B$15,Paramètres!$A$1:$I$89,3,0)*VLOOKUP('Données projet'!$B$15,Paramètres!$A$1:$I$89,5,0)</f>
        <v>163.99999999999991</v>
      </c>
      <c r="EL156" s="13">
        <f t="shared" si="179"/>
        <v>41.743425908362248</v>
      </c>
      <c r="EM156" s="20">
        <f t="shared" si="180"/>
        <v>358.33646679039742</v>
      </c>
      <c r="EN156" s="59">
        <f t="shared" si="128"/>
        <v>645.36911227989742</v>
      </c>
      <c r="EO156" s="59">
        <f ca="1">AVERAGE(OFFSET($EN$3,0,0,'Données projet'!$E$15+1,1))-AVERAGE(OFFSET($H$3,0,0,'Données projet'!$E$15+1,1))</f>
        <v>217.53602321474159</v>
      </c>
      <c r="EP156" s="59">
        <f t="shared" si="154"/>
        <v>215.75909414893025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6.1187580010964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6.1187580010964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19.8100000000004</v>
      </c>
      <c r="FF156" s="17">
        <f>FE156*VLOOKUP('Données projet'!$B$16,Paramètres!$A$1:$I$89,3,0)*VLOOKUP('Données projet'!$B$16,Paramètres!$A$1:$I$89,5,0)</f>
        <v>13.288548000000269</v>
      </c>
      <c r="FG156" s="13">
        <f t="shared" si="182"/>
        <v>4.531654695205642</v>
      </c>
      <c r="FH156" s="20">
        <f t="shared" si="183"/>
        <v>31.036853027483627</v>
      </c>
      <c r="FI156" s="59">
        <f t="shared" si="131"/>
        <v>318.06949851698363</v>
      </c>
      <c r="FJ156" s="59">
        <f ca="1">AVERAGE(OFFSET($FI$3,0,0,'Données projet'!$E$16+1,1))-AVERAGE(OFFSET($H$3,0,0,'Données projet'!$E$16+1,1))</f>
        <v>441.20130048888439</v>
      </c>
      <c r="FK156" s="59">
        <f t="shared" si="156"/>
        <v>237.47732532183946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163.77163479692888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163.77163479692888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204.00000000000017</v>
      </c>
      <c r="GA156" s="17">
        <f>FZ156*VLOOKUP('Données projet'!$B$17,Paramètres!$A$1:$I$89,3,0)*VLOOKUP('Données projet'!$B$17,Paramètres!$A$1:$I$89,5,0)</f>
        <v>133.66080000000011</v>
      </c>
      <c r="GB156" s="13">
        <f t="shared" si="185"/>
        <v>34.840890682716783</v>
      </c>
      <c r="GC156" s="20">
        <f t="shared" si="186"/>
        <v>293.4737779390652</v>
      </c>
      <c r="GD156" s="59">
        <f t="shared" si="134"/>
        <v>580.5064234285652</v>
      </c>
      <c r="GE156" s="59">
        <f ca="1">AVERAGE(OFFSET($GD$3,0,0,'Données projet'!$E$17+1,1))-AVERAGE(OFFSET($H$3,0,0,'Données projet'!$E$17+1,1))</f>
        <v>257.66104339896992</v>
      </c>
      <c r="GF156" s="59">
        <f t="shared" si="158"/>
        <v>254.79488636184996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11.318367508786231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11.318367508786231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234.00000000000003</v>
      </c>
      <c r="GV156" s="17">
        <f>GU156*VLOOKUP('Données projet'!$B$18,Paramètres!$A$1:$I$89,3,0)*VLOOKUP('Données projet'!$B$18,Paramètres!$A$1:$I$89,5,0)</f>
        <v>189.82080000000005</v>
      </c>
      <c r="GW156" s="13">
        <f t="shared" si="188"/>
        <v>47.500332100049796</v>
      </c>
      <c r="GX156" s="20">
        <f t="shared" si="189"/>
        <v>413.33430507425345</v>
      </c>
      <c r="GY156" s="59">
        <f t="shared" si="137"/>
        <v>700.36695056375345</v>
      </c>
      <c r="GZ156" s="59">
        <f ca="1">AVERAGE(OFFSET($GY$3,0,0,'Données projet'!$E$18+1,1))-AVERAGE(OFFSET($H$3,0,0,'Données projet'!$E$18+1,1))</f>
        <v>299.98377156721153</v>
      </c>
      <c r="HA156" s="59">
        <f t="shared" si="160"/>
        <v>241.36164657721102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10.904561610388519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10.904561610388519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19.8100000000004</v>
      </c>
      <c r="O157" s="13">
        <f>N157*VLOOKUP('Données projet'!$B$9,Paramètres!$A$1:$I$89,3,0)*VLOOKUP('Données projet'!$B$9,Paramètres!$A$1:$I$89,5,0)</f>
        <v>17.924088000000364</v>
      </c>
      <c r="P157" s="13">
        <f t="shared" si="141"/>
        <v>5.9032212091029486</v>
      </c>
      <c r="Q157" s="20">
        <f t="shared" si="162"/>
        <v>41.499230205854936</v>
      </c>
      <c r="R157" s="59">
        <f t="shared" si="109"/>
        <v>328.64117854321768</v>
      </c>
      <c r="S157" s="59">
        <f ca="1">AVERAGE(OFFSET($R$3,0,0,'Données projet'!$E$9+1,1))-AVERAGE(OFFSET($H$3,0,0,'Données projet'!$E$9+1,1))</f>
        <v>567.42635821507474</v>
      </c>
      <c r="T157" s="59">
        <f t="shared" si="142"/>
        <v>299.04735309930152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175.70735905480956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175.70735905480956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474.99999999999994</v>
      </c>
      <c r="AJ157" s="13">
        <f>AI157*VLOOKUP('Données projet'!$B$10,Paramètres!$A$1:$I$89,3,0)*VLOOKUP('Données projet'!$B$10,Paramètres!$A$1:$I$89,5,0)</f>
        <v>407.55</v>
      </c>
      <c r="AK157" s="13">
        <f t="shared" si="164"/>
        <v>93.305642095357683</v>
      </c>
      <c r="AL157" s="20">
        <f t="shared" si="165"/>
        <v>872.32357664941446</v>
      </c>
      <c r="AM157" s="59">
        <f t="shared" si="113"/>
        <v>1159.4655249867772</v>
      </c>
      <c r="AN157" s="59">
        <f ca="1">AVERAGE(OFFSET($AM$3,0,0,'Données projet'!$E$10+1,1))-AVERAGE(OFFSET($H$3,0,0,'Données projet'!$E$10+1,1))</f>
        <v>569.97793593332699</v>
      </c>
      <c r="AO157" s="59">
        <f t="shared" si="144"/>
        <v>331.25104323342907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62.333128331505137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62.333128331505137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277.99999999999994</v>
      </c>
      <c r="BE157" s="13">
        <f>BD157*VLOOKUP('Données projet'!$B$11,Paramètres!$A$1:$I$89,3,0)*VLOOKUP('Données projet'!$B$11,Paramètres!$A$1:$I$89,5,0)</f>
        <v>151.78799999999998</v>
      </c>
      <c r="BF157" s="13">
        <f t="shared" si="167"/>
        <v>38.984634390835623</v>
      </c>
      <c r="BG157" s="20">
        <f t="shared" si="168"/>
        <v>332.26233823070532</v>
      </c>
      <c r="BH157" s="59">
        <f t="shared" si="116"/>
        <v>619.40428656806807</v>
      </c>
      <c r="BI157" s="59">
        <f ca="1">AVERAGE(OFFSET($BH$3,0,0,'Données projet'!$E$11+1,1))-AVERAGE(OFFSET($H$3,0,0,'Données projet'!$E$11+1,1))</f>
        <v>215.37314197175104</v>
      </c>
      <c r="BJ157" s="59">
        <f t="shared" si="146"/>
        <v>361.17630426655978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3.1494330792844973</v>
      </c>
      <c r="BQ157" s="21">
        <f>EXP(-LN(2)/25)*BQ156+(1-EXP(-LN(2)/25))/(LN(2)/25)*Calculateur!BL157*Calculateur!BN157*VLOOKUP('Données projet'!$B$11,Paramètres!$A$1:$I$89,3,0)*0.475*44/12</f>
        <v>3.0856738628428877</v>
      </c>
      <c r="BR157" s="21">
        <f>EXP(-LN(2)/2)*BR156+(1-EXP(-LN(2)/2))/(LN(2)/2)*BL157*BO157*VLOOKUP('Données projet'!$B$11,Paramètres!$A$1:$I$89,3,0)*0.475*44/12</f>
        <v>5.4981651976953576E-21</v>
      </c>
      <c r="BS157" s="22">
        <f t="shared" si="169"/>
        <v>6.235106942127385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0.8600000000003547</v>
      </c>
      <c r="BZ157" s="13">
        <f>BY157*VLOOKUP('Données projet'!$B$12,Paramètres!$A$1:$I$89,3,0)*VLOOKUP('Données projet'!$B$12,Paramètres!$A$1:$I$89,5,0)</f>
        <v>0.48074000000019829</v>
      </c>
      <c r="CA157" s="13">
        <f t="shared" si="170"/>
        <v>0.24126147010950588</v>
      </c>
      <c r="CB157" s="20">
        <f t="shared" si="171"/>
        <v>1.2574858937744013</v>
      </c>
      <c r="CC157" s="59">
        <f t="shared" si="119"/>
        <v>288.39943423113715</v>
      </c>
      <c r="CD157" s="59">
        <f ca="1">AVERAGE(OFFSET($CC$3,0,0,'Données projet'!$E$12+1,1))-AVERAGE(OFFSET($H$3,0,0,'Données projet'!$E$12+1,1))</f>
        <v>420.4890915162182</v>
      </c>
      <c r="CE157" s="59">
        <f t="shared" si="148"/>
        <v>553.48432338023565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52.337462949898438</v>
      </c>
      <c r="CL157" s="21">
        <f>EXP(-LN(2)/25)*CL156+(1-EXP(-LN(2)/25))/(LN(2)/25)*Calculateur!CG157*Calculateur!CI157*VLOOKUP('Données projet'!$B$12,Paramètres!$A$1:$I$89,3,0)*0.475*44/12</f>
        <v>1.6247819844377769</v>
      </c>
      <c r="CM157" s="21">
        <f>EXP(-LN(2)/2)*CM156+(1-EXP(-LN(2)/2))/(LN(2)/2)*CG157*CJ157*VLOOKUP('Données projet'!$B$12,Paramètres!$A$1:$I$89,3,0)*0.475*44/12</f>
        <v>1.6044468901530495E-19</v>
      </c>
      <c r="CN157" s="22">
        <f t="shared" si="172"/>
        <v>53.962244934336212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367.99999999999972</v>
      </c>
      <c r="CU157" s="17">
        <f>CT157*VLOOKUP('Données projet'!$B$13,Paramètres!$A$1:$I$89,3,0)*VLOOKUP('Données projet'!$B$13,Paramètres!$A$1:$I$89,5,0)</f>
        <v>269.8175999999998</v>
      </c>
      <c r="CV157" s="13">
        <f t="shared" si="173"/>
        <v>64.810557882019467</v>
      </c>
      <c r="CW157" s="20">
        <f t="shared" si="174"/>
        <v>582.81070831118348</v>
      </c>
      <c r="CX157" s="59">
        <f t="shared" si="122"/>
        <v>869.95265664854628</v>
      </c>
      <c r="CY157" s="59">
        <f ca="1">AVERAGE(OFFSET($CX$3,0,0,'Données projet'!$E$13+1,1))-AVERAGE(OFFSET($H$3,0,0,'Données projet'!$E$13+1,1))</f>
        <v>400.48995908576177</v>
      </c>
      <c r="CZ157" s="59">
        <f t="shared" si="150"/>
        <v>384.86917865380076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10.643095660766232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10.643095660766232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367.99999999999972</v>
      </c>
      <c r="DP157" s="17">
        <f>DO157*VLOOKUP('Données projet'!$B$14,Paramètres!$A$1:$I$89,3,0)*VLOOKUP('Données projet'!$B$14,Paramètres!$A$1:$I$89,5,0)</f>
        <v>292.78079999999977</v>
      </c>
      <c r="DQ157" s="13">
        <f t="shared" si="176"/>
        <v>69.660903052386217</v>
      </c>
      <c r="DR157" s="20">
        <f t="shared" si="177"/>
        <v>631.25263281623893</v>
      </c>
      <c r="DS157" s="59">
        <f t="shared" si="125"/>
        <v>918.39458115360162</v>
      </c>
      <c r="DT157" s="59">
        <f ca="1">AVERAGE(OFFSET($DS$3,0,0,'Données projet'!$E$14+1,1))-AVERAGE(OFFSET($H$3,0,0,'Données projet'!$E$14+1,1))</f>
        <v>429.30603040255431</v>
      </c>
      <c r="DU157" s="59">
        <f t="shared" si="152"/>
        <v>412.18613903804726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14.234679649208861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14.234679649208861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210.25641025641013</v>
      </c>
      <c r="EK157" s="17">
        <f>EJ157*VLOOKUP('Données projet'!$B$15,Paramètres!$A$1:$I$89,3,0)*VLOOKUP('Données projet'!$B$15,Paramètres!$A$1:$I$89,5,0)</f>
        <v>163.99999999999991</v>
      </c>
      <c r="EL157" s="13">
        <f t="shared" si="179"/>
        <v>41.743425908362248</v>
      </c>
      <c r="EM157" s="20">
        <f t="shared" si="180"/>
        <v>358.33646679039742</v>
      </c>
      <c r="EN157" s="59">
        <f t="shared" si="128"/>
        <v>645.47841512776017</v>
      </c>
      <c r="EO157" s="59">
        <f ca="1">AVERAGE(OFFSET($EN$3,0,0,'Données projet'!$E$15+1,1))-AVERAGE(OFFSET($H$3,0,0,'Données projet'!$E$15+1,1))</f>
        <v>217.53602321474159</v>
      </c>
      <c r="EP157" s="59">
        <f t="shared" si="154"/>
        <v>215.75909414893025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5.9987728887687686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5.9987728887687686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19.8100000000004</v>
      </c>
      <c r="FF157" s="17">
        <f>FE157*VLOOKUP('Données projet'!$B$16,Paramètres!$A$1:$I$89,3,0)*VLOOKUP('Données projet'!$B$16,Paramètres!$A$1:$I$89,5,0)</f>
        <v>13.288548000000269</v>
      </c>
      <c r="FG157" s="13">
        <f t="shared" si="182"/>
        <v>4.531654695205642</v>
      </c>
      <c r="FH157" s="20">
        <f t="shared" si="183"/>
        <v>31.036853027483627</v>
      </c>
      <c r="FI157" s="59">
        <f t="shared" si="131"/>
        <v>318.17880136484638</v>
      </c>
      <c r="FJ157" s="59">
        <f ca="1">AVERAGE(OFFSET($FI$3,0,0,'Données projet'!$E$16+1,1))-AVERAGE(OFFSET($H$3,0,0,'Données projet'!$E$16+1,1))</f>
        <v>441.20130048888439</v>
      </c>
      <c r="FK157" s="59">
        <f t="shared" si="156"/>
        <v>237.47732532183946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160.56017292939492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160.56017292939492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204.00000000000017</v>
      </c>
      <c r="GA157" s="17">
        <f>FZ157*VLOOKUP('Données projet'!$B$17,Paramètres!$A$1:$I$89,3,0)*VLOOKUP('Données projet'!$B$17,Paramètres!$A$1:$I$89,5,0)</f>
        <v>133.66080000000011</v>
      </c>
      <c r="GB157" s="13">
        <f t="shared" si="185"/>
        <v>34.840890682716783</v>
      </c>
      <c r="GC157" s="20">
        <f t="shared" si="186"/>
        <v>293.4737779390652</v>
      </c>
      <c r="GD157" s="59">
        <f t="shared" si="134"/>
        <v>580.61572627642795</v>
      </c>
      <c r="GE157" s="59">
        <f ca="1">AVERAGE(OFFSET($GD$3,0,0,'Données projet'!$E$17+1,1))-AVERAGE(OFFSET($H$3,0,0,'Données projet'!$E$17+1,1))</f>
        <v>257.66104339896992</v>
      </c>
      <c r="GF157" s="59">
        <f t="shared" si="158"/>
        <v>254.79488636184996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11.096421225461448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11.096421225461448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234.00000000000003</v>
      </c>
      <c r="GV157" s="17">
        <f>GU157*VLOOKUP('Données projet'!$B$18,Paramètres!$A$1:$I$89,3,0)*VLOOKUP('Données projet'!$B$18,Paramètres!$A$1:$I$89,5,0)</f>
        <v>189.82080000000005</v>
      </c>
      <c r="GW157" s="13">
        <f t="shared" si="188"/>
        <v>47.500332100049796</v>
      </c>
      <c r="GX157" s="20">
        <f t="shared" si="189"/>
        <v>413.33430507425345</v>
      </c>
      <c r="GY157" s="59">
        <f t="shared" si="137"/>
        <v>700.4762534116162</v>
      </c>
      <c r="GZ157" s="59">
        <f ca="1">AVERAGE(OFFSET($GY$3,0,0,'Données projet'!$E$18+1,1))-AVERAGE(OFFSET($H$3,0,0,'Données projet'!$E$18+1,1))</f>
        <v>299.98377156721153</v>
      </c>
      <c r="HA157" s="59">
        <f t="shared" si="160"/>
        <v>241.36164657721102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10.690729808334639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10.690729808334639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19.8100000000004</v>
      </c>
      <c r="O158" s="13">
        <f>N158*VLOOKUP('Données projet'!$B$9,Paramètres!$A$1:$I$89,3,0)*VLOOKUP('Données projet'!$B$9,Paramètres!$A$1:$I$89,5,0)</f>
        <v>17.924088000000364</v>
      </c>
      <c r="P158" s="13">
        <f t="shared" si="141"/>
        <v>5.9032212091029486</v>
      </c>
      <c r="Q158" s="20">
        <f t="shared" si="162"/>
        <v>41.499230205854936</v>
      </c>
      <c r="R158" s="59">
        <f t="shared" si="109"/>
        <v>328.74858523103461</v>
      </c>
      <c r="S158" s="59">
        <f ca="1">AVERAGE(OFFSET($R$3,0,0,'Données projet'!$E$9+1,1))-AVERAGE(OFFSET($H$3,0,0,'Données projet'!$E$9+1,1))</f>
        <v>567.42635821507474</v>
      </c>
      <c r="T158" s="59">
        <f t="shared" si="142"/>
        <v>299.04735309930152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172.2618449146515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172.2618449146515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474.99999999999994</v>
      </c>
      <c r="AJ158" s="13">
        <f>AI158*VLOOKUP('Données projet'!$B$10,Paramètres!$A$1:$I$89,3,0)*VLOOKUP('Données projet'!$B$10,Paramètres!$A$1:$I$89,5,0)</f>
        <v>407.55</v>
      </c>
      <c r="AK158" s="13">
        <f t="shared" si="164"/>
        <v>93.305642095357683</v>
      </c>
      <c r="AL158" s="20">
        <f t="shared" si="165"/>
        <v>872.32357664941446</v>
      </c>
      <c r="AM158" s="59">
        <f t="shared" si="113"/>
        <v>1159.5729316745942</v>
      </c>
      <c r="AN158" s="59">
        <f ca="1">AVERAGE(OFFSET($AM$3,0,0,'Données projet'!$E$10+1,1))-AVERAGE(OFFSET($H$3,0,0,'Données projet'!$E$10+1,1))</f>
        <v>569.97793593332699</v>
      </c>
      <c r="AO158" s="59">
        <f t="shared" si="144"/>
        <v>331.25104323342907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61.110813704378494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61.110813704378494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277.99999999999994</v>
      </c>
      <c r="BE158" s="13">
        <f>BD158*VLOOKUP('Données projet'!$B$11,Paramètres!$A$1:$I$89,3,0)*VLOOKUP('Données projet'!$B$11,Paramètres!$A$1:$I$89,5,0)</f>
        <v>151.78799999999998</v>
      </c>
      <c r="BF158" s="13">
        <f t="shared" si="167"/>
        <v>38.984634390835623</v>
      </c>
      <c r="BG158" s="20">
        <f t="shared" si="168"/>
        <v>332.26233823070532</v>
      </c>
      <c r="BH158" s="59">
        <f t="shared" si="116"/>
        <v>619.51169325588501</v>
      </c>
      <c r="BI158" s="59">
        <f ca="1">AVERAGE(OFFSET($BH$3,0,0,'Données projet'!$E$11+1,1))-AVERAGE(OFFSET($H$3,0,0,'Données projet'!$E$11+1,1))</f>
        <v>215.37314197175104</v>
      </c>
      <c r="BJ158" s="59">
        <f t="shared" si="146"/>
        <v>361.17630426655978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3.0876746175642271</v>
      </c>
      <c r="BQ158" s="21">
        <f>EXP(-LN(2)/25)*BQ157+(1-EXP(-LN(2)/25))/(LN(2)/25)*Calculateur!BL158*Calculateur!BN158*VLOOKUP('Données projet'!$B$11,Paramètres!$A$1:$I$89,3,0)*0.475*44/12</f>
        <v>3.0012959487949127</v>
      </c>
      <c r="BR158" s="21">
        <f>EXP(-LN(2)/2)*BR157+(1-EXP(-LN(2)/2))/(LN(2)/2)*BL158*BO158*VLOOKUP('Données projet'!$B$11,Paramètres!$A$1:$I$89,3,0)*0.475*44/12</f>
        <v>3.887789895374262E-21</v>
      </c>
      <c r="BS158" s="22">
        <f t="shared" si="169"/>
        <v>6.0889705663591398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0.8600000000003547</v>
      </c>
      <c r="BZ158" s="13">
        <f>BY158*VLOOKUP('Données projet'!$B$12,Paramètres!$A$1:$I$89,3,0)*VLOOKUP('Données projet'!$B$12,Paramètres!$A$1:$I$89,5,0)</f>
        <v>0.48074000000019829</v>
      </c>
      <c r="CA158" s="13">
        <f t="shared" si="170"/>
        <v>0.24126147010950588</v>
      </c>
      <c r="CB158" s="20">
        <f t="shared" si="171"/>
        <v>1.2574858937744013</v>
      </c>
      <c r="CC158" s="59">
        <f t="shared" si="119"/>
        <v>288.50684091895408</v>
      </c>
      <c r="CD158" s="59">
        <f ca="1">AVERAGE(OFFSET($CC$3,0,0,'Données projet'!$E$12+1,1))-AVERAGE(OFFSET($H$3,0,0,'Données projet'!$E$12+1,1))</f>
        <v>420.4890915162182</v>
      </c>
      <c r="CE158" s="59">
        <f t="shared" si="148"/>
        <v>553.48432338023565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51.311157224151223</v>
      </c>
      <c r="CL158" s="21">
        <f>EXP(-LN(2)/25)*CL157+(1-EXP(-LN(2)/25))/(LN(2)/25)*Calculateur!CG158*Calculateur!CI158*VLOOKUP('Données projet'!$B$12,Paramètres!$A$1:$I$89,3,0)*0.475*44/12</f>
        <v>1.5803522356297548</v>
      </c>
      <c r="CM158" s="21">
        <f>EXP(-LN(2)/2)*CM157+(1-EXP(-LN(2)/2))/(LN(2)/2)*CG158*CJ158*VLOOKUP('Données projet'!$B$12,Paramètres!$A$1:$I$89,3,0)*0.475*44/12</f>
        <v>1.134515276080889E-19</v>
      </c>
      <c r="CN158" s="22">
        <f t="shared" si="172"/>
        <v>52.891509459780977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367.99999999999972</v>
      </c>
      <c r="CU158" s="17">
        <f>CT158*VLOOKUP('Données projet'!$B$13,Paramètres!$A$1:$I$89,3,0)*VLOOKUP('Données projet'!$B$13,Paramètres!$A$1:$I$89,5,0)</f>
        <v>269.8175999999998</v>
      </c>
      <c r="CV158" s="13">
        <f t="shared" si="173"/>
        <v>64.810557882019467</v>
      </c>
      <c r="CW158" s="20">
        <f t="shared" si="174"/>
        <v>582.81070831118348</v>
      </c>
      <c r="CX158" s="59">
        <f t="shared" si="122"/>
        <v>870.0600633363631</v>
      </c>
      <c r="CY158" s="59">
        <f ca="1">AVERAGE(OFFSET($CX$3,0,0,'Données projet'!$E$13+1,1))-AVERAGE(OFFSET($H$3,0,0,'Données projet'!$E$13+1,1))</f>
        <v>400.48995908576177</v>
      </c>
      <c r="CZ158" s="59">
        <f t="shared" si="150"/>
        <v>384.86917865380076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10.434391046505961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10.434391046505961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367.99999999999972</v>
      </c>
      <c r="DP158" s="17">
        <f>DO158*VLOOKUP('Données projet'!$B$14,Paramètres!$A$1:$I$89,3,0)*VLOOKUP('Données projet'!$B$14,Paramètres!$A$1:$I$89,5,0)</f>
        <v>292.78079999999977</v>
      </c>
      <c r="DQ158" s="13">
        <f t="shared" si="176"/>
        <v>69.660903052386217</v>
      </c>
      <c r="DR158" s="20">
        <f t="shared" si="177"/>
        <v>631.25263281623893</v>
      </c>
      <c r="DS158" s="59">
        <f t="shared" si="125"/>
        <v>918.50198784141867</v>
      </c>
      <c r="DT158" s="59">
        <f ca="1">AVERAGE(OFFSET($DS$3,0,0,'Données projet'!$E$14+1,1))-AVERAGE(OFFSET($H$3,0,0,'Données projet'!$E$14+1,1))</f>
        <v>429.30603040255431</v>
      </c>
      <c r="DU158" s="59">
        <f t="shared" si="152"/>
        <v>412.18613903804726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13.955546263585155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13.955546263585155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210.25641025641013</v>
      </c>
      <c r="EK158" s="17">
        <f>EJ158*VLOOKUP('Données projet'!$B$15,Paramètres!$A$1:$I$89,3,0)*VLOOKUP('Données projet'!$B$15,Paramètres!$A$1:$I$89,5,0)</f>
        <v>163.99999999999991</v>
      </c>
      <c r="EL158" s="13">
        <f t="shared" si="179"/>
        <v>41.743425908362248</v>
      </c>
      <c r="EM158" s="20">
        <f t="shared" si="180"/>
        <v>358.33646679039742</v>
      </c>
      <c r="EN158" s="59">
        <f t="shared" si="128"/>
        <v>645.58582181557711</v>
      </c>
      <c r="EO158" s="59">
        <f ca="1">AVERAGE(OFFSET($EN$3,0,0,'Données projet'!$E$15+1,1))-AVERAGE(OFFSET($H$3,0,0,'Données projet'!$E$15+1,1))</f>
        <v>217.53602321474159</v>
      </c>
      <c r="EP158" s="59">
        <f t="shared" si="154"/>
        <v>215.75909414893025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5.8811406113101894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5.8811406113101894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19.8100000000004</v>
      </c>
      <c r="FF158" s="17">
        <f>FE158*VLOOKUP('Données projet'!$B$16,Paramètres!$A$1:$I$89,3,0)*VLOOKUP('Données projet'!$B$16,Paramètres!$A$1:$I$89,5,0)</f>
        <v>13.288548000000269</v>
      </c>
      <c r="FG158" s="13">
        <f t="shared" si="182"/>
        <v>4.531654695205642</v>
      </c>
      <c r="FH158" s="20">
        <f t="shared" si="183"/>
        <v>31.036853027483627</v>
      </c>
      <c r="FI158" s="59">
        <f t="shared" si="131"/>
        <v>318.28620805266331</v>
      </c>
      <c r="FJ158" s="59">
        <f ca="1">AVERAGE(OFFSET($FI$3,0,0,'Données projet'!$E$16+1,1))-AVERAGE(OFFSET($H$3,0,0,'Données projet'!$E$16+1,1))</f>
        <v>441.20130048888439</v>
      </c>
      <c r="FK158" s="59">
        <f t="shared" si="156"/>
        <v>237.47732532183946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157.411685870285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157.411685870285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204.00000000000017</v>
      </c>
      <c r="GA158" s="17">
        <f>FZ158*VLOOKUP('Données projet'!$B$17,Paramètres!$A$1:$I$89,3,0)*VLOOKUP('Données projet'!$B$17,Paramètres!$A$1:$I$89,5,0)</f>
        <v>133.66080000000011</v>
      </c>
      <c r="GB158" s="13">
        <f t="shared" si="185"/>
        <v>34.840890682716783</v>
      </c>
      <c r="GC158" s="20">
        <f t="shared" si="186"/>
        <v>293.4737779390652</v>
      </c>
      <c r="GD158" s="59">
        <f t="shared" si="134"/>
        <v>580.72313296424488</v>
      </c>
      <c r="GE158" s="59">
        <f ca="1">AVERAGE(OFFSET($GD$3,0,0,'Données projet'!$E$17+1,1))-AVERAGE(OFFSET($H$3,0,0,'Données projet'!$E$17+1,1))</f>
        <v>257.66104339896992</v>
      </c>
      <c r="GF158" s="59">
        <f t="shared" si="158"/>
        <v>254.79488636184996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10.878827173378797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10.878827173378797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234.00000000000003</v>
      </c>
      <c r="GV158" s="17">
        <f>GU158*VLOOKUP('Données projet'!$B$18,Paramètres!$A$1:$I$89,3,0)*VLOOKUP('Données projet'!$B$18,Paramètres!$A$1:$I$89,5,0)</f>
        <v>189.82080000000005</v>
      </c>
      <c r="GW158" s="13">
        <f t="shared" si="188"/>
        <v>47.500332100049796</v>
      </c>
      <c r="GX158" s="20">
        <f t="shared" si="189"/>
        <v>413.33430507425345</v>
      </c>
      <c r="GY158" s="59">
        <f t="shared" si="137"/>
        <v>700.58366009943313</v>
      </c>
      <c r="GZ158" s="59">
        <f ca="1">AVERAGE(OFFSET($GY$3,0,0,'Données projet'!$E$18+1,1))-AVERAGE(OFFSET($H$3,0,0,'Données projet'!$E$18+1,1))</f>
        <v>299.98377156721153</v>
      </c>
      <c r="HA158" s="59">
        <f t="shared" si="160"/>
        <v>241.36164657721102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10.481091117494515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10.481091117494515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19.8100000000004</v>
      </c>
      <c r="O159" s="13">
        <f>N159*VLOOKUP('Données projet'!$B$9,Paramètres!$A$1:$I$89,3,0)*VLOOKUP('Données projet'!$B$9,Paramètres!$A$1:$I$89,5,0)</f>
        <v>17.924088000000364</v>
      </c>
      <c r="P159" s="13">
        <f t="shared" si="141"/>
        <v>5.9032212091029486</v>
      </c>
      <c r="Q159" s="20">
        <f t="shared" si="162"/>
        <v>41.499230205854936</v>
      </c>
      <c r="R159" s="59">
        <f t="shared" si="109"/>
        <v>328.85412865294325</v>
      </c>
      <c r="S159" s="59">
        <f ca="1">AVERAGE(OFFSET($R$3,0,0,'Données projet'!$E$9+1,1))-AVERAGE(OFFSET($H$3,0,0,'Données projet'!$E$9+1,1))</f>
        <v>567.42635821507474</v>
      </c>
      <c r="T159" s="59">
        <f t="shared" si="142"/>
        <v>299.04735309930152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168.88389520522585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168.88389520522585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474.99999999999994</v>
      </c>
      <c r="AJ159" s="13">
        <f>AI159*VLOOKUP('Données projet'!$B$10,Paramètres!$A$1:$I$89,3,0)*VLOOKUP('Données projet'!$B$10,Paramètres!$A$1:$I$89,5,0)</f>
        <v>407.55</v>
      </c>
      <c r="AK159" s="13">
        <f t="shared" si="164"/>
        <v>93.305642095357683</v>
      </c>
      <c r="AL159" s="20">
        <f t="shared" si="165"/>
        <v>872.32357664941446</v>
      </c>
      <c r="AM159" s="59">
        <f t="shared" si="113"/>
        <v>1159.6784750965028</v>
      </c>
      <c r="AN159" s="59">
        <f ca="1">AVERAGE(OFFSET($AM$3,0,0,'Données projet'!$E$10+1,1))-AVERAGE(OFFSET($H$3,0,0,'Données projet'!$E$10+1,1))</f>
        <v>569.97793593332699</v>
      </c>
      <c r="AO159" s="59">
        <f t="shared" si="144"/>
        <v>331.25104323342907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59.912467921551496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59.912467921551496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277.99999999999994</v>
      </c>
      <c r="BE159" s="13">
        <f>BD159*VLOOKUP('Données projet'!$B$11,Paramètres!$A$1:$I$89,3,0)*VLOOKUP('Données projet'!$B$11,Paramètres!$A$1:$I$89,5,0)</f>
        <v>151.78799999999998</v>
      </c>
      <c r="BF159" s="13">
        <f t="shared" si="167"/>
        <v>38.984634390835623</v>
      </c>
      <c r="BG159" s="20">
        <f t="shared" si="168"/>
        <v>332.26233823070532</v>
      </c>
      <c r="BH159" s="59">
        <f t="shared" si="116"/>
        <v>619.6172366777937</v>
      </c>
      <c r="BI159" s="59">
        <f ca="1">AVERAGE(OFFSET($BH$3,0,0,'Données projet'!$E$11+1,1))-AVERAGE(OFFSET($H$3,0,0,'Données projet'!$E$11+1,1))</f>
        <v>215.37314197175104</v>
      </c>
      <c r="BJ159" s="59">
        <f t="shared" si="146"/>
        <v>361.17630426655978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3.0271272016093493</v>
      </c>
      <c r="BQ159" s="21">
        <f>EXP(-LN(2)/25)*BQ158+(1-EXP(-LN(2)/25))/(LN(2)/25)*Calculateur!BL159*Calculateur!BN159*VLOOKUP('Données projet'!$B$11,Paramètres!$A$1:$I$89,3,0)*0.475*44/12</f>
        <v>2.9192253532438213</v>
      </c>
      <c r="BR159" s="21">
        <f>EXP(-LN(2)/2)*BR158+(1-EXP(-LN(2)/2))/(LN(2)/2)*BL159*BO159*VLOOKUP('Données projet'!$B$11,Paramètres!$A$1:$I$89,3,0)*0.475*44/12</f>
        <v>2.7490825988476788E-21</v>
      </c>
      <c r="BS159" s="22">
        <f t="shared" si="169"/>
        <v>5.9463525548531706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0.8600000000003547</v>
      </c>
      <c r="BZ159" s="13">
        <f>BY159*VLOOKUP('Données projet'!$B$12,Paramètres!$A$1:$I$89,3,0)*VLOOKUP('Données projet'!$B$12,Paramètres!$A$1:$I$89,5,0)</f>
        <v>0.48074000000019829</v>
      </c>
      <c r="CA159" s="13">
        <f t="shared" si="170"/>
        <v>0.24126147010950588</v>
      </c>
      <c r="CB159" s="20">
        <f t="shared" si="171"/>
        <v>1.2574858937744013</v>
      </c>
      <c r="CC159" s="59">
        <f t="shared" si="119"/>
        <v>288.61238434086272</v>
      </c>
      <c r="CD159" s="59">
        <f ca="1">AVERAGE(OFFSET($CC$3,0,0,'Données projet'!$E$12+1,1))-AVERAGE(OFFSET($H$3,0,0,'Données projet'!$E$12+1,1))</f>
        <v>420.4890915162182</v>
      </c>
      <c r="CE159" s="59">
        <f t="shared" si="148"/>
        <v>553.48432338023565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50.304976727701231</v>
      </c>
      <c r="CL159" s="21">
        <f>EXP(-LN(2)/25)*CL158+(1-EXP(-LN(2)/25))/(LN(2)/25)*Calculateur!CG159*Calculateur!CI159*VLOOKUP('Données projet'!$B$12,Paramètres!$A$1:$I$89,3,0)*0.475*44/12</f>
        <v>1.5371374206393471</v>
      </c>
      <c r="CM159" s="21">
        <f>EXP(-LN(2)/2)*CM158+(1-EXP(-LN(2)/2))/(LN(2)/2)*CG159*CJ159*VLOOKUP('Données projet'!$B$12,Paramètres!$A$1:$I$89,3,0)*0.475*44/12</f>
        <v>8.0222344507652474E-20</v>
      </c>
      <c r="CN159" s="22">
        <f t="shared" si="172"/>
        <v>51.842114148340578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367.99999999999972</v>
      </c>
      <c r="CU159" s="17">
        <f>CT159*VLOOKUP('Données projet'!$B$13,Paramètres!$A$1:$I$89,3,0)*VLOOKUP('Données projet'!$B$13,Paramètres!$A$1:$I$89,5,0)</f>
        <v>269.8175999999998</v>
      </c>
      <c r="CV159" s="13">
        <f t="shared" si="173"/>
        <v>64.810557882019467</v>
      </c>
      <c r="CW159" s="20">
        <f t="shared" si="174"/>
        <v>582.81070831118348</v>
      </c>
      <c r="CX159" s="59">
        <f t="shared" si="122"/>
        <v>870.16560675827179</v>
      </c>
      <c r="CY159" s="59">
        <f ca="1">AVERAGE(OFFSET($CX$3,0,0,'Données projet'!$E$13+1,1))-AVERAGE(OFFSET($H$3,0,0,'Données projet'!$E$13+1,1))</f>
        <v>400.48995908576177</v>
      </c>
      <c r="CZ159" s="59">
        <f t="shared" si="150"/>
        <v>384.86917865380076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10.229779002434091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10.229779002434091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367.99999999999972</v>
      </c>
      <c r="DP159" s="17">
        <f>DO159*VLOOKUP('Données projet'!$B$14,Paramètres!$A$1:$I$89,3,0)*VLOOKUP('Données projet'!$B$14,Paramètres!$A$1:$I$89,5,0)</f>
        <v>292.78079999999977</v>
      </c>
      <c r="DQ159" s="13">
        <f t="shared" si="176"/>
        <v>69.660903052386217</v>
      </c>
      <c r="DR159" s="20">
        <f t="shared" si="177"/>
        <v>631.25263281623893</v>
      </c>
      <c r="DS159" s="59">
        <f t="shared" si="125"/>
        <v>918.60753126332725</v>
      </c>
      <c r="DT159" s="59">
        <f ca="1">AVERAGE(OFFSET($DS$3,0,0,'Données projet'!$E$14+1,1))-AVERAGE(OFFSET($H$3,0,0,'Données projet'!$E$14+1,1))</f>
        <v>429.30603040255431</v>
      </c>
      <c r="DU159" s="59">
        <f t="shared" si="152"/>
        <v>412.18613903804726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13.681886513398977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13.681886513398977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210.25641025641013</v>
      </c>
      <c r="EK159" s="17">
        <f>EJ159*VLOOKUP('Données projet'!$B$15,Paramètres!$A$1:$I$89,3,0)*VLOOKUP('Données projet'!$B$15,Paramètres!$A$1:$I$89,5,0)</f>
        <v>163.99999999999991</v>
      </c>
      <c r="EL159" s="13">
        <f t="shared" si="179"/>
        <v>41.743425908362248</v>
      </c>
      <c r="EM159" s="20">
        <f t="shared" si="180"/>
        <v>358.33646679039742</v>
      </c>
      <c r="EN159" s="59">
        <f t="shared" si="128"/>
        <v>645.6913652374858</v>
      </c>
      <c r="EO159" s="59">
        <f ca="1">AVERAGE(OFFSET($EN$3,0,0,'Données projet'!$E$15+1,1))-AVERAGE(OFFSET($H$3,0,0,'Données projet'!$E$15+1,1))</f>
        <v>217.53602321474159</v>
      </c>
      <c r="EP159" s="59">
        <f t="shared" si="154"/>
        <v>215.75909414893025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5.7658150310639691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5.7658150310639691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19.8100000000004</v>
      </c>
      <c r="FF159" s="17">
        <f>FE159*VLOOKUP('Données projet'!$B$16,Paramètres!$A$1:$I$89,3,0)*VLOOKUP('Données projet'!$B$16,Paramètres!$A$1:$I$89,5,0)</f>
        <v>13.288548000000269</v>
      </c>
      <c r="FG159" s="13">
        <f t="shared" si="182"/>
        <v>4.531654695205642</v>
      </c>
      <c r="FH159" s="20">
        <f t="shared" si="183"/>
        <v>31.036853027483627</v>
      </c>
      <c r="FI159" s="59">
        <f t="shared" si="131"/>
        <v>318.39175147457195</v>
      </c>
      <c r="FJ159" s="59">
        <f ca="1">AVERAGE(OFFSET($FI$3,0,0,'Données projet'!$E$16+1,1))-AVERAGE(OFFSET($H$3,0,0,'Données projet'!$E$16+1,1))</f>
        <v>441.20130048888439</v>
      </c>
      <c r="FK159" s="59">
        <f t="shared" si="156"/>
        <v>237.47732532183946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154.32493872201673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154.32493872201673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204.00000000000017</v>
      </c>
      <c r="GA159" s="17">
        <f>FZ159*VLOOKUP('Données projet'!$B$17,Paramètres!$A$1:$I$89,3,0)*VLOOKUP('Données projet'!$B$17,Paramètres!$A$1:$I$89,5,0)</f>
        <v>133.66080000000011</v>
      </c>
      <c r="GB159" s="13">
        <f t="shared" si="185"/>
        <v>34.840890682716783</v>
      </c>
      <c r="GC159" s="20">
        <f t="shared" si="186"/>
        <v>293.4737779390652</v>
      </c>
      <c r="GD159" s="59">
        <f t="shared" si="134"/>
        <v>580.82867638615357</v>
      </c>
      <c r="GE159" s="59">
        <f ca="1">AVERAGE(OFFSET($GD$3,0,0,'Données projet'!$E$17+1,1))-AVERAGE(OFFSET($H$3,0,0,'Données projet'!$E$17+1,1))</f>
        <v>257.66104339896992</v>
      </c>
      <c r="GF159" s="59">
        <f t="shared" si="158"/>
        <v>254.79488636184996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10.665500007938221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10.665500007938221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234.00000000000003</v>
      </c>
      <c r="GV159" s="17">
        <f>GU159*VLOOKUP('Données projet'!$B$18,Paramètres!$A$1:$I$89,3,0)*VLOOKUP('Données projet'!$B$18,Paramètres!$A$1:$I$89,5,0)</f>
        <v>189.82080000000005</v>
      </c>
      <c r="GW159" s="13">
        <f t="shared" si="188"/>
        <v>47.500332100049796</v>
      </c>
      <c r="GX159" s="20">
        <f t="shared" si="189"/>
        <v>413.33430507425345</v>
      </c>
      <c r="GY159" s="59">
        <f t="shared" si="137"/>
        <v>700.68920352134182</v>
      </c>
      <c r="GZ159" s="59">
        <f ca="1">AVERAGE(OFFSET($GY$3,0,0,'Données projet'!$E$18+1,1))-AVERAGE(OFFSET($H$3,0,0,'Données projet'!$E$18+1,1))</f>
        <v>299.98377156721153</v>
      </c>
      <c r="HA159" s="59">
        <f t="shared" si="160"/>
        <v>241.36164657721102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10.275563313514789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10.275563313514789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19.8100000000004</v>
      </c>
      <c r="O160" s="13">
        <f>N160*VLOOKUP('Données projet'!$B$9,Paramètres!$A$1:$I$89,3,0)*VLOOKUP('Données projet'!$B$9,Paramètres!$A$1:$I$89,5,0)</f>
        <v>17.924088000000364</v>
      </c>
      <c r="P160" s="13">
        <f t="shared" si="141"/>
        <v>5.9032212091029486</v>
      </c>
      <c r="Q160" s="20">
        <f t="shared" si="162"/>
        <v>41.499230205854936</v>
      </c>
      <c r="R160" s="59">
        <f t="shared" si="109"/>
        <v>328.9578411324415</v>
      </c>
      <c r="S160" s="59">
        <f ca="1">AVERAGE(OFFSET($R$3,0,0,'Données projet'!$E$9+1,1))-AVERAGE(OFFSET($H$3,0,0,'Données projet'!$E$9+1,1))</f>
        <v>567.42635821507474</v>
      </c>
      <c r="T160" s="59">
        <f t="shared" si="142"/>
        <v>299.04735309930152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165.57218502925616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165.57218502925616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474.99999999999994</v>
      </c>
      <c r="AJ160" s="13">
        <f>AI160*VLOOKUP('Données projet'!$B$10,Paramètres!$A$1:$I$89,3,0)*VLOOKUP('Données projet'!$B$10,Paramètres!$A$1:$I$89,5,0)</f>
        <v>407.55</v>
      </c>
      <c r="AK160" s="13">
        <f t="shared" si="164"/>
        <v>93.305642095357683</v>
      </c>
      <c r="AL160" s="20">
        <f t="shared" si="165"/>
        <v>872.32357664941446</v>
      </c>
      <c r="AM160" s="59">
        <f t="shared" si="113"/>
        <v>1159.782187576001</v>
      </c>
      <c r="AN160" s="59">
        <f ca="1">AVERAGE(OFFSET($AM$3,0,0,'Données projet'!$E$10+1,1))-AVERAGE(OFFSET($H$3,0,0,'Données projet'!$E$10+1,1))</f>
        <v>569.97793593332699</v>
      </c>
      <c r="AO160" s="59">
        <f t="shared" si="144"/>
        <v>331.25104323342907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58.737620968606983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58.737620968606983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277.99999999999994</v>
      </c>
      <c r="BE160" s="13">
        <f>BD160*VLOOKUP('Données projet'!$B$11,Paramètres!$A$1:$I$89,3,0)*VLOOKUP('Données projet'!$B$11,Paramètres!$A$1:$I$89,5,0)</f>
        <v>151.78799999999998</v>
      </c>
      <c r="BF160" s="13">
        <f t="shared" si="167"/>
        <v>38.984634390835623</v>
      </c>
      <c r="BG160" s="20">
        <f t="shared" si="168"/>
        <v>332.26233823070532</v>
      </c>
      <c r="BH160" s="59">
        <f t="shared" si="116"/>
        <v>619.7209491572919</v>
      </c>
      <c r="BI160" s="59">
        <f ca="1">AVERAGE(OFFSET($BH$3,0,0,'Données projet'!$E$11+1,1))-AVERAGE(OFFSET($H$3,0,0,'Données projet'!$E$11+1,1))</f>
        <v>215.37314197175104</v>
      </c>
      <c r="BJ160" s="59">
        <f t="shared" si="146"/>
        <v>361.17630426655978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2.9677670835510694</v>
      </c>
      <c r="BQ160" s="21">
        <f>EXP(-LN(2)/25)*BQ159+(1-EXP(-LN(2)/25))/(LN(2)/25)*Calculateur!BL160*Calculateur!BN160*VLOOKUP('Données projet'!$B$11,Paramètres!$A$1:$I$89,3,0)*0.475*44/12</f>
        <v>2.8393989824439796</v>
      </c>
      <c r="BR160" s="21">
        <f>EXP(-LN(2)/2)*BR159+(1-EXP(-LN(2)/2))/(LN(2)/2)*BL160*BO160*VLOOKUP('Données projet'!$B$11,Paramètres!$A$1:$I$89,3,0)*0.475*44/12</f>
        <v>1.943894947687131E-21</v>
      </c>
      <c r="BS160" s="22">
        <f t="shared" si="169"/>
        <v>5.807166065995049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0.8600000000003547</v>
      </c>
      <c r="BZ160" s="13">
        <f>BY160*VLOOKUP('Données projet'!$B$12,Paramètres!$A$1:$I$89,3,0)*VLOOKUP('Données projet'!$B$12,Paramètres!$A$1:$I$89,5,0)</f>
        <v>0.48074000000019829</v>
      </c>
      <c r="CA160" s="13">
        <f t="shared" si="170"/>
        <v>0.24126147010950588</v>
      </c>
      <c r="CB160" s="20">
        <f t="shared" si="171"/>
        <v>1.2574858937744013</v>
      </c>
      <c r="CC160" s="59">
        <f t="shared" si="119"/>
        <v>288.71609682036097</v>
      </c>
      <c r="CD160" s="59">
        <f ca="1">AVERAGE(OFFSET($CC$3,0,0,'Données projet'!$E$12+1,1))-AVERAGE(OFFSET($H$3,0,0,'Données projet'!$E$12+1,1))</f>
        <v>420.4890915162182</v>
      </c>
      <c r="CE160" s="59">
        <f t="shared" si="148"/>
        <v>553.48432338023565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49.318526817077121</v>
      </c>
      <c r="CL160" s="21">
        <f>EXP(-LN(2)/25)*CL159+(1-EXP(-LN(2)/25))/(LN(2)/25)*Calculateur!CG160*Calculateur!CI160*VLOOKUP('Données projet'!$B$12,Paramètres!$A$1:$I$89,3,0)*0.475*44/12</f>
        <v>1.4951043170374203</v>
      </c>
      <c r="CM160" s="21">
        <f>EXP(-LN(2)/2)*CM159+(1-EXP(-LN(2)/2))/(LN(2)/2)*CG160*CJ160*VLOOKUP('Données projet'!$B$12,Paramètres!$A$1:$I$89,3,0)*0.475*44/12</f>
        <v>5.6725763804044449E-20</v>
      </c>
      <c r="CN160" s="22">
        <f t="shared" si="172"/>
        <v>50.813631134114544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367.99999999999972</v>
      </c>
      <c r="CU160" s="17">
        <f>CT160*VLOOKUP('Données projet'!$B$13,Paramètres!$A$1:$I$89,3,0)*VLOOKUP('Données projet'!$B$13,Paramètres!$A$1:$I$89,5,0)</f>
        <v>269.8175999999998</v>
      </c>
      <c r="CV160" s="13">
        <f t="shared" si="173"/>
        <v>64.810557882019467</v>
      </c>
      <c r="CW160" s="20">
        <f t="shared" si="174"/>
        <v>582.81070831118348</v>
      </c>
      <c r="CX160" s="59">
        <f t="shared" si="122"/>
        <v>870.26931923777011</v>
      </c>
      <c r="CY160" s="59">
        <f ca="1">AVERAGE(OFFSET($CX$3,0,0,'Données projet'!$E$13+1,1))-AVERAGE(OFFSET($H$3,0,0,'Données projet'!$E$13+1,1))</f>
        <v>400.48995908576177</v>
      </c>
      <c r="CZ160" s="59">
        <f t="shared" si="150"/>
        <v>384.86917865380076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10.029179275745445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10.029179275745445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367.99999999999972</v>
      </c>
      <c r="DP160" s="17">
        <f>DO160*VLOOKUP('Données projet'!$B$14,Paramètres!$A$1:$I$89,3,0)*VLOOKUP('Données projet'!$B$14,Paramètres!$A$1:$I$89,5,0)</f>
        <v>292.78079999999977</v>
      </c>
      <c r="DQ160" s="13">
        <f t="shared" si="176"/>
        <v>69.660903052386217</v>
      </c>
      <c r="DR160" s="20">
        <f t="shared" si="177"/>
        <v>631.25263281623893</v>
      </c>
      <c r="DS160" s="59">
        <f t="shared" si="125"/>
        <v>918.71124374282545</v>
      </c>
      <c r="DT160" s="59">
        <f ca="1">AVERAGE(OFFSET($DS$3,0,0,'Données projet'!$E$14+1,1))-AVERAGE(OFFSET($H$3,0,0,'Données projet'!$E$14+1,1))</f>
        <v>429.30603040255431</v>
      </c>
      <c r="DU160" s="59">
        <f t="shared" si="152"/>
        <v>412.18613903804726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13.413593063997984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13.413593063997984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210.25641025641013</v>
      </c>
      <c r="EK160" s="17">
        <f>EJ160*VLOOKUP('Données projet'!$B$15,Paramètres!$A$1:$I$89,3,0)*VLOOKUP('Données projet'!$B$15,Paramètres!$A$1:$I$89,5,0)</f>
        <v>163.99999999999991</v>
      </c>
      <c r="EL160" s="13">
        <f t="shared" si="179"/>
        <v>41.743425908362248</v>
      </c>
      <c r="EM160" s="20">
        <f t="shared" si="180"/>
        <v>358.33646679039742</v>
      </c>
      <c r="EN160" s="59">
        <f t="shared" si="128"/>
        <v>645.795077716984</v>
      </c>
      <c r="EO160" s="59">
        <f ca="1">AVERAGE(OFFSET($EN$3,0,0,'Données projet'!$E$15+1,1))-AVERAGE(OFFSET($H$3,0,0,'Données projet'!$E$15+1,1))</f>
        <v>217.53602321474159</v>
      </c>
      <c r="EP160" s="59">
        <f t="shared" si="154"/>
        <v>215.75909414893025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5.6527509151047184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5.6527509151047184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19.8100000000004</v>
      </c>
      <c r="FF160" s="17">
        <f>FE160*VLOOKUP('Données projet'!$B$16,Paramètres!$A$1:$I$89,3,0)*VLOOKUP('Données projet'!$B$16,Paramètres!$A$1:$I$89,5,0)</f>
        <v>13.288548000000269</v>
      </c>
      <c r="FG160" s="13">
        <f t="shared" si="182"/>
        <v>4.531654695205642</v>
      </c>
      <c r="FH160" s="20">
        <f t="shared" si="183"/>
        <v>31.036853027483627</v>
      </c>
      <c r="FI160" s="59">
        <f t="shared" si="131"/>
        <v>318.4954639540702</v>
      </c>
      <c r="FJ160" s="59">
        <f ca="1">AVERAGE(OFFSET($FI$3,0,0,'Données projet'!$E$16+1,1))-AVERAGE(OFFSET($H$3,0,0,'Données projet'!$E$16+1,1))</f>
        <v>441.20130048888439</v>
      </c>
      <c r="FK160" s="59">
        <f t="shared" si="156"/>
        <v>237.47732532183946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151.29872080259614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151.29872080259614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204.00000000000017</v>
      </c>
      <c r="GA160" s="17">
        <f>FZ160*VLOOKUP('Données projet'!$B$17,Paramètres!$A$1:$I$89,3,0)*VLOOKUP('Données projet'!$B$17,Paramètres!$A$1:$I$89,5,0)</f>
        <v>133.66080000000011</v>
      </c>
      <c r="GB160" s="13">
        <f t="shared" si="185"/>
        <v>34.840890682716783</v>
      </c>
      <c r="GC160" s="20">
        <f t="shared" si="186"/>
        <v>293.4737779390652</v>
      </c>
      <c r="GD160" s="59">
        <f t="shared" si="134"/>
        <v>580.93238886565177</v>
      </c>
      <c r="GE160" s="59">
        <f ca="1">AVERAGE(OFFSET($GD$3,0,0,'Données projet'!$E$17+1,1))-AVERAGE(OFFSET($H$3,0,0,'Données projet'!$E$17+1,1))</f>
        <v>257.66104339896992</v>
      </c>
      <c r="GF160" s="59">
        <f t="shared" si="158"/>
        <v>254.79488636184996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10.45635605809521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10.45635605809521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234.00000000000003</v>
      </c>
      <c r="GV160" s="17">
        <f>GU160*VLOOKUP('Données projet'!$B$18,Paramètres!$A$1:$I$89,3,0)*VLOOKUP('Données projet'!$B$18,Paramètres!$A$1:$I$89,5,0)</f>
        <v>189.82080000000005</v>
      </c>
      <c r="GW160" s="13">
        <f t="shared" si="188"/>
        <v>47.500332100049796</v>
      </c>
      <c r="GX160" s="20">
        <f t="shared" si="189"/>
        <v>413.33430507425345</v>
      </c>
      <c r="GY160" s="59">
        <f t="shared" si="137"/>
        <v>700.79291600084002</v>
      </c>
      <c r="GZ160" s="59">
        <f ca="1">AVERAGE(OFFSET($GY$3,0,0,'Données projet'!$E$18+1,1))-AVERAGE(OFFSET($H$3,0,0,'Données projet'!$E$18+1,1))</f>
        <v>299.98377156721153</v>
      </c>
      <c r="HA160" s="59">
        <f t="shared" si="160"/>
        <v>241.36164657721102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10.074065784411523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10.074065784411523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19.8100000000004</v>
      </c>
      <c r="O161" s="13">
        <f>N161*VLOOKUP('Données projet'!$B$9,Paramètres!$A$1:$I$89,3,0)*VLOOKUP('Données projet'!$B$9,Paramètres!$A$1:$I$89,5,0)</f>
        <v>17.924088000000364</v>
      </c>
      <c r="P161" s="13">
        <f t="shared" si="141"/>
        <v>5.9032212091029486</v>
      </c>
      <c r="Q161" s="20">
        <f t="shared" si="162"/>
        <v>41.499230205854936</v>
      </c>
      <c r="R161" s="59">
        <f t="shared" si="109"/>
        <v>329.05975443228692</v>
      </c>
      <c r="S161" s="59">
        <f ca="1">AVERAGE(OFFSET($R$3,0,0,'Données projet'!$E$9+1,1))-AVERAGE(OFFSET($H$3,0,0,'Données projet'!$E$9+1,1))</f>
        <v>567.42635821507474</v>
      </c>
      <c r="T161" s="59">
        <f t="shared" si="142"/>
        <v>299.04735309930152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162.32541546989347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162.32541546989347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474.99999999999994</v>
      </c>
      <c r="AJ161" s="13">
        <f>AI161*VLOOKUP('Données projet'!$B$10,Paramètres!$A$1:$I$89,3,0)*VLOOKUP('Données projet'!$B$10,Paramètres!$A$1:$I$89,5,0)</f>
        <v>407.55</v>
      </c>
      <c r="AK161" s="13">
        <f t="shared" si="164"/>
        <v>93.305642095357683</v>
      </c>
      <c r="AL161" s="20">
        <f t="shared" si="165"/>
        <v>872.32357664941446</v>
      </c>
      <c r="AM161" s="59">
        <f t="shared" si="113"/>
        <v>1159.8841008758463</v>
      </c>
      <c r="AN161" s="59">
        <f ca="1">AVERAGE(OFFSET($AM$3,0,0,'Données projet'!$E$10+1,1))-AVERAGE(OFFSET($H$3,0,0,'Données projet'!$E$10+1,1))</f>
        <v>569.97793593332699</v>
      </c>
      <c r="AO161" s="59">
        <f t="shared" si="144"/>
        <v>331.25104323342907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57.585812047823829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57.585812047823829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277.99999999999994</v>
      </c>
      <c r="BE161" s="13">
        <f>BD161*VLOOKUP('Données projet'!$B$11,Paramètres!$A$1:$I$89,3,0)*VLOOKUP('Données projet'!$B$11,Paramètres!$A$1:$I$89,5,0)</f>
        <v>151.78799999999998</v>
      </c>
      <c r="BF161" s="13">
        <f t="shared" si="167"/>
        <v>38.984634390835623</v>
      </c>
      <c r="BG161" s="20">
        <f t="shared" si="168"/>
        <v>332.26233823070532</v>
      </c>
      <c r="BH161" s="59">
        <f t="shared" si="116"/>
        <v>619.82286245713726</v>
      </c>
      <c r="BI161" s="59">
        <f ca="1">AVERAGE(OFFSET($BH$3,0,0,'Données projet'!$E$11+1,1))-AVERAGE(OFFSET($H$3,0,0,'Données projet'!$E$11+1,1))</f>
        <v>215.37314197175104</v>
      </c>
      <c r="BJ161" s="59">
        <f t="shared" si="146"/>
        <v>361.17630426655978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2.9095709812018153</v>
      </c>
      <c r="BQ161" s="21">
        <f>EXP(-LN(2)/25)*BQ160+(1-EXP(-LN(2)/25))/(LN(2)/25)*Calculateur!BL161*Calculateur!BN161*VLOOKUP('Données projet'!$B$11,Paramètres!$A$1:$I$89,3,0)*0.475*44/12</f>
        <v>2.7617554679515459</v>
      </c>
      <c r="BR161" s="21">
        <f>EXP(-LN(2)/2)*BR160+(1-EXP(-LN(2)/2))/(LN(2)/2)*BL161*BO161*VLOOKUP('Données projet'!$B$11,Paramètres!$A$1:$I$89,3,0)*0.475*44/12</f>
        <v>1.3745412994238394E-21</v>
      </c>
      <c r="BS161" s="22">
        <f t="shared" si="169"/>
        <v>5.6713264491533613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0.8600000000003547</v>
      </c>
      <c r="BZ161" s="13">
        <f>BY161*VLOOKUP('Données projet'!$B$12,Paramètres!$A$1:$I$89,3,0)*VLOOKUP('Données projet'!$B$12,Paramètres!$A$1:$I$89,5,0)</f>
        <v>0.48074000000019829</v>
      </c>
      <c r="CA161" s="13">
        <f t="shared" si="170"/>
        <v>0.24126147010950588</v>
      </c>
      <c r="CB161" s="20">
        <f t="shared" si="171"/>
        <v>1.2574858937744013</v>
      </c>
      <c r="CC161" s="59">
        <f t="shared" si="119"/>
        <v>288.8180101202064</v>
      </c>
      <c r="CD161" s="59">
        <f ca="1">AVERAGE(OFFSET($CC$3,0,0,'Données projet'!$E$12+1,1))-AVERAGE(OFFSET($H$3,0,0,'Données projet'!$E$12+1,1))</f>
        <v>420.4890915162182</v>
      </c>
      <c r="CE161" s="59">
        <f t="shared" si="148"/>
        <v>553.48432338023565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48.351420587525311</v>
      </c>
      <c r="CL161" s="21">
        <f>EXP(-LN(2)/25)*CL160+(1-EXP(-LN(2)/25))/(LN(2)/25)*Calculateur!CG161*Calculateur!CI161*VLOOKUP('Données projet'!$B$12,Paramètres!$A$1:$I$89,3,0)*0.475*44/12</f>
        <v>1.4542206108639131</v>
      </c>
      <c r="CM161" s="21">
        <f>EXP(-LN(2)/2)*CM160+(1-EXP(-LN(2)/2))/(LN(2)/2)*CG161*CJ161*VLOOKUP('Données projet'!$B$12,Paramètres!$A$1:$I$89,3,0)*0.475*44/12</f>
        <v>4.0111172253826237E-20</v>
      </c>
      <c r="CN161" s="22">
        <f t="shared" si="172"/>
        <v>49.805641198389225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367.99999999999972</v>
      </c>
      <c r="CU161" s="17">
        <f>CT161*VLOOKUP('Données projet'!$B$13,Paramètres!$A$1:$I$89,3,0)*VLOOKUP('Données projet'!$B$13,Paramètres!$A$1:$I$89,5,0)</f>
        <v>269.8175999999998</v>
      </c>
      <c r="CV161" s="13">
        <f t="shared" si="173"/>
        <v>64.810557882019467</v>
      </c>
      <c r="CW161" s="20">
        <f t="shared" si="174"/>
        <v>582.81070831118348</v>
      </c>
      <c r="CX161" s="59">
        <f t="shared" si="122"/>
        <v>870.37123253761547</v>
      </c>
      <c r="CY161" s="59">
        <f ca="1">AVERAGE(OFFSET($CX$3,0,0,'Données projet'!$E$13+1,1))-AVERAGE(OFFSET($H$3,0,0,'Données projet'!$E$13+1,1))</f>
        <v>400.48995908576177</v>
      </c>
      <c r="CZ161" s="59">
        <f t="shared" si="150"/>
        <v>384.86917865380076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9.8325131873434124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9.8325131873434124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367.99999999999972</v>
      </c>
      <c r="DP161" s="17">
        <f>DO161*VLOOKUP('Données projet'!$B$14,Paramètres!$A$1:$I$89,3,0)*VLOOKUP('Données projet'!$B$14,Paramètres!$A$1:$I$89,5,0)</f>
        <v>292.78079999999977</v>
      </c>
      <c r="DQ161" s="13">
        <f t="shared" si="176"/>
        <v>69.660903052386217</v>
      </c>
      <c r="DR161" s="20">
        <f t="shared" si="177"/>
        <v>631.25263281623893</v>
      </c>
      <c r="DS161" s="59">
        <f t="shared" si="125"/>
        <v>918.81315704267092</v>
      </c>
      <c r="DT161" s="59">
        <f ca="1">AVERAGE(OFFSET($DS$3,0,0,'Données projet'!$E$14+1,1))-AVERAGE(OFFSET($H$3,0,0,'Données projet'!$E$14+1,1))</f>
        <v>429.30603040255431</v>
      </c>
      <c r="DU161" s="59">
        <f t="shared" si="152"/>
        <v>412.18613903804726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13.150560685496899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13.150560685496899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210.25641025641013</v>
      </c>
      <c r="EK161" s="17">
        <f>EJ161*VLOOKUP('Données projet'!$B$15,Paramètres!$A$1:$I$89,3,0)*VLOOKUP('Données projet'!$B$15,Paramètres!$A$1:$I$89,5,0)</f>
        <v>163.99999999999991</v>
      </c>
      <c r="EL161" s="13">
        <f t="shared" si="179"/>
        <v>41.743425908362248</v>
      </c>
      <c r="EM161" s="20">
        <f t="shared" si="180"/>
        <v>358.33646679039742</v>
      </c>
      <c r="EN161" s="59">
        <f t="shared" si="128"/>
        <v>645.89699101682936</v>
      </c>
      <c r="EO161" s="59">
        <f ca="1">AVERAGE(OFFSET($EN$3,0,0,'Données projet'!$E$15+1,1))-AVERAGE(OFFSET($H$3,0,0,'Données projet'!$E$15+1,1))</f>
        <v>217.53602321474159</v>
      </c>
      <c r="EP161" s="59">
        <f t="shared" si="154"/>
        <v>215.75909414893025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5.5419039174971276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5.5419039174971276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19.8100000000004</v>
      </c>
      <c r="FF161" s="17">
        <f>FE161*VLOOKUP('Données projet'!$B$16,Paramètres!$A$1:$I$89,3,0)*VLOOKUP('Données projet'!$B$16,Paramètres!$A$1:$I$89,5,0)</f>
        <v>13.288548000000269</v>
      </c>
      <c r="FG161" s="13">
        <f t="shared" si="182"/>
        <v>4.531654695205642</v>
      </c>
      <c r="FH161" s="20">
        <f t="shared" si="183"/>
        <v>31.036853027483627</v>
      </c>
      <c r="FI161" s="59">
        <f t="shared" si="131"/>
        <v>318.59737725391562</v>
      </c>
      <c r="FJ161" s="59">
        <f ca="1">AVERAGE(OFFSET($FI$3,0,0,'Données projet'!$E$16+1,1))-AVERAGE(OFFSET($H$3,0,0,'Données projet'!$E$16+1,1))</f>
        <v>441.20130048888439</v>
      </c>
      <c r="FK161" s="59">
        <f t="shared" si="156"/>
        <v>237.47732532183946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148.33184517076472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148.33184517076472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204.00000000000017</v>
      </c>
      <c r="GA161" s="17">
        <f>FZ161*VLOOKUP('Données projet'!$B$17,Paramètres!$A$1:$I$89,3,0)*VLOOKUP('Données projet'!$B$17,Paramètres!$A$1:$I$89,5,0)</f>
        <v>133.66080000000011</v>
      </c>
      <c r="GB161" s="13">
        <f t="shared" si="185"/>
        <v>34.840890682716783</v>
      </c>
      <c r="GC161" s="20">
        <f t="shared" si="186"/>
        <v>293.4737779390652</v>
      </c>
      <c r="GD161" s="59">
        <f t="shared" si="134"/>
        <v>581.03430216549714</v>
      </c>
      <c r="GE161" s="59">
        <f ca="1">AVERAGE(OFFSET($GD$3,0,0,'Données projet'!$E$17+1,1))-AVERAGE(OFFSET($H$3,0,0,'Données projet'!$E$17+1,1))</f>
        <v>257.66104339896992</v>
      </c>
      <c r="GF161" s="59">
        <f t="shared" si="158"/>
        <v>254.79488636184996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10.251313293543408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10.251313293543408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234.00000000000003</v>
      </c>
      <c r="GV161" s="17">
        <f>GU161*VLOOKUP('Données projet'!$B$18,Paramètres!$A$1:$I$89,3,0)*VLOOKUP('Données projet'!$B$18,Paramètres!$A$1:$I$89,5,0)</f>
        <v>189.82080000000005</v>
      </c>
      <c r="GW161" s="13">
        <f t="shared" si="188"/>
        <v>47.500332100049796</v>
      </c>
      <c r="GX161" s="20">
        <f t="shared" si="189"/>
        <v>413.33430507425345</v>
      </c>
      <c r="GY161" s="59">
        <f t="shared" si="137"/>
        <v>700.89482930068539</v>
      </c>
      <c r="GZ161" s="59">
        <f ca="1">AVERAGE(OFFSET($GY$3,0,0,'Données projet'!$E$18+1,1))-AVERAGE(OFFSET($H$3,0,0,'Données projet'!$E$18+1,1))</f>
        <v>299.98377156721153</v>
      </c>
      <c r="HA161" s="59">
        <f t="shared" si="160"/>
        <v>241.36164657721102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9.8765194989526162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9.8765194989526162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19.8100000000004</v>
      </c>
      <c r="O162" s="13">
        <f>N162*VLOOKUP('Données projet'!$B$9,Paramètres!$A$1:$I$89,3,0)*VLOOKUP('Données projet'!$B$9,Paramètres!$A$1:$I$89,5,0)</f>
        <v>17.924088000000364</v>
      </c>
      <c r="P162" s="13">
        <f t="shared" si="141"/>
        <v>5.9032212091029486</v>
      </c>
      <c r="Q162" s="20">
        <f t="shared" si="162"/>
        <v>41.499230205854936</v>
      </c>
      <c r="R162" s="59">
        <f t="shared" si="109"/>
        <v>329.15989976422389</v>
      </c>
      <c r="S162" s="59">
        <f ca="1">AVERAGE(OFFSET($R$3,0,0,'Données projet'!$E$9+1,1))-AVERAGE(OFFSET($H$3,0,0,'Données projet'!$E$9+1,1))</f>
        <v>567.42635821507474</v>
      </c>
      <c r="T162" s="59">
        <f t="shared" si="142"/>
        <v>299.04735309930152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159.14231308125599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159.14231308125599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474.99999999999994</v>
      </c>
      <c r="AJ162" s="13">
        <f>AI162*VLOOKUP('Données projet'!$B$10,Paramètres!$A$1:$I$89,3,0)*VLOOKUP('Données projet'!$B$10,Paramètres!$A$1:$I$89,5,0)</f>
        <v>407.55</v>
      </c>
      <c r="AK162" s="13">
        <f t="shared" si="164"/>
        <v>93.305642095357683</v>
      </c>
      <c r="AL162" s="20">
        <f t="shared" si="165"/>
        <v>872.32357664941446</v>
      </c>
      <c r="AM162" s="59">
        <f t="shared" si="113"/>
        <v>1159.9842462077834</v>
      </c>
      <c r="AN162" s="59">
        <f ca="1">AVERAGE(OFFSET($AM$3,0,0,'Données projet'!$E$10+1,1))-AVERAGE(OFFSET($H$3,0,0,'Données projet'!$E$10+1,1))</f>
        <v>569.97793593332699</v>
      </c>
      <c r="AO162" s="59">
        <f t="shared" si="144"/>
        <v>331.25104323342907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56.45658939744316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56.45658939744316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277.99999999999994</v>
      </c>
      <c r="BE162" s="13">
        <f>BD162*VLOOKUP('Données projet'!$B$11,Paramètres!$A$1:$I$89,3,0)*VLOOKUP('Données projet'!$B$11,Paramètres!$A$1:$I$89,5,0)</f>
        <v>151.78799999999998</v>
      </c>
      <c r="BF162" s="13">
        <f t="shared" si="167"/>
        <v>38.984634390835623</v>
      </c>
      <c r="BG162" s="20">
        <f t="shared" si="168"/>
        <v>332.26233823070532</v>
      </c>
      <c r="BH162" s="59">
        <f t="shared" si="116"/>
        <v>619.92300778907429</v>
      </c>
      <c r="BI162" s="59">
        <f ca="1">AVERAGE(OFFSET($BH$3,0,0,'Données projet'!$E$11+1,1))-AVERAGE(OFFSET($H$3,0,0,'Données projet'!$E$11+1,1))</f>
        <v>215.37314197175104</v>
      </c>
      <c r="BJ162" s="59">
        <f t="shared" si="146"/>
        <v>361.17630426655978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2.8525160689235127</v>
      </c>
      <c r="BQ162" s="21">
        <f>EXP(-LN(2)/25)*BQ161+(1-EXP(-LN(2)/25))/(LN(2)/25)*Calculateur!BL162*Calculateur!BN162*VLOOKUP('Données projet'!$B$11,Paramètres!$A$1:$I$89,3,0)*0.475*44/12</f>
        <v>2.6862351194460028</v>
      </c>
      <c r="BR162" s="21">
        <f>EXP(-LN(2)/2)*BR161+(1-EXP(-LN(2)/2))/(LN(2)/2)*BL162*BO162*VLOOKUP('Données projet'!$B$11,Paramètres!$A$1:$I$89,3,0)*0.475*44/12</f>
        <v>9.7194747384356549E-22</v>
      </c>
      <c r="BS162" s="22">
        <f t="shared" si="169"/>
        <v>5.5387511883695151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0.8600000000003547</v>
      </c>
      <c r="BZ162" s="13">
        <f>BY162*VLOOKUP('Données projet'!$B$12,Paramètres!$A$1:$I$89,3,0)*VLOOKUP('Données projet'!$B$12,Paramètres!$A$1:$I$89,5,0)</f>
        <v>0.48074000000019829</v>
      </c>
      <c r="CA162" s="13">
        <f t="shared" si="170"/>
        <v>0.24126147010950588</v>
      </c>
      <c r="CB162" s="20">
        <f t="shared" si="171"/>
        <v>1.2574858937744013</v>
      </c>
      <c r="CC162" s="59">
        <f t="shared" si="119"/>
        <v>288.91815545214337</v>
      </c>
      <c r="CD162" s="59">
        <f ca="1">AVERAGE(OFFSET($CC$3,0,0,'Données projet'!$E$12+1,1))-AVERAGE(OFFSET($H$3,0,0,'Données projet'!$E$12+1,1))</f>
        <v>420.4890915162182</v>
      </c>
      <c r="CE162" s="59">
        <f t="shared" si="148"/>
        <v>553.48432338023565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47.403278721258459</v>
      </c>
      <c r="CL162" s="21">
        <f>EXP(-LN(2)/25)*CL161+(1-EXP(-LN(2)/25))/(LN(2)/25)*Calculateur!CG162*Calculateur!CI162*VLOOKUP('Données projet'!$B$12,Paramètres!$A$1:$I$89,3,0)*0.475*44/12</f>
        <v>1.4144548717857011</v>
      </c>
      <c r="CM162" s="21">
        <f>EXP(-LN(2)/2)*CM161+(1-EXP(-LN(2)/2))/(LN(2)/2)*CG162*CJ162*VLOOKUP('Données projet'!$B$12,Paramètres!$A$1:$I$89,3,0)*0.475*44/12</f>
        <v>2.8362881902022224E-20</v>
      </c>
      <c r="CN162" s="22">
        <f t="shared" si="172"/>
        <v>48.81773359304416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367.99999999999972</v>
      </c>
      <c r="CU162" s="17">
        <f>CT162*VLOOKUP('Données projet'!$B$13,Paramètres!$A$1:$I$89,3,0)*VLOOKUP('Données projet'!$B$13,Paramètres!$A$1:$I$89,5,0)</f>
        <v>269.8175999999998</v>
      </c>
      <c r="CV162" s="13">
        <f t="shared" si="173"/>
        <v>64.810557882019467</v>
      </c>
      <c r="CW162" s="20">
        <f t="shared" si="174"/>
        <v>582.81070831118348</v>
      </c>
      <c r="CX162" s="59">
        <f t="shared" si="122"/>
        <v>870.4713778695525</v>
      </c>
      <c r="CY162" s="59">
        <f ca="1">AVERAGE(OFFSET($CX$3,0,0,'Données projet'!$E$13+1,1))-AVERAGE(OFFSET($H$3,0,0,'Données projet'!$E$13+1,1))</f>
        <v>400.48995908576177</v>
      </c>
      <c r="CZ162" s="59">
        <f t="shared" si="150"/>
        <v>384.86917865380076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9.6397036009804733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9.6397036009804733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367.99999999999972</v>
      </c>
      <c r="DP162" s="17">
        <f>DO162*VLOOKUP('Données projet'!$B$14,Paramètres!$A$1:$I$89,3,0)*VLOOKUP('Données projet'!$B$14,Paramètres!$A$1:$I$89,5,0)</f>
        <v>292.78079999999977</v>
      </c>
      <c r="DQ162" s="13">
        <f t="shared" si="176"/>
        <v>69.660903052386217</v>
      </c>
      <c r="DR162" s="20">
        <f t="shared" si="177"/>
        <v>631.25263281623893</v>
      </c>
      <c r="DS162" s="59">
        <f t="shared" si="125"/>
        <v>918.91330237460784</v>
      </c>
      <c r="DT162" s="59">
        <f ca="1">AVERAGE(OFFSET($DS$3,0,0,'Données projet'!$E$14+1,1))-AVERAGE(OFFSET($H$3,0,0,'Données projet'!$E$14+1,1))</f>
        <v>429.30603040255431</v>
      </c>
      <c r="DU162" s="59">
        <f t="shared" si="152"/>
        <v>412.18613903804726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12.89268621150431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12.89268621150431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210.25641025641013</v>
      </c>
      <c r="EK162" s="17">
        <f>EJ162*VLOOKUP('Données projet'!$B$15,Paramètres!$A$1:$I$89,3,0)*VLOOKUP('Données projet'!$B$15,Paramètres!$A$1:$I$89,5,0)</f>
        <v>163.99999999999991</v>
      </c>
      <c r="EL162" s="13">
        <f t="shared" si="179"/>
        <v>41.743425908362248</v>
      </c>
      <c r="EM162" s="20">
        <f t="shared" si="180"/>
        <v>358.33646679039742</v>
      </c>
      <c r="EN162" s="59">
        <f t="shared" si="128"/>
        <v>645.99713634876639</v>
      </c>
      <c r="EO162" s="59">
        <f ca="1">AVERAGE(OFFSET($EN$3,0,0,'Données projet'!$E$15+1,1))-AVERAGE(OFFSET($H$3,0,0,'Données projet'!$E$15+1,1))</f>
        <v>217.53602321474159</v>
      </c>
      <c r="EP162" s="59">
        <f t="shared" si="154"/>
        <v>215.75909414893025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5.4332305619026293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5.4332305619026293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19.8100000000004</v>
      </c>
      <c r="FF162" s="17">
        <f>FE162*VLOOKUP('Données projet'!$B$16,Paramètres!$A$1:$I$89,3,0)*VLOOKUP('Données projet'!$B$16,Paramètres!$A$1:$I$89,5,0)</f>
        <v>13.288548000000269</v>
      </c>
      <c r="FG162" s="13">
        <f t="shared" si="182"/>
        <v>4.531654695205642</v>
      </c>
      <c r="FH162" s="20">
        <f t="shared" si="183"/>
        <v>31.036853027483627</v>
      </c>
      <c r="FI162" s="59">
        <f t="shared" si="131"/>
        <v>318.6975225858526</v>
      </c>
      <c r="FJ162" s="59">
        <f ca="1">AVERAGE(OFFSET($FI$3,0,0,'Données projet'!$E$16+1,1))-AVERAGE(OFFSET($H$3,0,0,'Données projet'!$E$16+1,1))</f>
        <v>441.20130048888439</v>
      </c>
      <c r="FK162" s="59">
        <f t="shared" si="156"/>
        <v>237.47732532183946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145.42314816045806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145.42314816045806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204.00000000000017</v>
      </c>
      <c r="GA162" s="17">
        <f>FZ162*VLOOKUP('Données projet'!$B$17,Paramètres!$A$1:$I$89,3,0)*VLOOKUP('Données projet'!$B$17,Paramètres!$A$1:$I$89,5,0)</f>
        <v>133.66080000000011</v>
      </c>
      <c r="GB162" s="13">
        <f t="shared" si="185"/>
        <v>34.840890682716783</v>
      </c>
      <c r="GC162" s="20">
        <f t="shared" si="186"/>
        <v>293.4737779390652</v>
      </c>
      <c r="GD162" s="59">
        <f t="shared" si="134"/>
        <v>581.13444749743417</v>
      </c>
      <c r="GE162" s="59">
        <f ca="1">AVERAGE(OFFSET($GD$3,0,0,'Données projet'!$E$17+1,1))-AVERAGE(OFFSET($H$3,0,0,'Données projet'!$E$17+1,1))</f>
        <v>257.66104339896992</v>
      </c>
      <c r="GF162" s="59">
        <f t="shared" si="158"/>
        <v>254.79488636184996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10.050291292540729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10.050291292540729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234.00000000000003</v>
      </c>
      <c r="GV162" s="17">
        <f>GU162*VLOOKUP('Données projet'!$B$18,Paramètres!$A$1:$I$89,3,0)*VLOOKUP('Données projet'!$B$18,Paramètres!$A$1:$I$89,5,0)</f>
        <v>189.82080000000005</v>
      </c>
      <c r="GW162" s="13">
        <f t="shared" si="188"/>
        <v>47.500332100049796</v>
      </c>
      <c r="GX162" s="20">
        <f t="shared" si="189"/>
        <v>413.33430507425345</v>
      </c>
      <c r="GY162" s="59">
        <f t="shared" si="137"/>
        <v>700.99497463262242</v>
      </c>
      <c r="GZ162" s="59">
        <f ca="1">AVERAGE(OFFSET($GY$3,0,0,'Données projet'!$E$18+1,1))-AVERAGE(OFFSET($H$3,0,0,'Données projet'!$E$18+1,1))</f>
        <v>299.98377156721153</v>
      </c>
      <c r="HA162" s="59">
        <f t="shared" si="160"/>
        <v>241.36164657721102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9.6828469756602207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9.6828469756602207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19.8100000000004</v>
      </c>
      <c r="O163" s="13">
        <f>N163*VLOOKUP('Données projet'!$B$9,Paramètres!$A$1:$I$89,3,0)*VLOOKUP('Données projet'!$B$9,Paramètres!$A$1:$I$89,5,0)</f>
        <v>17.924088000000364</v>
      </c>
      <c r="P163" s="13">
        <f t="shared" si="141"/>
        <v>5.9032212091029486</v>
      </c>
      <c r="Q163" s="20">
        <f t="shared" si="162"/>
        <v>41.499230205854936</v>
      </c>
      <c r="R163" s="59">
        <f t="shared" si="109"/>
        <v>329.25830779854329</v>
      </c>
      <c r="S163" s="59">
        <f ca="1">AVERAGE(OFFSET($R$3,0,0,'Données projet'!$E$9+1,1))-AVERAGE(OFFSET($H$3,0,0,'Données projet'!$E$9+1,1))</f>
        <v>567.42635821507474</v>
      </c>
      <c r="T163" s="59">
        <f t="shared" si="142"/>
        <v>299.04735309930152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156.02162938895896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156.02162938895896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474.99999999999994</v>
      </c>
      <c r="AJ163" s="13">
        <f>AI163*VLOOKUP('Données projet'!$B$10,Paramètres!$A$1:$I$89,3,0)*VLOOKUP('Données projet'!$B$10,Paramètres!$A$1:$I$89,5,0)</f>
        <v>407.55</v>
      </c>
      <c r="AK163" s="13">
        <f t="shared" si="164"/>
        <v>93.305642095357683</v>
      </c>
      <c r="AL163" s="20">
        <f t="shared" si="165"/>
        <v>872.32357664941446</v>
      </c>
      <c r="AM163" s="59">
        <f t="shared" si="113"/>
        <v>1160.0826542421028</v>
      </c>
      <c r="AN163" s="59">
        <f ca="1">AVERAGE(OFFSET($AM$3,0,0,'Données projet'!$E$10+1,1))-AVERAGE(OFFSET($H$3,0,0,'Données projet'!$E$10+1,1))</f>
        <v>569.97793593332699</v>
      </c>
      <c r="AO163" s="59">
        <f t="shared" si="144"/>
        <v>331.25104323342907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55.349510114478647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55.349510114478647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277.99999999999994</v>
      </c>
      <c r="BE163" s="13">
        <f>BD163*VLOOKUP('Données projet'!$B$11,Paramètres!$A$1:$I$89,3,0)*VLOOKUP('Données projet'!$B$11,Paramètres!$A$1:$I$89,5,0)</f>
        <v>151.78799999999998</v>
      </c>
      <c r="BF163" s="13">
        <f t="shared" si="167"/>
        <v>38.984634390835623</v>
      </c>
      <c r="BG163" s="20">
        <f t="shared" si="168"/>
        <v>332.26233823070532</v>
      </c>
      <c r="BH163" s="59">
        <f t="shared" si="116"/>
        <v>620.02141582339368</v>
      </c>
      <c r="BI163" s="59">
        <f ca="1">AVERAGE(OFFSET($BH$3,0,0,'Données projet'!$E$11+1,1))-AVERAGE(OFFSET($H$3,0,0,'Données projet'!$E$11+1,1))</f>
        <v>215.37314197175104</v>
      </c>
      <c r="BJ163" s="59">
        <f t="shared" si="146"/>
        <v>361.17630426655978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2.7965799686749273</v>
      </c>
      <c r="BQ163" s="21">
        <f>EXP(-LN(2)/25)*BQ162+(1-EXP(-LN(2)/25))/(LN(2)/25)*Calculateur!BL163*Calculateur!BN163*VLOOKUP('Données projet'!$B$11,Paramètres!$A$1:$I$89,3,0)*0.475*44/12</f>
        <v>2.6127798788417862</v>
      </c>
      <c r="BR163" s="21">
        <f>EXP(-LN(2)/2)*BR162+(1-EXP(-LN(2)/2))/(LN(2)/2)*BL163*BO163*VLOOKUP('Données projet'!$B$11,Paramètres!$A$1:$I$89,3,0)*0.475*44/12</f>
        <v>6.8727064971191971E-22</v>
      </c>
      <c r="BS163" s="22">
        <f t="shared" si="169"/>
        <v>5.4093598475167131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0.8600000000003547</v>
      </c>
      <c r="BZ163" s="13">
        <f>BY163*VLOOKUP('Données projet'!$B$12,Paramètres!$A$1:$I$89,3,0)*VLOOKUP('Données projet'!$B$12,Paramètres!$A$1:$I$89,5,0)</f>
        <v>0.48074000000019829</v>
      </c>
      <c r="CA163" s="13">
        <f t="shared" si="170"/>
        <v>0.24126147010950588</v>
      </c>
      <c r="CB163" s="20">
        <f t="shared" si="171"/>
        <v>1.2574858937744013</v>
      </c>
      <c r="CC163" s="59">
        <f t="shared" si="119"/>
        <v>289.01656348646276</v>
      </c>
      <c r="CD163" s="59">
        <f ca="1">AVERAGE(OFFSET($CC$3,0,0,'Données projet'!$E$12+1,1))-AVERAGE(OFFSET($H$3,0,0,'Données projet'!$E$12+1,1))</f>
        <v>420.4890915162182</v>
      </c>
      <c r="CE163" s="59">
        <f t="shared" si="148"/>
        <v>553.48432338023565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46.473729338679668</v>
      </c>
      <c r="CL163" s="21">
        <f>EXP(-LN(2)/25)*CL162+(1-EXP(-LN(2)/25))/(LN(2)/25)*Calculateur!CG163*Calculateur!CI163*VLOOKUP('Données projet'!$B$12,Paramètres!$A$1:$I$89,3,0)*0.475*44/12</f>
        <v>1.3757765289337722</v>
      </c>
      <c r="CM163" s="21">
        <f>EXP(-LN(2)/2)*CM162+(1-EXP(-LN(2)/2))/(LN(2)/2)*CG163*CJ163*VLOOKUP('Données projet'!$B$12,Paramètres!$A$1:$I$89,3,0)*0.475*44/12</f>
        <v>2.0055586126913119E-20</v>
      </c>
      <c r="CN163" s="22">
        <f t="shared" si="172"/>
        <v>47.849505867613438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367.99999999999972</v>
      </c>
      <c r="CU163" s="17">
        <f>CT163*VLOOKUP('Données projet'!$B$13,Paramètres!$A$1:$I$89,3,0)*VLOOKUP('Données projet'!$B$13,Paramètres!$A$1:$I$89,5,0)</f>
        <v>269.8175999999998</v>
      </c>
      <c r="CV163" s="13">
        <f t="shared" si="173"/>
        <v>64.810557882019467</v>
      </c>
      <c r="CW163" s="20">
        <f t="shared" si="174"/>
        <v>582.81070831118348</v>
      </c>
      <c r="CX163" s="59">
        <f t="shared" si="122"/>
        <v>870.56978590387189</v>
      </c>
      <c r="CY163" s="59">
        <f ca="1">AVERAGE(OFFSET($CX$3,0,0,'Données projet'!$E$13+1,1))-AVERAGE(OFFSET($H$3,0,0,'Données projet'!$E$13+1,1))</f>
        <v>400.48995908576177</v>
      </c>
      <c r="CZ163" s="59">
        <f t="shared" si="150"/>
        <v>384.86917865380076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9.4506748930038764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9.4506748930038764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367.99999999999972</v>
      </c>
      <c r="DP163" s="17">
        <f>DO163*VLOOKUP('Données projet'!$B$14,Paramètres!$A$1:$I$89,3,0)*VLOOKUP('Données projet'!$B$14,Paramètres!$A$1:$I$89,5,0)</f>
        <v>292.78079999999977</v>
      </c>
      <c r="DQ163" s="13">
        <f t="shared" si="176"/>
        <v>69.660903052386217</v>
      </c>
      <c r="DR163" s="20">
        <f t="shared" si="177"/>
        <v>631.25263281623893</v>
      </c>
      <c r="DS163" s="59">
        <f t="shared" si="125"/>
        <v>919.01171040892723</v>
      </c>
      <c r="DT163" s="59">
        <f ca="1">AVERAGE(OFFSET($DS$3,0,0,'Données projet'!$E$14+1,1))-AVERAGE(OFFSET($H$3,0,0,'Données projet'!$E$14+1,1))</f>
        <v>429.30603040255431</v>
      </c>
      <c r="DU163" s="59">
        <f t="shared" si="152"/>
        <v>412.18613903804726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12.639868498658817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12.639868498658817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210.25641025641013</v>
      </c>
      <c r="EK163" s="17">
        <f>EJ163*VLOOKUP('Données projet'!$B$15,Paramètres!$A$1:$I$89,3,0)*VLOOKUP('Données projet'!$B$15,Paramètres!$A$1:$I$89,5,0)</f>
        <v>163.99999999999991</v>
      </c>
      <c r="EL163" s="13">
        <f t="shared" si="179"/>
        <v>41.743425908362248</v>
      </c>
      <c r="EM163" s="20">
        <f t="shared" si="180"/>
        <v>358.33646679039742</v>
      </c>
      <c r="EN163" s="59">
        <f t="shared" si="128"/>
        <v>646.09554438308578</v>
      </c>
      <c r="EO163" s="59">
        <f ca="1">AVERAGE(OFFSET($EN$3,0,0,'Données projet'!$E$15+1,1))-AVERAGE(OFFSET($H$3,0,0,'Données projet'!$E$15+1,1))</f>
        <v>217.53602321474159</v>
      </c>
      <c r="EP163" s="59">
        <f t="shared" si="154"/>
        <v>215.75909414893025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5.3266882245271372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5.3266882245271372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19.8100000000004</v>
      </c>
      <c r="FF163" s="17">
        <f>FE163*VLOOKUP('Données projet'!$B$16,Paramètres!$A$1:$I$89,3,0)*VLOOKUP('Données projet'!$B$16,Paramètres!$A$1:$I$89,5,0)</f>
        <v>13.288548000000269</v>
      </c>
      <c r="FG163" s="13">
        <f t="shared" si="182"/>
        <v>4.531654695205642</v>
      </c>
      <c r="FH163" s="20">
        <f t="shared" si="183"/>
        <v>31.036853027483627</v>
      </c>
      <c r="FI163" s="59">
        <f t="shared" si="131"/>
        <v>318.79593062017199</v>
      </c>
      <c r="FJ163" s="59">
        <f ca="1">AVERAGE(OFFSET($FI$3,0,0,'Données projet'!$E$16+1,1))-AVERAGE(OFFSET($H$3,0,0,'Données projet'!$E$16+1,1))</f>
        <v>441.20130048888439</v>
      </c>
      <c r="FK163" s="59">
        <f t="shared" si="156"/>
        <v>237.47732532183946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142.57148892439352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142.57148892439352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204.00000000000017</v>
      </c>
      <c r="GA163" s="17">
        <f>FZ163*VLOOKUP('Données projet'!$B$17,Paramètres!$A$1:$I$89,3,0)*VLOOKUP('Données projet'!$B$17,Paramètres!$A$1:$I$89,5,0)</f>
        <v>133.66080000000011</v>
      </c>
      <c r="GB163" s="13">
        <f t="shared" si="185"/>
        <v>34.840890682716783</v>
      </c>
      <c r="GC163" s="20">
        <f t="shared" si="186"/>
        <v>293.4737779390652</v>
      </c>
      <c r="GD163" s="59">
        <f t="shared" si="134"/>
        <v>581.23285553175356</v>
      </c>
      <c r="GE163" s="59">
        <f ca="1">AVERAGE(OFFSET($GD$3,0,0,'Données projet'!$E$17+1,1))-AVERAGE(OFFSET($H$3,0,0,'Données projet'!$E$17+1,1))</f>
        <v>257.66104339896992</v>
      </c>
      <c r="GF163" s="59">
        <f t="shared" si="158"/>
        <v>254.79488636184996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9.8532112103663998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9.8532112103663998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234.00000000000003</v>
      </c>
      <c r="GV163" s="17">
        <f>GU163*VLOOKUP('Données projet'!$B$18,Paramètres!$A$1:$I$89,3,0)*VLOOKUP('Données projet'!$B$18,Paramètres!$A$1:$I$89,5,0)</f>
        <v>189.82080000000005</v>
      </c>
      <c r="GW163" s="13">
        <f t="shared" si="188"/>
        <v>47.500332100049796</v>
      </c>
      <c r="GX163" s="20">
        <f t="shared" si="189"/>
        <v>413.33430507425345</v>
      </c>
      <c r="GY163" s="59">
        <f t="shared" si="137"/>
        <v>701.09338266694181</v>
      </c>
      <c r="GZ163" s="59">
        <f ca="1">AVERAGE(OFFSET($GY$3,0,0,'Données projet'!$E$18+1,1))-AVERAGE(OFFSET($H$3,0,0,'Données projet'!$E$18+1,1))</f>
        <v>299.98377156721153</v>
      </c>
      <c r="HA163" s="59">
        <f t="shared" si="160"/>
        <v>241.36164657721102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9.4929722524210138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9.4929722524210138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19.8100000000004</v>
      </c>
      <c r="O164" s="13">
        <f>N164*VLOOKUP('Données projet'!$B$9,Paramètres!$A$1:$I$89,3,0)*VLOOKUP('Données projet'!$B$9,Paramètres!$A$1:$I$89,5,0)</f>
        <v>17.924088000000364</v>
      </c>
      <c r="P164" s="13">
        <f t="shared" si="141"/>
        <v>5.9032212091029486</v>
      </c>
      <c r="Q164" s="20">
        <f t="shared" si="162"/>
        <v>41.499230205854936</v>
      </c>
      <c r="R164" s="59">
        <f t="shared" si="109"/>
        <v>329.35500867347463</v>
      </c>
      <c r="S164" s="59">
        <f ca="1">AVERAGE(OFFSET($R$3,0,0,'Données projet'!$E$9+1,1))-AVERAGE(OFFSET($H$3,0,0,'Données projet'!$E$9+1,1))</f>
        <v>567.42635821507474</v>
      </c>
      <c r="T164" s="59">
        <f t="shared" si="142"/>
        <v>299.04735309930152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152.96214040043876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152.96214040043876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474.99999999999994</v>
      </c>
      <c r="AJ164" s="13">
        <f>AI164*VLOOKUP('Données projet'!$B$10,Paramètres!$A$1:$I$89,3,0)*VLOOKUP('Données projet'!$B$10,Paramètres!$A$1:$I$89,5,0)</f>
        <v>407.55</v>
      </c>
      <c r="AK164" s="13">
        <f t="shared" si="164"/>
        <v>93.305642095357683</v>
      </c>
      <c r="AL164" s="20">
        <f t="shared" si="165"/>
        <v>872.32357664941446</v>
      </c>
      <c r="AM164" s="59">
        <f t="shared" si="113"/>
        <v>1160.1793551170342</v>
      </c>
      <c r="AN164" s="59">
        <f ca="1">AVERAGE(OFFSET($AM$3,0,0,'Données projet'!$E$10+1,1))-AVERAGE(OFFSET($H$3,0,0,'Données projet'!$E$10+1,1))</f>
        <v>569.97793593332699</v>
      </c>
      <c r="AO164" s="59">
        <f t="shared" si="144"/>
        <v>331.25104323342907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54.264139981001378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54.264139981001378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277.99999999999994</v>
      </c>
      <c r="BE164" s="13">
        <f>BD164*VLOOKUP('Données projet'!$B$11,Paramètres!$A$1:$I$89,3,0)*VLOOKUP('Données projet'!$B$11,Paramètres!$A$1:$I$89,5,0)</f>
        <v>151.78799999999998</v>
      </c>
      <c r="BF164" s="13">
        <f t="shared" si="167"/>
        <v>38.984634390835623</v>
      </c>
      <c r="BG164" s="20">
        <f t="shared" si="168"/>
        <v>332.26233823070532</v>
      </c>
      <c r="BH164" s="59">
        <f t="shared" si="116"/>
        <v>620.11811669832503</v>
      </c>
      <c r="BI164" s="59">
        <f ca="1">AVERAGE(OFFSET($BH$3,0,0,'Données projet'!$E$11+1,1))-AVERAGE(OFFSET($H$3,0,0,'Données projet'!$E$11+1,1))</f>
        <v>215.37314197175104</v>
      </c>
      <c r="BJ164" s="59">
        <f t="shared" si="146"/>
        <v>361.17630426655978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2.7417407412345645</v>
      </c>
      <c r="BQ164" s="21">
        <f>EXP(-LN(2)/25)*BQ163+(1-EXP(-LN(2)/25))/(LN(2)/25)*Calculateur!BL164*Calculateur!BN164*VLOOKUP('Données projet'!$B$11,Paramètres!$A$1:$I$89,3,0)*0.475*44/12</f>
        <v>2.5413332756547353</v>
      </c>
      <c r="BR164" s="21">
        <f>EXP(-LN(2)/2)*BR163+(1-EXP(-LN(2)/2))/(LN(2)/2)*BL164*BO164*VLOOKUP('Données projet'!$B$11,Paramètres!$A$1:$I$89,3,0)*0.475*44/12</f>
        <v>4.8597373692178275E-22</v>
      </c>
      <c r="BS164" s="22">
        <f t="shared" si="169"/>
        <v>5.2830740168892998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0.8600000000003547</v>
      </c>
      <c r="BZ164" s="13">
        <f>BY164*VLOOKUP('Données projet'!$B$12,Paramètres!$A$1:$I$89,3,0)*VLOOKUP('Données projet'!$B$12,Paramètres!$A$1:$I$89,5,0)</f>
        <v>0.48074000000019829</v>
      </c>
      <c r="CA164" s="13">
        <f t="shared" si="170"/>
        <v>0.24126147010950588</v>
      </c>
      <c r="CB164" s="20">
        <f t="shared" si="171"/>
        <v>1.2574858937744013</v>
      </c>
      <c r="CC164" s="59">
        <f t="shared" si="119"/>
        <v>289.1132643613941</v>
      </c>
      <c r="CD164" s="59">
        <f ca="1">AVERAGE(OFFSET($CC$3,0,0,'Données projet'!$E$12+1,1))-AVERAGE(OFFSET($H$3,0,0,'Données projet'!$E$12+1,1))</f>
        <v>420.4890915162182</v>
      </c>
      <c r="CE164" s="59">
        <f t="shared" si="148"/>
        <v>553.48432338023565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45.562407852524103</v>
      </c>
      <c r="CL164" s="21">
        <f>EXP(-LN(2)/25)*CL163+(1-EXP(-LN(2)/25))/(LN(2)/25)*Calculateur!CG164*Calculateur!CI164*VLOOKUP('Données projet'!$B$12,Paramètres!$A$1:$I$89,3,0)*0.475*44/12</f>
        <v>1.338155847401135</v>
      </c>
      <c r="CM164" s="21">
        <f>EXP(-LN(2)/2)*CM163+(1-EXP(-LN(2)/2))/(LN(2)/2)*CG164*CJ164*VLOOKUP('Données projet'!$B$12,Paramètres!$A$1:$I$89,3,0)*0.475*44/12</f>
        <v>1.4181440951011112E-20</v>
      </c>
      <c r="CN164" s="22">
        <f t="shared" si="172"/>
        <v>46.900563699925236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367.99999999999972</v>
      </c>
      <c r="CU164" s="17">
        <f>CT164*VLOOKUP('Données projet'!$B$13,Paramètres!$A$1:$I$89,3,0)*VLOOKUP('Données projet'!$B$13,Paramètres!$A$1:$I$89,5,0)</f>
        <v>269.8175999999998</v>
      </c>
      <c r="CV164" s="13">
        <f t="shared" si="173"/>
        <v>64.810557882019467</v>
      </c>
      <c r="CW164" s="20">
        <f t="shared" si="174"/>
        <v>582.81070831118348</v>
      </c>
      <c r="CX164" s="59">
        <f t="shared" si="122"/>
        <v>870.66648677880312</v>
      </c>
      <c r="CY164" s="59">
        <f ca="1">AVERAGE(OFFSET($CX$3,0,0,'Données projet'!$E$13+1,1))-AVERAGE(OFFSET($H$3,0,0,'Données projet'!$E$13+1,1))</f>
        <v>400.48995908576177</v>
      </c>
      <c r="CZ164" s="59">
        <f t="shared" si="150"/>
        <v>384.86917865380076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9.2653529226945732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9.2653529226945732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367.99999999999972</v>
      </c>
      <c r="DP164" s="17">
        <f>DO164*VLOOKUP('Données projet'!$B$14,Paramètres!$A$1:$I$89,3,0)*VLOOKUP('Données projet'!$B$14,Paramètres!$A$1:$I$89,5,0)</f>
        <v>292.78079999999977</v>
      </c>
      <c r="DQ164" s="13">
        <f t="shared" si="176"/>
        <v>69.660903052386217</v>
      </c>
      <c r="DR164" s="20">
        <f t="shared" si="177"/>
        <v>631.25263281623893</v>
      </c>
      <c r="DS164" s="59">
        <f t="shared" si="125"/>
        <v>919.10841128385869</v>
      </c>
      <c r="DT164" s="59">
        <f ca="1">AVERAGE(OFFSET($DS$3,0,0,'Données projet'!$E$14+1,1))-AVERAGE(OFFSET($H$3,0,0,'Données projet'!$E$14+1,1))</f>
        <v>429.30603040255431</v>
      </c>
      <c r="DU164" s="59">
        <f t="shared" si="152"/>
        <v>412.18613903804726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12.392008386958647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12.392008386958647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210.25641025641013</v>
      </c>
      <c r="EK164" s="17">
        <f>EJ164*VLOOKUP('Données projet'!$B$15,Paramètres!$A$1:$I$89,3,0)*VLOOKUP('Données projet'!$B$15,Paramètres!$A$1:$I$89,5,0)</f>
        <v>163.99999999999991</v>
      </c>
      <c r="EL164" s="13">
        <f t="shared" si="179"/>
        <v>41.743425908362248</v>
      </c>
      <c r="EM164" s="20">
        <f t="shared" si="180"/>
        <v>358.33646679039742</v>
      </c>
      <c r="EN164" s="59">
        <f t="shared" si="128"/>
        <v>646.19224525801712</v>
      </c>
      <c r="EO164" s="59">
        <f ca="1">AVERAGE(OFFSET($EN$3,0,0,'Données projet'!$E$15+1,1))-AVERAGE(OFFSET($H$3,0,0,'Données projet'!$E$15+1,1))</f>
        <v>217.53602321474159</v>
      </c>
      <c r="EP164" s="59">
        <f t="shared" si="154"/>
        <v>215.75909414893025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5.2222351174031694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5.2222351174031694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19.8100000000004</v>
      </c>
      <c r="FF164" s="17">
        <f>FE164*VLOOKUP('Données projet'!$B$16,Paramètres!$A$1:$I$89,3,0)*VLOOKUP('Données projet'!$B$16,Paramètres!$A$1:$I$89,5,0)</f>
        <v>13.288548000000269</v>
      </c>
      <c r="FG164" s="13">
        <f t="shared" si="182"/>
        <v>4.531654695205642</v>
      </c>
      <c r="FH164" s="20">
        <f t="shared" si="183"/>
        <v>31.036853027483627</v>
      </c>
      <c r="FI164" s="59">
        <f t="shared" si="131"/>
        <v>318.89263149510333</v>
      </c>
      <c r="FJ164" s="59">
        <f ca="1">AVERAGE(OFFSET($FI$3,0,0,'Données projet'!$E$16+1,1))-AVERAGE(OFFSET($H$3,0,0,'Données projet'!$E$16+1,1))</f>
        <v>441.20130048888439</v>
      </c>
      <c r="FK164" s="59">
        <f t="shared" si="156"/>
        <v>237.47732532183946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139.77574898660782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139.77574898660782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204.00000000000017</v>
      </c>
      <c r="GA164" s="17">
        <f>FZ164*VLOOKUP('Données projet'!$B$17,Paramètres!$A$1:$I$89,3,0)*VLOOKUP('Données projet'!$B$17,Paramètres!$A$1:$I$89,5,0)</f>
        <v>133.66080000000011</v>
      </c>
      <c r="GB164" s="13">
        <f t="shared" si="185"/>
        <v>34.840890682716783</v>
      </c>
      <c r="GC164" s="20">
        <f t="shared" si="186"/>
        <v>293.4737779390652</v>
      </c>
      <c r="GD164" s="59">
        <f t="shared" si="134"/>
        <v>581.3295564066849</v>
      </c>
      <c r="GE164" s="59">
        <f ca="1">AVERAGE(OFFSET($GD$3,0,0,'Données projet'!$E$17+1,1))-AVERAGE(OFFSET($H$3,0,0,'Données projet'!$E$17+1,1))</f>
        <v>257.66104339896992</v>
      </c>
      <c r="GF164" s="59">
        <f t="shared" si="158"/>
        <v>254.79488636184996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9.6599957483965273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9.6599957483965273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234.00000000000003</v>
      </c>
      <c r="GV164" s="17">
        <f>GU164*VLOOKUP('Données projet'!$B$18,Paramètres!$A$1:$I$89,3,0)*VLOOKUP('Données projet'!$B$18,Paramètres!$A$1:$I$89,5,0)</f>
        <v>189.82080000000005</v>
      </c>
      <c r="GW164" s="13">
        <f t="shared" si="188"/>
        <v>47.500332100049796</v>
      </c>
      <c r="GX164" s="20">
        <f t="shared" si="189"/>
        <v>413.33430507425345</v>
      </c>
      <c r="GY164" s="59">
        <f t="shared" si="137"/>
        <v>701.19008354187315</v>
      </c>
      <c r="GZ164" s="59">
        <f ca="1">AVERAGE(OFFSET($GY$3,0,0,'Données projet'!$E$18+1,1))-AVERAGE(OFFSET($H$3,0,0,'Données projet'!$E$18+1,1))</f>
        <v>299.98377156721153</v>
      </c>
      <c r="HA164" s="59">
        <f t="shared" si="160"/>
        <v>241.36164657721102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9.3068208566923829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9.3068208566923829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19.8100000000004</v>
      </c>
      <c r="O165" s="13">
        <f>N165*VLOOKUP('Données projet'!$B$9,Paramètres!$A$1:$I$89,3,0)*VLOOKUP('Données projet'!$B$9,Paramètres!$A$1:$I$89,5,0)</f>
        <v>17.924088000000364</v>
      </c>
      <c r="P165" s="13">
        <f t="shared" si="141"/>
        <v>5.9032212091029486</v>
      </c>
      <c r="Q165" s="20">
        <f t="shared" si="162"/>
        <v>41.499230205854936</v>
      </c>
      <c r="R165" s="59">
        <f t="shared" si="109"/>
        <v>329.45003200441664</v>
      </c>
      <c r="S165" s="59">
        <f ca="1">AVERAGE(OFFSET($R$3,0,0,'Données projet'!$E$9+1,1))-AVERAGE(OFFSET($H$3,0,0,'Données projet'!$E$9+1,1))</f>
        <v>567.42635821507474</v>
      </c>
      <c r="T165" s="59">
        <f t="shared" si="142"/>
        <v>299.04735309930152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149.96264612487943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149.96264612487943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474.99999999999994</v>
      </c>
      <c r="AJ165" s="13">
        <f>AI165*VLOOKUP('Données projet'!$B$10,Paramètres!$A$1:$I$89,3,0)*VLOOKUP('Données projet'!$B$10,Paramètres!$A$1:$I$89,5,0)</f>
        <v>407.55</v>
      </c>
      <c r="AK165" s="13">
        <f t="shared" si="164"/>
        <v>93.305642095357683</v>
      </c>
      <c r="AL165" s="20">
        <f t="shared" si="165"/>
        <v>872.32357664941446</v>
      </c>
      <c r="AM165" s="59">
        <f t="shared" si="113"/>
        <v>1160.2743784479762</v>
      </c>
      <c r="AN165" s="59">
        <f ca="1">AVERAGE(OFFSET($AM$3,0,0,'Données projet'!$E$10+1,1))-AVERAGE(OFFSET($H$3,0,0,'Données projet'!$E$10+1,1))</f>
        <v>569.97793593332699</v>
      </c>
      <c r="AO165" s="59">
        <f t="shared" si="144"/>
        <v>331.25104323342907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53.200053293831189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53.200053293831189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277.99999999999994</v>
      </c>
      <c r="BE165" s="13">
        <f>BD165*VLOOKUP('Données projet'!$B$11,Paramètres!$A$1:$I$89,3,0)*VLOOKUP('Données projet'!$B$11,Paramètres!$A$1:$I$89,5,0)</f>
        <v>151.78799999999998</v>
      </c>
      <c r="BF165" s="13">
        <f t="shared" si="167"/>
        <v>38.984634390835623</v>
      </c>
      <c r="BG165" s="20">
        <f t="shared" si="168"/>
        <v>332.26233823070532</v>
      </c>
      <c r="BH165" s="59">
        <f t="shared" si="116"/>
        <v>620.21314002926704</v>
      </c>
      <c r="BI165" s="59">
        <f ca="1">AVERAGE(OFFSET($BH$3,0,0,'Données projet'!$E$11+1,1))-AVERAGE(OFFSET($H$3,0,0,'Données projet'!$E$11+1,1))</f>
        <v>215.37314197175104</v>
      </c>
      <c r="BJ165" s="59">
        <f t="shared" si="146"/>
        <v>361.17630426655978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2.6879768775956814</v>
      </c>
      <c r="BQ165" s="21">
        <f>EXP(-LN(2)/25)*BQ164+(1-EXP(-LN(2)/25))/(LN(2)/25)*Calculateur!BL165*Calculateur!BN165*VLOOKUP('Données projet'!$B$11,Paramètres!$A$1:$I$89,3,0)*0.475*44/12</f>
        <v>2.4718403835890479</v>
      </c>
      <c r="BR165" s="21">
        <f>EXP(-LN(2)/2)*BR164+(1-EXP(-LN(2)/2))/(LN(2)/2)*BL165*BO165*VLOOKUP('Données projet'!$B$11,Paramètres!$A$1:$I$89,3,0)*0.475*44/12</f>
        <v>3.4363532485595985E-22</v>
      </c>
      <c r="BS165" s="22">
        <f t="shared" si="169"/>
        <v>5.1598172611847293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0.8600000000003547</v>
      </c>
      <c r="BZ165" s="13">
        <f>BY165*VLOOKUP('Données projet'!$B$12,Paramètres!$A$1:$I$89,3,0)*VLOOKUP('Données projet'!$B$12,Paramètres!$A$1:$I$89,5,0)</f>
        <v>0.48074000000019829</v>
      </c>
      <c r="CA165" s="13">
        <f t="shared" si="170"/>
        <v>0.24126147010950588</v>
      </c>
      <c r="CB165" s="20">
        <f t="shared" si="171"/>
        <v>1.2574858937744013</v>
      </c>
      <c r="CC165" s="59">
        <f t="shared" si="119"/>
        <v>289.20828769233611</v>
      </c>
      <c r="CD165" s="59">
        <f ca="1">AVERAGE(OFFSET($CC$3,0,0,'Données projet'!$E$12+1,1))-AVERAGE(OFFSET($H$3,0,0,'Données projet'!$E$12+1,1))</f>
        <v>420.4890915162182</v>
      </c>
      <c r="CE165" s="59">
        <f t="shared" si="148"/>
        <v>553.48432338023565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44.668956824860828</v>
      </c>
      <c r="CL165" s="21">
        <f>EXP(-LN(2)/25)*CL164+(1-EXP(-LN(2)/25))/(LN(2)/25)*Calculateur!CG165*Calculateur!CI165*VLOOKUP('Données projet'!$B$12,Paramètres!$A$1:$I$89,3,0)*0.475*44/12</f>
        <v>1.3015639053833934</v>
      </c>
      <c r="CM165" s="21">
        <f>EXP(-LN(2)/2)*CM164+(1-EXP(-LN(2)/2))/(LN(2)/2)*CG165*CJ165*VLOOKUP('Données projet'!$B$12,Paramètres!$A$1:$I$89,3,0)*0.475*44/12</f>
        <v>1.0027793063456559E-20</v>
      </c>
      <c r="CN165" s="22">
        <f t="shared" si="172"/>
        <v>45.970520730244225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367.99999999999972</v>
      </c>
      <c r="CU165" s="17">
        <f>CT165*VLOOKUP('Données projet'!$B$13,Paramètres!$A$1:$I$89,3,0)*VLOOKUP('Données projet'!$B$13,Paramètres!$A$1:$I$89,5,0)</f>
        <v>269.8175999999998</v>
      </c>
      <c r="CV165" s="13">
        <f t="shared" si="173"/>
        <v>64.810557882019467</v>
      </c>
      <c r="CW165" s="20">
        <f t="shared" si="174"/>
        <v>582.81070831118348</v>
      </c>
      <c r="CX165" s="59">
        <f t="shared" si="122"/>
        <v>870.76151010974513</v>
      </c>
      <c r="CY165" s="59">
        <f ca="1">AVERAGE(OFFSET($CX$3,0,0,'Données projet'!$E$13+1,1))-AVERAGE(OFFSET($H$3,0,0,'Données projet'!$E$13+1,1))</f>
        <v>400.48995908576177</v>
      </c>
      <c r="CZ165" s="59">
        <f t="shared" si="150"/>
        <v>384.86917865380076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9.0836650031877948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9.0836650031877948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367.99999999999972</v>
      </c>
      <c r="DP165" s="17">
        <f>DO165*VLOOKUP('Données projet'!$B$14,Paramètres!$A$1:$I$89,3,0)*VLOOKUP('Données projet'!$B$14,Paramètres!$A$1:$I$89,5,0)</f>
        <v>292.78079999999977</v>
      </c>
      <c r="DQ165" s="13">
        <f t="shared" si="176"/>
        <v>69.660903052386217</v>
      </c>
      <c r="DR165" s="20">
        <f t="shared" si="177"/>
        <v>631.25263281623893</v>
      </c>
      <c r="DS165" s="59">
        <f t="shared" si="125"/>
        <v>919.2034346148007</v>
      </c>
      <c r="DT165" s="59">
        <f ca="1">AVERAGE(OFFSET($DS$3,0,0,'Données projet'!$E$14+1,1))-AVERAGE(OFFSET($H$3,0,0,'Données projet'!$E$14+1,1))</f>
        <v>429.30603040255431</v>
      </c>
      <c r="DU165" s="59">
        <f t="shared" si="152"/>
        <v>412.18613903804726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12.149008660869177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12.149008660869177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210.25641025641013</v>
      </c>
      <c r="EK165" s="17">
        <f>EJ165*VLOOKUP('Données projet'!$B$15,Paramètres!$A$1:$I$89,3,0)*VLOOKUP('Données projet'!$B$15,Paramètres!$A$1:$I$89,5,0)</f>
        <v>163.99999999999991</v>
      </c>
      <c r="EL165" s="13">
        <f t="shared" si="179"/>
        <v>41.743425908362248</v>
      </c>
      <c r="EM165" s="20">
        <f t="shared" si="180"/>
        <v>358.33646679039742</v>
      </c>
      <c r="EN165" s="59">
        <f t="shared" si="128"/>
        <v>646.28726858895914</v>
      </c>
      <c r="EO165" s="59">
        <f ca="1">AVERAGE(OFFSET($EN$3,0,0,'Données projet'!$E$15+1,1))-AVERAGE(OFFSET($H$3,0,0,'Données projet'!$E$15+1,1))</f>
        <v>217.53602321474159</v>
      </c>
      <c r="EP165" s="59">
        <f t="shared" si="154"/>
        <v>215.75909414893025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5.1198302719997972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5.1198302719997972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19.8100000000004</v>
      </c>
      <c r="FF165" s="17">
        <f>FE165*VLOOKUP('Données projet'!$B$16,Paramètres!$A$1:$I$89,3,0)*VLOOKUP('Données projet'!$B$16,Paramètres!$A$1:$I$89,5,0)</f>
        <v>13.288548000000269</v>
      </c>
      <c r="FG165" s="13">
        <f t="shared" si="182"/>
        <v>4.531654695205642</v>
      </c>
      <c r="FH165" s="20">
        <f t="shared" si="183"/>
        <v>31.036853027483627</v>
      </c>
      <c r="FI165" s="59">
        <f t="shared" si="131"/>
        <v>318.98765482604534</v>
      </c>
      <c r="FJ165" s="59">
        <f ca="1">AVERAGE(OFFSET($FI$3,0,0,'Données projet'!$E$16+1,1))-AVERAGE(OFFSET($H$3,0,0,'Données projet'!$E$16+1,1))</f>
        <v>441.20130048888439</v>
      </c>
      <c r="FK165" s="59">
        <f t="shared" si="156"/>
        <v>237.47732532183946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137.03483180376912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137.03483180376912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204.00000000000017</v>
      </c>
      <c r="GA165" s="17">
        <f>FZ165*VLOOKUP('Données projet'!$B$17,Paramètres!$A$1:$I$89,3,0)*VLOOKUP('Données projet'!$B$17,Paramètres!$A$1:$I$89,5,0)</f>
        <v>133.66080000000011</v>
      </c>
      <c r="GB165" s="13">
        <f t="shared" si="185"/>
        <v>34.840890682716783</v>
      </c>
      <c r="GC165" s="20">
        <f t="shared" si="186"/>
        <v>293.4737779390652</v>
      </c>
      <c r="GD165" s="59">
        <f t="shared" si="134"/>
        <v>581.42457973762691</v>
      </c>
      <c r="GE165" s="59">
        <f ca="1">AVERAGE(OFFSET($GD$3,0,0,'Données projet'!$E$17+1,1))-AVERAGE(OFFSET($H$3,0,0,'Données projet'!$E$17+1,1))</f>
        <v>257.66104339896992</v>
      </c>
      <c r="GF165" s="59">
        <f t="shared" si="158"/>
        <v>254.79488636184996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9.4705691237860901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9.4705691237860901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234.00000000000003</v>
      </c>
      <c r="GV165" s="17">
        <f>GU165*VLOOKUP('Données projet'!$B$18,Paramètres!$A$1:$I$89,3,0)*VLOOKUP('Données projet'!$B$18,Paramètres!$A$1:$I$89,5,0)</f>
        <v>189.82080000000005</v>
      </c>
      <c r="GW165" s="13">
        <f t="shared" si="188"/>
        <v>47.500332100049796</v>
      </c>
      <c r="GX165" s="20">
        <f t="shared" si="189"/>
        <v>413.33430507425345</v>
      </c>
      <c r="GY165" s="59">
        <f t="shared" si="137"/>
        <v>701.28510687281516</v>
      </c>
      <c r="GZ165" s="59">
        <f ca="1">AVERAGE(OFFSET($GY$3,0,0,'Données projet'!$E$18+1,1))-AVERAGE(OFFSET($H$3,0,0,'Données projet'!$E$18+1,1))</f>
        <v>299.98377156721153</v>
      </c>
      <c r="HA165" s="59">
        <f t="shared" si="160"/>
        <v>241.36164657721102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9.1243197762928503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9.1243197762928503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19.8100000000004</v>
      </c>
      <c r="O166" s="13">
        <f>N166*VLOOKUP('Données projet'!$B$9,Paramètres!$A$1:$I$89,3,0)*VLOOKUP('Données projet'!$B$9,Paramètres!$A$1:$I$89,5,0)</f>
        <v>17.924088000000364</v>
      </c>
      <c r="P166" s="13">
        <f t="shared" si="141"/>
        <v>5.9032212091029486</v>
      </c>
      <c r="Q166" s="20">
        <f t="shared" si="162"/>
        <v>41.499230205854936</v>
      </c>
      <c r="R166" s="59">
        <f t="shared" si="109"/>
        <v>329.54340689300716</v>
      </c>
      <c r="S166" s="59">
        <f ca="1">AVERAGE(OFFSET($R$3,0,0,'Données projet'!$E$9+1,1))-AVERAGE(OFFSET($H$3,0,0,'Données projet'!$E$9+1,1))</f>
        <v>567.42635821507474</v>
      </c>
      <c r="T166" s="59">
        <f t="shared" si="142"/>
        <v>299.04735309930152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147.02197010255296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147.02197010255296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474.99999999999994</v>
      </c>
      <c r="AJ166" s="13">
        <f>AI166*VLOOKUP('Données projet'!$B$10,Paramètres!$A$1:$I$89,3,0)*VLOOKUP('Données projet'!$B$10,Paramètres!$A$1:$I$89,5,0)</f>
        <v>407.55</v>
      </c>
      <c r="AK166" s="13">
        <f t="shared" si="164"/>
        <v>93.305642095357683</v>
      </c>
      <c r="AL166" s="20">
        <f t="shared" si="165"/>
        <v>872.32357664941446</v>
      </c>
      <c r="AM166" s="59">
        <f t="shared" si="113"/>
        <v>1160.3677533365667</v>
      </c>
      <c r="AN166" s="59">
        <f ca="1">AVERAGE(OFFSET($AM$3,0,0,'Données projet'!$E$10+1,1))-AVERAGE(OFFSET($H$3,0,0,'Données projet'!$E$10+1,1))</f>
        <v>569.97793593332699</v>
      </c>
      <c r="AO166" s="59">
        <f t="shared" si="144"/>
        <v>331.25104323342907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52.156832697567616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52.156832697567616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277.99999999999994</v>
      </c>
      <c r="BE166" s="13">
        <f>BD166*VLOOKUP('Données projet'!$B$11,Paramètres!$A$1:$I$89,3,0)*VLOOKUP('Données projet'!$B$11,Paramètres!$A$1:$I$89,5,0)</f>
        <v>151.78799999999998</v>
      </c>
      <c r="BF166" s="13">
        <f t="shared" si="167"/>
        <v>38.984634390835623</v>
      </c>
      <c r="BG166" s="20">
        <f t="shared" si="168"/>
        <v>332.26233823070532</v>
      </c>
      <c r="BH166" s="59">
        <f t="shared" si="116"/>
        <v>620.30651491785761</v>
      </c>
      <c r="BI166" s="59">
        <f ca="1">AVERAGE(OFFSET($BH$3,0,0,'Données projet'!$E$11+1,1))-AVERAGE(OFFSET($H$3,0,0,'Données projet'!$E$11+1,1))</f>
        <v>215.37314197175104</v>
      </c>
      <c r="BJ166" s="59">
        <f t="shared" si="146"/>
        <v>361.17630426655978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2.6352672905300376</v>
      </c>
      <c r="BQ166" s="21">
        <f>EXP(-LN(2)/25)*BQ165+(1-EXP(-LN(2)/25))/(LN(2)/25)*Calculateur!BL166*Calculateur!BN166*VLOOKUP('Données projet'!$B$11,Paramètres!$A$1:$I$89,3,0)*0.475*44/12</f>
        <v>2.4042477783113689</v>
      </c>
      <c r="BR166" s="21">
        <f>EXP(-LN(2)/2)*BR165+(1-EXP(-LN(2)/2))/(LN(2)/2)*BL166*BO166*VLOOKUP('Données projet'!$B$11,Paramètres!$A$1:$I$89,3,0)*0.475*44/12</f>
        <v>2.4298686846089137E-22</v>
      </c>
      <c r="BS166" s="22">
        <f t="shared" si="169"/>
        <v>5.039515068841407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0.8600000000003547</v>
      </c>
      <c r="BZ166" s="13">
        <f>BY166*VLOOKUP('Données projet'!$B$12,Paramètres!$A$1:$I$89,3,0)*VLOOKUP('Données projet'!$B$12,Paramètres!$A$1:$I$89,5,0)</f>
        <v>0.48074000000019829</v>
      </c>
      <c r="CA166" s="13">
        <f t="shared" si="170"/>
        <v>0.24126147010950588</v>
      </c>
      <c r="CB166" s="20">
        <f t="shared" si="171"/>
        <v>1.2574858937744013</v>
      </c>
      <c r="CC166" s="59">
        <f t="shared" si="119"/>
        <v>289.30166258092663</v>
      </c>
      <c r="CD166" s="59">
        <f ca="1">AVERAGE(OFFSET($CC$3,0,0,'Données projet'!$E$12+1,1))-AVERAGE(OFFSET($H$3,0,0,'Données projet'!$E$12+1,1))</f>
        <v>420.4890915162182</v>
      </c>
      <c r="CE166" s="59">
        <f t="shared" si="148"/>
        <v>553.48432338023565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43.793025826898713</v>
      </c>
      <c r="CL166" s="21">
        <f>EXP(-LN(2)/25)*CL165+(1-EXP(-LN(2)/25))/(LN(2)/25)*Calculateur!CG166*Calculateur!CI166*VLOOKUP('Données projet'!$B$12,Paramètres!$A$1:$I$89,3,0)*0.475*44/12</f>
        <v>1.2659725719444135</v>
      </c>
      <c r="CM166" s="21">
        <f>EXP(-LN(2)/2)*CM165+(1-EXP(-LN(2)/2))/(LN(2)/2)*CG166*CJ166*VLOOKUP('Données projet'!$B$12,Paramètres!$A$1:$I$89,3,0)*0.475*44/12</f>
        <v>7.0907204755055561E-21</v>
      </c>
      <c r="CN166" s="22">
        <f t="shared" si="172"/>
        <v>45.05899839884313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367.99999999999972</v>
      </c>
      <c r="CU166" s="17">
        <f>CT166*VLOOKUP('Données projet'!$B$13,Paramètres!$A$1:$I$89,3,0)*VLOOKUP('Données projet'!$B$13,Paramètres!$A$1:$I$89,5,0)</f>
        <v>269.8175999999998</v>
      </c>
      <c r="CV166" s="13">
        <f t="shared" si="173"/>
        <v>64.810557882019467</v>
      </c>
      <c r="CW166" s="20">
        <f t="shared" si="174"/>
        <v>582.81070831118348</v>
      </c>
      <c r="CX166" s="59">
        <f t="shared" si="122"/>
        <v>870.85488499833571</v>
      </c>
      <c r="CY166" s="59">
        <f ca="1">AVERAGE(OFFSET($CX$3,0,0,'Données projet'!$E$13+1,1))-AVERAGE(OFFSET($H$3,0,0,'Données projet'!$E$13+1,1))</f>
        <v>400.48995908576177</v>
      </c>
      <c r="CZ166" s="59">
        <f t="shared" si="150"/>
        <v>384.86917865380076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8.9055398729638569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8.9055398729638569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367.99999999999972</v>
      </c>
      <c r="DP166" s="17">
        <f>DO166*VLOOKUP('Données projet'!$B$14,Paramètres!$A$1:$I$89,3,0)*VLOOKUP('Données projet'!$B$14,Paramètres!$A$1:$I$89,5,0)</f>
        <v>292.78079999999977</v>
      </c>
      <c r="DQ166" s="13">
        <f t="shared" si="176"/>
        <v>69.660903052386217</v>
      </c>
      <c r="DR166" s="20">
        <f t="shared" si="177"/>
        <v>631.25263281623893</v>
      </c>
      <c r="DS166" s="59">
        <f t="shared" si="125"/>
        <v>919.29680950339116</v>
      </c>
      <c r="DT166" s="59">
        <f ca="1">AVERAGE(OFFSET($DS$3,0,0,'Données projet'!$E$14+1,1))-AVERAGE(OFFSET($H$3,0,0,'Données projet'!$E$14+1,1))</f>
        <v>429.30603040255431</v>
      </c>
      <c r="DU166" s="59">
        <f t="shared" si="152"/>
        <v>412.18613903804726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11.910774011193123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11.910774011193123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210.25641025641013</v>
      </c>
      <c r="EK166" s="17">
        <f>EJ166*VLOOKUP('Données projet'!$B$15,Paramètres!$A$1:$I$89,3,0)*VLOOKUP('Données projet'!$B$15,Paramètres!$A$1:$I$89,5,0)</f>
        <v>163.99999999999991</v>
      </c>
      <c r="EL166" s="13">
        <f t="shared" si="179"/>
        <v>41.743425908362248</v>
      </c>
      <c r="EM166" s="20">
        <f t="shared" si="180"/>
        <v>358.33646679039742</v>
      </c>
      <c r="EN166" s="59">
        <f t="shared" si="128"/>
        <v>646.38064347754971</v>
      </c>
      <c r="EO166" s="59">
        <f ca="1">AVERAGE(OFFSET($EN$3,0,0,'Données projet'!$E$15+1,1))-AVERAGE(OFFSET($H$3,0,0,'Données projet'!$E$15+1,1))</f>
        <v>217.53602321474159</v>
      </c>
      <c r="EP166" s="59">
        <f t="shared" si="154"/>
        <v>215.75909414893025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5.0194335231539977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5.0194335231539977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19.8100000000004</v>
      </c>
      <c r="FF166" s="17">
        <f>FE166*VLOOKUP('Données projet'!$B$16,Paramètres!$A$1:$I$89,3,0)*VLOOKUP('Données projet'!$B$16,Paramètres!$A$1:$I$89,5,0)</f>
        <v>13.288548000000269</v>
      </c>
      <c r="FG166" s="13">
        <f t="shared" si="182"/>
        <v>4.531654695205642</v>
      </c>
      <c r="FH166" s="20">
        <f t="shared" si="183"/>
        <v>31.036853027483627</v>
      </c>
      <c r="FI166" s="59">
        <f t="shared" si="131"/>
        <v>319.08102971463586</v>
      </c>
      <c r="FJ166" s="59">
        <f ca="1">AVERAGE(OFFSET($FI$3,0,0,'Données projet'!$E$16+1,1))-AVERAGE(OFFSET($H$3,0,0,'Données projet'!$E$16+1,1))</f>
        <v>441.20130048888439</v>
      </c>
      <c r="FK166" s="59">
        <f t="shared" si="156"/>
        <v>237.47732532183946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134.34766233509148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134.34766233509148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204.00000000000017</v>
      </c>
      <c r="GA166" s="17">
        <f>FZ166*VLOOKUP('Données projet'!$B$17,Paramètres!$A$1:$I$89,3,0)*VLOOKUP('Données projet'!$B$17,Paramètres!$A$1:$I$89,5,0)</f>
        <v>133.66080000000011</v>
      </c>
      <c r="GB166" s="13">
        <f t="shared" si="185"/>
        <v>34.840890682716783</v>
      </c>
      <c r="GC166" s="20">
        <f t="shared" si="186"/>
        <v>293.4737779390652</v>
      </c>
      <c r="GD166" s="59">
        <f t="shared" si="134"/>
        <v>581.51795462621749</v>
      </c>
      <c r="GE166" s="59">
        <f ca="1">AVERAGE(OFFSET($GD$3,0,0,'Données projet'!$E$17+1,1))-AVERAGE(OFFSET($H$3,0,0,'Données projet'!$E$17+1,1))</f>
        <v>257.66104339896992</v>
      </c>
      <c r="GF166" s="59">
        <f t="shared" si="158"/>
        <v>254.79488636184996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9.2848570397454306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9.2848570397454306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234.00000000000003</v>
      </c>
      <c r="GV166" s="17">
        <f>GU166*VLOOKUP('Données projet'!$B$18,Paramètres!$A$1:$I$89,3,0)*VLOOKUP('Données projet'!$B$18,Paramètres!$A$1:$I$89,5,0)</f>
        <v>189.82080000000005</v>
      </c>
      <c r="GW166" s="13">
        <f t="shared" si="188"/>
        <v>47.500332100049796</v>
      </c>
      <c r="GX166" s="20">
        <f t="shared" si="189"/>
        <v>413.33430507425345</v>
      </c>
      <c r="GY166" s="59">
        <f t="shared" si="137"/>
        <v>701.37848176140574</v>
      </c>
      <c r="GZ166" s="59">
        <f ca="1">AVERAGE(OFFSET($GY$3,0,0,'Données projet'!$E$18+1,1))-AVERAGE(OFFSET($H$3,0,0,'Données projet'!$E$18+1,1))</f>
        <v>299.98377156721153</v>
      </c>
      <c r="HA166" s="59">
        <f t="shared" si="160"/>
        <v>241.36164657721102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8.9453974307652846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8.9453974307652846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19.8100000000004</v>
      </c>
      <c r="O167" s="13">
        <f>N167*VLOOKUP('Données projet'!$B$9,Paramètres!$A$1:$I$89,3,0)*VLOOKUP('Données projet'!$B$9,Paramètres!$A$1:$I$89,5,0)</f>
        <v>17.924088000000364</v>
      </c>
      <c r="P167" s="13">
        <f t="shared" si="141"/>
        <v>5.9032212091029486</v>
      </c>
      <c r="Q167" s="20">
        <f t="shared" si="162"/>
        <v>41.499230205854936</v>
      </c>
      <c r="R167" s="59">
        <f t="shared" si="109"/>
        <v>329.63516193603562</v>
      </c>
      <c r="S167" s="59">
        <f ca="1">AVERAGE(OFFSET($R$3,0,0,'Données projet'!$E$9+1,1))-AVERAGE(OFFSET($H$3,0,0,'Données projet'!$E$9+1,1))</f>
        <v>567.42635821507474</v>
      </c>
      <c r="T167" s="59">
        <f t="shared" si="142"/>
        <v>299.04735309930152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144.13895894338904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144.13895894338904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474.99999999999994</v>
      </c>
      <c r="AJ167" s="13">
        <f>AI167*VLOOKUP('Données projet'!$B$10,Paramètres!$A$1:$I$89,3,0)*VLOOKUP('Données projet'!$B$10,Paramètres!$A$1:$I$89,5,0)</f>
        <v>407.55</v>
      </c>
      <c r="AK167" s="13">
        <f t="shared" si="164"/>
        <v>93.305642095357683</v>
      </c>
      <c r="AL167" s="20">
        <f t="shared" si="165"/>
        <v>872.32357664941446</v>
      </c>
      <c r="AM167" s="59">
        <f t="shared" si="113"/>
        <v>1160.4595083795953</v>
      </c>
      <c r="AN167" s="59">
        <f ca="1">AVERAGE(OFFSET($AM$3,0,0,'Données projet'!$E$10+1,1))-AVERAGE(OFFSET($H$3,0,0,'Données projet'!$E$10+1,1))</f>
        <v>569.97793593332699</v>
      </c>
      <c r="AO167" s="59">
        <f t="shared" si="144"/>
        <v>331.25104323342907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51.134069020895033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51.134069020895033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277.99999999999994</v>
      </c>
      <c r="BE167" s="13">
        <f>BD167*VLOOKUP('Données projet'!$B$11,Paramètres!$A$1:$I$89,3,0)*VLOOKUP('Données projet'!$B$11,Paramètres!$A$1:$I$89,5,0)</f>
        <v>151.78799999999998</v>
      </c>
      <c r="BF167" s="13">
        <f t="shared" si="167"/>
        <v>38.984634390835623</v>
      </c>
      <c r="BG167" s="20">
        <f t="shared" si="168"/>
        <v>332.26233823070532</v>
      </c>
      <c r="BH167" s="59">
        <f t="shared" si="116"/>
        <v>620.39826996088595</v>
      </c>
      <c r="BI167" s="59">
        <f ca="1">AVERAGE(OFFSET($BH$3,0,0,'Données projet'!$E$11+1,1))-AVERAGE(OFFSET($H$3,0,0,'Données projet'!$E$11+1,1))</f>
        <v>215.37314197175104</v>
      </c>
      <c r="BJ167" s="59">
        <f t="shared" si="146"/>
        <v>361.17630426655978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2.5835913063170777</v>
      </c>
      <c r="BQ167" s="21">
        <f>EXP(-LN(2)/25)*BQ166+(1-EXP(-LN(2)/25))/(LN(2)/25)*Calculateur!BL167*Calculateur!BN167*VLOOKUP('Données projet'!$B$11,Paramètres!$A$1:$I$89,3,0)*0.475*44/12</f>
        <v>2.3385034963795488</v>
      </c>
      <c r="BR167" s="21">
        <f>EXP(-LN(2)/2)*BR166+(1-EXP(-LN(2)/2))/(LN(2)/2)*BL167*BO167*VLOOKUP('Données projet'!$B$11,Paramètres!$A$1:$I$89,3,0)*0.475*44/12</f>
        <v>1.7181766242797993E-22</v>
      </c>
      <c r="BS167" s="22">
        <f t="shared" si="169"/>
        <v>4.9220948026966269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0.8600000000003547</v>
      </c>
      <c r="BZ167" s="13">
        <f>BY167*VLOOKUP('Données projet'!$B$12,Paramètres!$A$1:$I$89,3,0)*VLOOKUP('Données projet'!$B$12,Paramètres!$A$1:$I$89,5,0)</f>
        <v>0.48074000000019829</v>
      </c>
      <c r="CA167" s="13">
        <f t="shared" si="170"/>
        <v>0.24126147010950588</v>
      </c>
      <c r="CB167" s="20">
        <f t="shared" si="171"/>
        <v>1.2574858937744013</v>
      </c>
      <c r="CC167" s="59">
        <f t="shared" si="119"/>
        <v>289.39341762395509</v>
      </c>
      <c r="CD167" s="59">
        <f ca="1">AVERAGE(OFFSET($CC$3,0,0,'Données projet'!$E$12+1,1))-AVERAGE(OFFSET($H$3,0,0,'Données projet'!$E$12+1,1))</f>
        <v>420.4890915162182</v>
      </c>
      <c r="CE167" s="59">
        <f t="shared" si="148"/>
        <v>553.48432338023565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42.934271301541479</v>
      </c>
      <c r="CL167" s="21">
        <f>EXP(-LN(2)/25)*CL166+(1-EXP(-LN(2)/25))/(LN(2)/25)*Calculateur!CG167*Calculateur!CI167*VLOOKUP('Données projet'!$B$12,Paramètres!$A$1:$I$89,3,0)*0.475*44/12</f>
        <v>1.2313544853899894</v>
      </c>
      <c r="CM167" s="21">
        <f>EXP(-LN(2)/2)*CM166+(1-EXP(-LN(2)/2))/(LN(2)/2)*CG167*CJ167*VLOOKUP('Données projet'!$B$12,Paramètres!$A$1:$I$89,3,0)*0.475*44/12</f>
        <v>5.0138965317282796E-21</v>
      </c>
      <c r="CN167" s="22">
        <f t="shared" si="172"/>
        <v>44.165625786931471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367.99999999999972</v>
      </c>
      <c r="CU167" s="17">
        <f>CT167*VLOOKUP('Données projet'!$B$13,Paramètres!$A$1:$I$89,3,0)*VLOOKUP('Données projet'!$B$13,Paramètres!$A$1:$I$89,5,0)</f>
        <v>269.8175999999998</v>
      </c>
      <c r="CV167" s="13">
        <f t="shared" si="173"/>
        <v>64.810557882019467</v>
      </c>
      <c r="CW167" s="20">
        <f t="shared" si="174"/>
        <v>582.81070831118348</v>
      </c>
      <c r="CX167" s="59">
        <f t="shared" si="122"/>
        <v>870.94664004136416</v>
      </c>
      <c r="CY167" s="59">
        <f ca="1">AVERAGE(OFFSET($CX$3,0,0,'Données projet'!$E$13+1,1))-AVERAGE(OFFSET($H$3,0,0,'Données projet'!$E$13+1,1))</f>
        <v>400.48995908576177</v>
      </c>
      <c r="CZ167" s="59">
        <f t="shared" si="150"/>
        <v>384.86917865380076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8.7309076678980073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8.7309076678980073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367.99999999999972</v>
      </c>
      <c r="DP167" s="17">
        <f>DO167*VLOOKUP('Données projet'!$B$14,Paramètres!$A$1:$I$89,3,0)*VLOOKUP('Données projet'!$B$14,Paramètres!$A$1:$I$89,5,0)</f>
        <v>292.78079999999977</v>
      </c>
      <c r="DQ167" s="13">
        <f t="shared" si="176"/>
        <v>69.660903052386217</v>
      </c>
      <c r="DR167" s="20">
        <f t="shared" si="177"/>
        <v>631.25263281623893</v>
      </c>
      <c r="DS167" s="59">
        <f t="shared" si="125"/>
        <v>919.38856454641962</v>
      </c>
      <c r="DT167" s="59">
        <f ca="1">AVERAGE(OFFSET($DS$3,0,0,'Données projet'!$E$14+1,1))-AVERAGE(OFFSET($H$3,0,0,'Données projet'!$E$14+1,1))</f>
        <v>429.30603040255431</v>
      </c>
      <c r="DU167" s="59">
        <f t="shared" si="152"/>
        <v>412.18613903804726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11.677210997688428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11.677210997688428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210.25641025641013</v>
      </c>
      <c r="EK167" s="17">
        <f>EJ167*VLOOKUP('Données projet'!$B$15,Paramètres!$A$1:$I$89,3,0)*VLOOKUP('Données projet'!$B$15,Paramètres!$A$1:$I$89,5,0)</f>
        <v>163.99999999999991</v>
      </c>
      <c r="EL167" s="13">
        <f t="shared" si="179"/>
        <v>41.743425908362248</v>
      </c>
      <c r="EM167" s="20">
        <f t="shared" si="180"/>
        <v>358.33646679039742</v>
      </c>
      <c r="EN167" s="59">
        <f t="shared" si="128"/>
        <v>646.47239852057805</v>
      </c>
      <c r="EO167" s="59">
        <f ca="1">AVERAGE(OFFSET($EN$3,0,0,'Données projet'!$E$15+1,1))-AVERAGE(OFFSET($H$3,0,0,'Données projet'!$E$15+1,1))</f>
        <v>217.53602321474159</v>
      </c>
      <c r="EP167" s="59">
        <f t="shared" si="154"/>
        <v>215.75909414893025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4.9210054933170939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4.9210054933170939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19.8100000000004</v>
      </c>
      <c r="FF167" s="17">
        <f>FE167*VLOOKUP('Données projet'!$B$16,Paramètres!$A$1:$I$89,3,0)*VLOOKUP('Données projet'!$B$16,Paramètres!$A$1:$I$89,5,0)</f>
        <v>13.288548000000269</v>
      </c>
      <c r="FG167" s="13">
        <f t="shared" si="182"/>
        <v>4.531654695205642</v>
      </c>
      <c r="FH167" s="20">
        <f t="shared" si="183"/>
        <v>31.036853027483627</v>
      </c>
      <c r="FI167" s="59">
        <f t="shared" si="131"/>
        <v>319.17278475766432</v>
      </c>
      <c r="FJ167" s="59">
        <f ca="1">AVERAGE(OFFSET($FI$3,0,0,'Données projet'!$E$16+1,1))-AVERAGE(OFFSET($H$3,0,0,'Données projet'!$E$16+1,1))</f>
        <v>441.20130048888439</v>
      </c>
      <c r="FK167" s="59">
        <f t="shared" si="156"/>
        <v>237.47732532183946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131.71318662068308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131.71318662068308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204.00000000000017</v>
      </c>
      <c r="GA167" s="17">
        <f>FZ167*VLOOKUP('Données projet'!$B$17,Paramètres!$A$1:$I$89,3,0)*VLOOKUP('Données projet'!$B$17,Paramètres!$A$1:$I$89,5,0)</f>
        <v>133.66080000000011</v>
      </c>
      <c r="GB167" s="13">
        <f t="shared" si="185"/>
        <v>34.840890682716783</v>
      </c>
      <c r="GC167" s="20">
        <f t="shared" si="186"/>
        <v>293.4737779390652</v>
      </c>
      <c r="GD167" s="59">
        <f t="shared" si="134"/>
        <v>581.60970966924583</v>
      </c>
      <c r="GE167" s="59">
        <f ca="1">AVERAGE(OFFSET($GD$3,0,0,'Données projet'!$E$17+1,1))-AVERAGE(OFFSET($H$3,0,0,'Données projet'!$E$17+1,1))</f>
        <v>257.66104339896992</v>
      </c>
      <c r="GF167" s="59">
        <f t="shared" si="158"/>
        <v>254.79488636184996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9.1027866563996227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9.1027866563996227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234.00000000000003</v>
      </c>
      <c r="GV167" s="17">
        <f>GU167*VLOOKUP('Données projet'!$B$18,Paramètres!$A$1:$I$89,3,0)*VLOOKUP('Données projet'!$B$18,Paramètres!$A$1:$I$89,5,0)</f>
        <v>189.82080000000005</v>
      </c>
      <c r="GW167" s="13">
        <f t="shared" si="188"/>
        <v>47.500332100049796</v>
      </c>
      <c r="GX167" s="20">
        <f t="shared" si="189"/>
        <v>413.33430507425345</v>
      </c>
      <c r="GY167" s="59">
        <f t="shared" si="137"/>
        <v>701.47023680443408</v>
      </c>
      <c r="GZ167" s="59">
        <f ca="1">AVERAGE(OFFSET($GY$3,0,0,'Données projet'!$E$18+1,1))-AVERAGE(OFFSET($H$3,0,0,'Données projet'!$E$18+1,1))</f>
        <v>299.98377156721153</v>
      </c>
      <c r="HA167" s="59">
        <f t="shared" si="160"/>
        <v>241.36164657721102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8.7699836433016589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8.7699836433016589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19.8100000000004</v>
      </c>
      <c r="O168" s="13">
        <f>N168*VLOOKUP('Données projet'!$B$9,Paramètres!$A$1:$I$89,3,0)*VLOOKUP('Données projet'!$B$9,Paramètres!$A$1:$I$89,5,0)</f>
        <v>17.924088000000364</v>
      </c>
      <c r="P168" s="13">
        <f t="shared" si="141"/>
        <v>5.9032212091029486</v>
      </c>
      <c r="Q168" s="20">
        <f t="shared" si="162"/>
        <v>41.499230205854936</v>
      </c>
      <c r="R168" s="59">
        <f t="shared" si="109"/>
        <v>329.72532523420108</v>
      </c>
      <c r="S168" s="59">
        <f ca="1">AVERAGE(OFFSET($R$3,0,0,'Données projet'!$E$9+1,1))-AVERAGE(OFFSET($H$3,0,0,'Données projet'!$E$9+1,1))</f>
        <v>567.42635821507474</v>
      </c>
      <c r="T168" s="59">
        <f t="shared" si="142"/>
        <v>299.04735309930152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141.31248187459315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141.31248187459315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474.99999999999994</v>
      </c>
      <c r="AJ168" s="13">
        <f>AI168*VLOOKUP('Données projet'!$B$10,Paramètres!$A$1:$I$89,3,0)*VLOOKUP('Données projet'!$B$10,Paramètres!$A$1:$I$89,5,0)</f>
        <v>407.55</v>
      </c>
      <c r="AK168" s="13">
        <f t="shared" si="164"/>
        <v>93.305642095357683</v>
      </c>
      <c r="AL168" s="20">
        <f t="shared" si="165"/>
        <v>872.32357664941446</v>
      </c>
      <c r="AM168" s="59">
        <f t="shared" si="113"/>
        <v>1160.5496716777607</v>
      </c>
      <c r="AN168" s="59">
        <f ca="1">AVERAGE(OFFSET($AM$3,0,0,'Données projet'!$E$10+1,1))-AVERAGE(OFFSET($H$3,0,0,'Données projet'!$E$10+1,1))</f>
        <v>569.97793593332699</v>
      </c>
      <c r="AO168" s="59">
        <f t="shared" si="144"/>
        <v>331.25104323342907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50.131361116097757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50.131361116097757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277.99999999999994</v>
      </c>
      <c r="BE168" s="13">
        <f>BD168*VLOOKUP('Données projet'!$B$11,Paramètres!$A$1:$I$89,3,0)*VLOOKUP('Données projet'!$B$11,Paramètres!$A$1:$I$89,5,0)</f>
        <v>151.78799999999998</v>
      </c>
      <c r="BF168" s="13">
        <f t="shared" si="167"/>
        <v>38.984634390835623</v>
      </c>
      <c r="BG168" s="20">
        <f t="shared" si="168"/>
        <v>332.26233823070532</v>
      </c>
      <c r="BH168" s="59">
        <f t="shared" si="116"/>
        <v>620.48843325905148</v>
      </c>
      <c r="BI168" s="59">
        <f ca="1">AVERAGE(OFFSET($BH$3,0,0,'Données projet'!$E$11+1,1))-AVERAGE(OFFSET($H$3,0,0,'Données projet'!$E$11+1,1))</f>
        <v>215.37314197175104</v>
      </c>
      <c r="BJ168" s="59">
        <f t="shared" si="146"/>
        <v>361.17630426655978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2.532928656635296</v>
      </c>
      <c r="BQ168" s="21">
        <f>EXP(-LN(2)/25)*BQ167+(1-EXP(-LN(2)/25))/(LN(2)/25)*Calculateur!BL168*Calculateur!BN168*VLOOKUP('Données projet'!$B$11,Paramètres!$A$1:$I$89,3,0)*0.475*44/12</f>
        <v>2.2745569952944957</v>
      </c>
      <c r="BR168" s="21">
        <f>EXP(-LN(2)/2)*BR167+(1-EXP(-LN(2)/2))/(LN(2)/2)*BL168*BO168*VLOOKUP('Données projet'!$B$11,Paramètres!$A$1:$I$89,3,0)*0.475*44/12</f>
        <v>1.2149343423044569E-22</v>
      </c>
      <c r="BS168" s="22">
        <f t="shared" si="169"/>
        <v>4.8074856519297917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0.8600000000003547</v>
      </c>
      <c r="BZ168" s="13">
        <f>BY168*VLOOKUP('Données projet'!$B$12,Paramètres!$A$1:$I$89,3,0)*VLOOKUP('Données projet'!$B$12,Paramètres!$A$1:$I$89,5,0)</f>
        <v>0.48074000000019829</v>
      </c>
      <c r="CA168" s="13">
        <f t="shared" si="170"/>
        <v>0.24126147010950588</v>
      </c>
      <c r="CB168" s="20">
        <f t="shared" si="171"/>
        <v>1.2574858937744013</v>
      </c>
      <c r="CC168" s="59">
        <f t="shared" si="119"/>
        <v>289.48358092212055</v>
      </c>
      <c r="CD168" s="59">
        <f ca="1">AVERAGE(OFFSET($CC$3,0,0,'Données projet'!$E$12+1,1))-AVERAGE(OFFSET($H$3,0,0,'Données projet'!$E$12+1,1))</f>
        <v>420.4890915162182</v>
      </c>
      <c r="CE168" s="59">
        <f t="shared" si="148"/>
        <v>553.48432338023565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42.092356428637963</v>
      </c>
      <c r="CL168" s="21">
        <f>EXP(-LN(2)/25)*CL167+(1-EXP(-LN(2)/25))/(LN(2)/25)*Calculateur!CG168*Calculateur!CI168*VLOOKUP('Données projet'!$B$12,Paramètres!$A$1:$I$89,3,0)*0.475*44/12</f>
        <v>1.197683032232882</v>
      </c>
      <c r="CM168" s="21">
        <f>EXP(-LN(2)/2)*CM167+(1-EXP(-LN(2)/2))/(LN(2)/2)*CG168*CJ168*VLOOKUP('Données projet'!$B$12,Paramètres!$A$1:$I$89,3,0)*0.475*44/12</f>
        <v>3.5453602377527781E-21</v>
      </c>
      <c r="CN168" s="22">
        <f t="shared" si="172"/>
        <v>43.290039460870844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367.99999999999972</v>
      </c>
      <c r="CU168" s="17">
        <f>CT168*VLOOKUP('Données projet'!$B$13,Paramètres!$A$1:$I$89,3,0)*VLOOKUP('Données projet'!$B$13,Paramètres!$A$1:$I$89,5,0)</f>
        <v>269.8175999999998</v>
      </c>
      <c r="CV168" s="13">
        <f t="shared" si="173"/>
        <v>64.810557882019467</v>
      </c>
      <c r="CW168" s="20">
        <f t="shared" si="174"/>
        <v>582.81070831118348</v>
      </c>
      <c r="CX168" s="59">
        <f t="shared" si="122"/>
        <v>871.03680333952957</v>
      </c>
      <c r="CY168" s="59">
        <f ca="1">AVERAGE(OFFSET($CX$3,0,0,'Données projet'!$E$13+1,1))-AVERAGE(OFFSET($H$3,0,0,'Données projet'!$E$13+1,1))</f>
        <v>400.48995908576177</v>
      </c>
      <c r="CZ168" s="59">
        <f t="shared" si="150"/>
        <v>384.86917865380076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8.5596998938583724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8.5596998938583724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367.99999999999972</v>
      </c>
      <c r="DP168" s="17">
        <f>DO168*VLOOKUP('Données projet'!$B$14,Paramètres!$A$1:$I$89,3,0)*VLOOKUP('Données projet'!$B$14,Paramètres!$A$1:$I$89,5,0)</f>
        <v>292.78079999999977</v>
      </c>
      <c r="DQ168" s="13">
        <f t="shared" si="176"/>
        <v>69.660903052386217</v>
      </c>
      <c r="DR168" s="20">
        <f t="shared" si="177"/>
        <v>631.25263281623893</v>
      </c>
      <c r="DS168" s="59">
        <f t="shared" si="125"/>
        <v>919.47872784458514</v>
      </c>
      <c r="DT168" s="59">
        <f ca="1">AVERAGE(OFFSET($DS$3,0,0,'Données projet'!$E$14+1,1))-AVERAGE(OFFSET($H$3,0,0,'Données projet'!$E$14+1,1))</f>
        <v>429.30603040255431</v>
      </c>
      <c r="DU168" s="59">
        <f t="shared" si="152"/>
        <v>412.18613903804726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11.44822801241919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11.44822801241919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210.25641025641013</v>
      </c>
      <c r="EK168" s="17">
        <f>EJ168*VLOOKUP('Données projet'!$B$15,Paramètres!$A$1:$I$89,3,0)*VLOOKUP('Données projet'!$B$15,Paramètres!$A$1:$I$89,5,0)</f>
        <v>163.99999999999991</v>
      </c>
      <c r="EL168" s="13">
        <f t="shared" si="179"/>
        <v>41.743425908362248</v>
      </c>
      <c r="EM168" s="20">
        <f t="shared" si="180"/>
        <v>358.33646679039742</v>
      </c>
      <c r="EN168" s="59">
        <f t="shared" si="128"/>
        <v>646.56256181874357</v>
      </c>
      <c r="EO168" s="59">
        <f ca="1">AVERAGE(OFFSET($EN$3,0,0,'Données projet'!$E$15+1,1))-AVERAGE(OFFSET($H$3,0,0,'Données projet'!$E$15+1,1))</f>
        <v>217.53602321474159</v>
      </c>
      <c r="EP168" s="59">
        <f t="shared" si="154"/>
        <v>215.75909414893025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4.8245075771101211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4.8245075771101211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19.8100000000004</v>
      </c>
      <c r="FF168" s="17">
        <f>FE168*VLOOKUP('Données projet'!$B$16,Paramètres!$A$1:$I$89,3,0)*VLOOKUP('Données projet'!$B$16,Paramètres!$A$1:$I$89,5,0)</f>
        <v>13.288548000000269</v>
      </c>
      <c r="FG168" s="13">
        <f t="shared" si="182"/>
        <v>4.531654695205642</v>
      </c>
      <c r="FH168" s="20">
        <f t="shared" si="183"/>
        <v>31.036853027483627</v>
      </c>
      <c r="FI168" s="59">
        <f t="shared" si="131"/>
        <v>319.26294805582978</v>
      </c>
      <c r="FJ168" s="59">
        <f ca="1">AVERAGE(OFFSET($FI$3,0,0,'Données projet'!$E$16+1,1))-AVERAGE(OFFSET($H$3,0,0,'Données projet'!$E$16+1,1))</f>
        <v>441.20130048888439</v>
      </c>
      <c r="FK168" s="59">
        <f t="shared" si="156"/>
        <v>237.47732532183946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129.13037136816268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129.13037136816268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204.00000000000017</v>
      </c>
      <c r="GA168" s="17">
        <f>FZ168*VLOOKUP('Données projet'!$B$17,Paramètres!$A$1:$I$89,3,0)*VLOOKUP('Données projet'!$B$17,Paramètres!$A$1:$I$89,5,0)</f>
        <v>133.66080000000011</v>
      </c>
      <c r="GB168" s="13">
        <f t="shared" si="185"/>
        <v>34.840890682716783</v>
      </c>
      <c r="GC168" s="20">
        <f t="shared" si="186"/>
        <v>293.4737779390652</v>
      </c>
      <c r="GD168" s="59">
        <f t="shared" si="134"/>
        <v>581.69987296741135</v>
      </c>
      <c r="GE168" s="59">
        <f ca="1">AVERAGE(OFFSET($GD$3,0,0,'Données projet'!$E$17+1,1))-AVERAGE(OFFSET($H$3,0,0,'Données projet'!$E$17+1,1))</f>
        <v>257.66104339896992</v>
      </c>
      <c r="GF168" s="59">
        <f t="shared" si="158"/>
        <v>254.79488636184996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8.9242865622192564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8.9242865622192564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234.00000000000003</v>
      </c>
      <c r="GV168" s="17">
        <f>GU168*VLOOKUP('Données projet'!$B$18,Paramètres!$A$1:$I$89,3,0)*VLOOKUP('Données projet'!$B$18,Paramètres!$A$1:$I$89,5,0)</f>
        <v>189.82080000000005</v>
      </c>
      <c r="GW168" s="13">
        <f t="shared" si="188"/>
        <v>47.500332100049796</v>
      </c>
      <c r="GX168" s="20">
        <f t="shared" si="189"/>
        <v>413.33430507425345</v>
      </c>
      <c r="GY168" s="59">
        <f t="shared" si="137"/>
        <v>701.5604001025996</v>
      </c>
      <c r="GZ168" s="59">
        <f ca="1">AVERAGE(OFFSET($GY$3,0,0,'Données projet'!$E$18+1,1))-AVERAGE(OFFSET($H$3,0,0,'Données projet'!$E$18+1,1))</f>
        <v>299.98377156721153</v>
      </c>
      <c r="HA168" s="59">
        <f t="shared" si="160"/>
        <v>241.36164657721102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8.5980096132183501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8.5980096132183501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19.8100000000004</v>
      </c>
      <c r="O169" s="13">
        <f>N169*VLOOKUP('Données projet'!$B$9,Paramètres!$A$1:$I$89,3,0)*VLOOKUP('Données projet'!$B$9,Paramètres!$A$1:$I$89,5,0)</f>
        <v>17.924088000000364</v>
      </c>
      <c r="P169" s="13">
        <f t="shared" si="141"/>
        <v>5.9032212091029486</v>
      </c>
      <c r="Q169" s="20">
        <f t="shared" si="162"/>
        <v>41.499230205854936</v>
      </c>
      <c r="R169" s="59">
        <f t="shared" si="109"/>
        <v>329.81392440071835</v>
      </c>
      <c r="S169" s="59">
        <f ca="1">AVERAGE(OFFSET($R$3,0,0,'Données projet'!$E$9+1,1))-AVERAGE(OFFSET($H$3,0,0,'Données projet'!$E$9+1,1))</f>
        <v>567.42635821507474</v>
      </c>
      <c r="T169" s="59">
        <f t="shared" si="142"/>
        <v>299.04735309930152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138.54143029713555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138.54143029713555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474.99999999999994</v>
      </c>
      <c r="AJ169" s="13">
        <f>AI169*VLOOKUP('Données projet'!$B$10,Paramètres!$A$1:$I$89,3,0)*VLOOKUP('Données projet'!$B$10,Paramètres!$A$1:$I$89,5,0)</f>
        <v>407.55</v>
      </c>
      <c r="AK169" s="13">
        <f t="shared" si="164"/>
        <v>93.305642095357683</v>
      </c>
      <c r="AL169" s="20">
        <f t="shared" si="165"/>
        <v>872.32357664941446</v>
      </c>
      <c r="AM169" s="59">
        <f t="shared" si="113"/>
        <v>1160.6382708442779</v>
      </c>
      <c r="AN169" s="59">
        <f ca="1">AVERAGE(OFFSET($AM$3,0,0,'Données projet'!$E$10+1,1))-AVERAGE(OFFSET($H$3,0,0,'Données projet'!$E$10+1,1))</f>
        <v>569.97793593332699</v>
      </c>
      <c r="AO169" s="59">
        <f t="shared" si="144"/>
        <v>331.25104323342907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49.148315701722119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49.148315701722119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277.99999999999994</v>
      </c>
      <c r="BE169" s="13">
        <f>BD169*VLOOKUP('Données projet'!$B$11,Paramètres!$A$1:$I$89,3,0)*VLOOKUP('Données projet'!$B$11,Paramètres!$A$1:$I$89,5,0)</f>
        <v>151.78799999999998</v>
      </c>
      <c r="BF169" s="13">
        <f t="shared" si="167"/>
        <v>38.984634390835623</v>
      </c>
      <c r="BG169" s="20">
        <f t="shared" si="168"/>
        <v>332.26233823070532</v>
      </c>
      <c r="BH169" s="59">
        <f t="shared" si="116"/>
        <v>620.57703242556875</v>
      </c>
      <c r="BI169" s="59">
        <f ca="1">AVERAGE(OFFSET($BH$3,0,0,'Données projet'!$E$11+1,1))-AVERAGE(OFFSET($H$3,0,0,'Données projet'!$E$11+1,1))</f>
        <v>215.37314197175104</v>
      </c>
      <c r="BJ169" s="59">
        <f t="shared" si="146"/>
        <v>361.17630426655978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2.4832594706126088</v>
      </c>
      <c r="BQ169" s="21">
        <f>EXP(-LN(2)/25)*BQ168+(1-EXP(-LN(2)/25))/(LN(2)/25)*Calculateur!BL169*Calculateur!BN169*VLOOKUP('Données projet'!$B$11,Paramètres!$A$1:$I$89,3,0)*0.475*44/12</f>
        <v>2.2123591146444141</v>
      </c>
      <c r="BR169" s="21">
        <f>EXP(-LN(2)/2)*BR168+(1-EXP(-LN(2)/2))/(LN(2)/2)*BL169*BO169*VLOOKUP('Données projet'!$B$11,Paramètres!$A$1:$I$89,3,0)*0.475*44/12</f>
        <v>8.5908831213989963E-23</v>
      </c>
      <c r="BS169" s="22">
        <f t="shared" si="169"/>
        <v>4.6956185852570229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0.8600000000003547</v>
      </c>
      <c r="BZ169" s="13">
        <f>BY169*VLOOKUP('Données projet'!$B$12,Paramètres!$A$1:$I$89,3,0)*VLOOKUP('Données projet'!$B$12,Paramètres!$A$1:$I$89,5,0)</f>
        <v>0.48074000000019829</v>
      </c>
      <c r="CA169" s="13">
        <f t="shared" si="170"/>
        <v>0.24126147010950588</v>
      </c>
      <c r="CB169" s="20">
        <f t="shared" si="171"/>
        <v>1.2574858937744013</v>
      </c>
      <c r="CC169" s="59">
        <f t="shared" si="119"/>
        <v>289.57218008863782</v>
      </c>
      <c r="CD169" s="59">
        <f ca="1">AVERAGE(OFFSET($CC$3,0,0,'Données projet'!$E$12+1,1))-AVERAGE(OFFSET($H$3,0,0,'Données projet'!$E$12+1,1))</f>
        <v>420.4890915162182</v>
      </c>
      <c r="CE169" s="59">
        <f t="shared" si="148"/>
        <v>553.48432338023565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41.266950992874719</v>
      </c>
      <c r="CL169" s="21">
        <f>EXP(-LN(2)/25)*CL168+(1-EXP(-LN(2)/25))/(LN(2)/25)*Calculateur!CG169*Calculateur!CI169*VLOOKUP('Données projet'!$B$12,Paramètres!$A$1:$I$89,3,0)*0.475*44/12</f>
        <v>1.1649323267330605</v>
      </c>
      <c r="CM169" s="21">
        <f>EXP(-LN(2)/2)*CM168+(1-EXP(-LN(2)/2))/(LN(2)/2)*CG169*CJ169*VLOOKUP('Données projet'!$B$12,Paramètres!$A$1:$I$89,3,0)*0.475*44/12</f>
        <v>2.5069482658641398E-21</v>
      </c>
      <c r="CN169" s="22">
        <f t="shared" si="172"/>
        <v>42.431883319607778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367.99999999999972</v>
      </c>
      <c r="CU169" s="17">
        <f>CT169*VLOOKUP('Données projet'!$B$13,Paramètres!$A$1:$I$89,3,0)*VLOOKUP('Données projet'!$B$13,Paramètres!$A$1:$I$89,5,0)</f>
        <v>269.8175999999998</v>
      </c>
      <c r="CV169" s="13">
        <f t="shared" si="173"/>
        <v>64.810557882019467</v>
      </c>
      <c r="CW169" s="20">
        <f t="shared" si="174"/>
        <v>582.81070831118348</v>
      </c>
      <c r="CX169" s="59">
        <f t="shared" si="122"/>
        <v>871.12540250604684</v>
      </c>
      <c r="CY169" s="59">
        <f ca="1">AVERAGE(OFFSET($CX$3,0,0,'Données projet'!$E$13+1,1))-AVERAGE(OFFSET($H$3,0,0,'Données projet'!$E$13+1,1))</f>
        <v>400.48995908576177</v>
      </c>
      <c r="CZ169" s="59">
        <f t="shared" si="150"/>
        <v>384.86917865380076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8.3918493998412238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8.3918493998412238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367.99999999999972</v>
      </c>
      <c r="DP169" s="17">
        <f>DO169*VLOOKUP('Données projet'!$B$14,Paramètres!$A$1:$I$89,3,0)*VLOOKUP('Données projet'!$B$14,Paramètres!$A$1:$I$89,5,0)</f>
        <v>292.78079999999977</v>
      </c>
      <c r="DQ169" s="13">
        <f t="shared" si="176"/>
        <v>69.660903052386217</v>
      </c>
      <c r="DR169" s="20">
        <f t="shared" si="177"/>
        <v>631.25263281623893</v>
      </c>
      <c r="DS169" s="59">
        <f t="shared" si="125"/>
        <v>919.56732701110241</v>
      </c>
      <c r="DT169" s="59">
        <f ca="1">AVERAGE(OFFSET($DS$3,0,0,'Données projet'!$E$14+1,1))-AVERAGE(OFFSET($H$3,0,0,'Données projet'!$E$14+1,1))</f>
        <v>429.30603040255431</v>
      </c>
      <c r="DU169" s="59">
        <f t="shared" si="152"/>
        <v>412.18613903804726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11.223735243825249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11.223735243825249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210.25641025641013</v>
      </c>
      <c r="EK169" s="17">
        <f>EJ169*VLOOKUP('Données projet'!$B$15,Paramètres!$A$1:$I$89,3,0)*VLOOKUP('Données projet'!$B$15,Paramètres!$A$1:$I$89,5,0)</f>
        <v>163.99999999999991</v>
      </c>
      <c r="EL169" s="13">
        <f t="shared" si="179"/>
        <v>41.743425908362248</v>
      </c>
      <c r="EM169" s="20">
        <f t="shared" si="180"/>
        <v>358.33646679039742</v>
      </c>
      <c r="EN169" s="59">
        <f t="shared" si="128"/>
        <v>646.65116098526084</v>
      </c>
      <c r="EO169" s="59">
        <f ca="1">AVERAGE(OFFSET($EN$3,0,0,'Données projet'!$E$15+1,1))-AVERAGE(OFFSET($H$3,0,0,'Données projet'!$E$15+1,1))</f>
        <v>217.53602321474159</v>
      </c>
      <c r="EP169" s="59">
        <f t="shared" si="154"/>
        <v>215.75909414893025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4.7299019261820501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4.7299019261820501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19.8100000000004</v>
      </c>
      <c r="FF169" s="17">
        <f>FE169*VLOOKUP('Données projet'!$B$16,Paramètres!$A$1:$I$89,3,0)*VLOOKUP('Données projet'!$B$16,Paramètres!$A$1:$I$89,5,0)</f>
        <v>13.288548000000269</v>
      </c>
      <c r="FG169" s="13">
        <f t="shared" si="182"/>
        <v>4.531654695205642</v>
      </c>
      <c r="FH169" s="20">
        <f t="shared" si="183"/>
        <v>31.036853027483627</v>
      </c>
      <c r="FI169" s="59">
        <f t="shared" si="131"/>
        <v>319.35154722234705</v>
      </c>
      <c r="FJ169" s="59">
        <f ca="1">AVERAGE(OFFSET($FI$3,0,0,'Données projet'!$E$16+1,1))-AVERAGE(OFFSET($H$3,0,0,'Données projet'!$E$16+1,1))</f>
        <v>441.20130048888439</v>
      </c>
      <c r="FK169" s="59">
        <f t="shared" si="156"/>
        <v>237.47732532183946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126.59820354738247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126.59820354738247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204.00000000000017</v>
      </c>
      <c r="GA169" s="17">
        <f>FZ169*VLOOKUP('Données projet'!$B$17,Paramètres!$A$1:$I$89,3,0)*VLOOKUP('Données projet'!$B$17,Paramètres!$A$1:$I$89,5,0)</f>
        <v>133.66080000000011</v>
      </c>
      <c r="GB169" s="13">
        <f t="shared" si="185"/>
        <v>34.840890682716783</v>
      </c>
      <c r="GC169" s="20">
        <f t="shared" si="186"/>
        <v>293.4737779390652</v>
      </c>
      <c r="GD169" s="59">
        <f t="shared" si="134"/>
        <v>581.78847213392862</v>
      </c>
      <c r="GE169" s="59">
        <f ca="1">AVERAGE(OFFSET($GD$3,0,0,'Données projet'!$E$17+1,1))-AVERAGE(OFFSET($H$3,0,0,'Données projet'!$E$17+1,1))</f>
        <v>257.66104339896992</v>
      </c>
      <c r="GF169" s="59">
        <f t="shared" si="158"/>
        <v>254.79488636184996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8.7492867460114603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8.7492867460114603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234.00000000000003</v>
      </c>
      <c r="GV169" s="17">
        <f>GU169*VLOOKUP('Données projet'!$B$18,Paramètres!$A$1:$I$89,3,0)*VLOOKUP('Données projet'!$B$18,Paramètres!$A$1:$I$89,5,0)</f>
        <v>189.82080000000005</v>
      </c>
      <c r="GW169" s="13">
        <f t="shared" si="188"/>
        <v>47.500332100049796</v>
      </c>
      <c r="GX169" s="20">
        <f t="shared" si="189"/>
        <v>413.33430507425345</v>
      </c>
      <c r="GY169" s="59">
        <f t="shared" si="137"/>
        <v>701.64899926911687</v>
      </c>
      <c r="GZ169" s="59">
        <f ca="1">AVERAGE(OFFSET($GY$3,0,0,'Données projet'!$E$18+1,1))-AVERAGE(OFFSET($H$3,0,0,'Données projet'!$E$18+1,1))</f>
        <v>299.98377156721153</v>
      </c>
      <c r="HA169" s="59">
        <f t="shared" si="160"/>
        <v>241.36164657721102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8.4294078889711734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8.4294078889711734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19.8100000000004</v>
      </c>
      <c r="O170" s="13">
        <f>N170*VLOOKUP('Données projet'!$B$9,Paramètres!$A$1:$I$89,3,0)*VLOOKUP('Données projet'!$B$9,Paramètres!$A$1:$I$89,5,0)</f>
        <v>17.924088000000364</v>
      </c>
      <c r="P170" s="13">
        <f t="shared" si="141"/>
        <v>5.9032212091029486</v>
      </c>
      <c r="Q170" s="20">
        <f t="shared" si="162"/>
        <v>41.499230205854936</v>
      </c>
      <c r="R170" s="59">
        <f t="shared" si="109"/>
        <v>329.90098656977455</v>
      </c>
      <c r="S170" s="59">
        <f ca="1">AVERAGE(OFFSET($R$3,0,0,'Données projet'!$E$9+1,1))-AVERAGE(OFFSET($H$3,0,0,'Données projet'!$E$9+1,1))</f>
        <v>567.42635821507474</v>
      </c>
      <c r="T170" s="59">
        <f t="shared" si="142"/>
        <v>299.04735309930152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135.82471735093733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135.82471735093733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474.99999999999994</v>
      </c>
      <c r="AJ170" s="13">
        <f>AI170*VLOOKUP('Données projet'!$B$10,Paramètres!$A$1:$I$89,3,0)*VLOOKUP('Données projet'!$B$10,Paramètres!$A$1:$I$89,5,0)</f>
        <v>407.55</v>
      </c>
      <c r="AK170" s="13">
        <f t="shared" si="164"/>
        <v>93.305642095357683</v>
      </c>
      <c r="AL170" s="20">
        <f t="shared" si="165"/>
        <v>872.32357664941446</v>
      </c>
      <c r="AM170" s="59">
        <f t="shared" si="113"/>
        <v>1160.725333013334</v>
      </c>
      <c r="AN170" s="59">
        <f ca="1">AVERAGE(OFFSET($AM$3,0,0,'Données projet'!$E$10+1,1))-AVERAGE(OFFSET($H$3,0,0,'Données projet'!$E$10+1,1))</f>
        <v>569.97793593332699</v>
      </c>
      <c r="AO170" s="59">
        <f t="shared" si="144"/>
        <v>331.25104323342907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48.184547208323892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48.184547208323892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277.99999999999994</v>
      </c>
      <c r="BE170" s="13">
        <f>BD170*VLOOKUP('Données projet'!$B$11,Paramètres!$A$1:$I$89,3,0)*VLOOKUP('Données projet'!$B$11,Paramètres!$A$1:$I$89,5,0)</f>
        <v>151.78799999999998</v>
      </c>
      <c r="BF170" s="13">
        <f t="shared" si="167"/>
        <v>38.984634390835623</v>
      </c>
      <c r="BG170" s="20">
        <f t="shared" si="168"/>
        <v>332.26233823070532</v>
      </c>
      <c r="BH170" s="59">
        <f t="shared" si="116"/>
        <v>620.66409459462488</v>
      </c>
      <c r="BI170" s="59">
        <f ca="1">AVERAGE(OFFSET($BH$3,0,0,'Données projet'!$E$11+1,1))-AVERAGE(OFFSET($H$3,0,0,'Données projet'!$E$11+1,1))</f>
        <v>215.37314197175104</v>
      </c>
      <c r="BJ170" s="59">
        <f t="shared" si="146"/>
        <v>361.17630426655978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2.4345642670326146</v>
      </c>
      <c r="BQ170" s="21">
        <f>EXP(-LN(2)/25)*BQ169+(1-EXP(-LN(2)/25))/(LN(2)/25)*Calculateur!BL170*Calculateur!BN170*VLOOKUP('Données projet'!$B$11,Paramètres!$A$1:$I$89,3,0)*0.475*44/12</f>
        <v>2.1518620383115534</v>
      </c>
      <c r="BR170" s="21">
        <f>EXP(-LN(2)/2)*BR169+(1-EXP(-LN(2)/2))/(LN(2)/2)*BL170*BO170*VLOOKUP('Données projet'!$B$11,Paramètres!$A$1:$I$89,3,0)*0.475*44/12</f>
        <v>6.0746717115222843E-23</v>
      </c>
      <c r="BS170" s="22">
        <f t="shared" si="169"/>
        <v>4.5864263053441681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0.8600000000003547</v>
      </c>
      <c r="BZ170" s="13">
        <f>BY170*VLOOKUP('Données projet'!$B$12,Paramètres!$A$1:$I$89,3,0)*VLOOKUP('Données projet'!$B$12,Paramètres!$A$1:$I$89,5,0)</f>
        <v>0.48074000000019829</v>
      </c>
      <c r="CA170" s="13">
        <f t="shared" si="170"/>
        <v>0.24126147010950588</v>
      </c>
      <c r="CB170" s="20">
        <f t="shared" si="171"/>
        <v>1.2574858937744013</v>
      </c>
      <c r="CC170" s="59">
        <f t="shared" si="119"/>
        <v>289.65924225769402</v>
      </c>
      <c r="CD170" s="59">
        <f ca="1">AVERAGE(OFFSET($CC$3,0,0,'Données projet'!$E$12+1,1))-AVERAGE(OFFSET($H$3,0,0,'Données projet'!$E$12+1,1))</f>
        <v>420.4890915162182</v>
      </c>
      <c r="CE170" s="59">
        <f t="shared" si="148"/>
        <v>553.48432338023565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40.457731254259187</v>
      </c>
      <c r="CL170" s="21">
        <f>EXP(-LN(2)/25)*CL169+(1-EXP(-LN(2)/25))/(LN(2)/25)*Calculateur!CG170*Calculateur!CI170*VLOOKUP('Données projet'!$B$12,Paramètres!$A$1:$I$89,3,0)*0.475*44/12</f>
        <v>1.1330771909974164</v>
      </c>
      <c r="CM170" s="21">
        <f>EXP(-LN(2)/2)*CM169+(1-EXP(-LN(2)/2))/(LN(2)/2)*CG170*CJ170*VLOOKUP('Données projet'!$B$12,Paramètres!$A$1:$I$89,3,0)*0.475*44/12</f>
        <v>1.772680118876389E-21</v>
      </c>
      <c r="CN170" s="22">
        <f t="shared" si="172"/>
        <v>41.590808445256606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367.99999999999972</v>
      </c>
      <c r="CU170" s="17">
        <f>CT170*VLOOKUP('Données projet'!$B$13,Paramètres!$A$1:$I$89,3,0)*VLOOKUP('Données projet'!$B$13,Paramètres!$A$1:$I$89,5,0)</f>
        <v>269.8175999999998</v>
      </c>
      <c r="CV170" s="13">
        <f t="shared" si="173"/>
        <v>64.810557882019467</v>
      </c>
      <c r="CW170" s="20">
        <f t="shared" si="174"/>
        <v>582.81070831118348</v>
      </c>
      <c r="CX170" s="59">
        <f t="shared" si="122"/>
        <v>871.21246467510309</v>
      </c>
      <c r="CY170" s="59">
        <f ca="1">AVERAGE(OFFSET($CX$3,0,0,'Données projet'!$E$13+1,1))-AVERAGE(OFFSET($H$3,0,0,'Données projet'!$E$13+1,1))</f>
        <v>400.48995908576177</v>
      </c>
      <c r="CZ170" s="59">
        <f t="shared" si="150"/>
        <v>384.86917865380076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8.2272903516330587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8.2272903516330587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367.99999999999972</v>
      </c>
      <c r="DP170" s="17">
        <f>DO170*VLOOKUP('Données projet'!$B$14,Paramètres!$A$1:$I$89,3,0)*VLOOKUP('Données projet'!$B$14,Paramètres!$A$1:$I$89,5,0)</f>
        <v>292.78079999999977</v>
      </c>
      <c r="DQ170" s="13">
        <f t="shared" si="176"/>
        <v>69.660903052386217</v>
      </c>
      <c r="DR170" s="20">
        <f t="shared" si="177"/>
        <v>631.25263281623893</v>
      </c>
      <c r="DS170" s="59">
        <f t="shared" si="125"/>
        <v>919.65438918015855</v>
      </c>
      <c r="DT170" s="59">
        <f ca="1">AVERAGE(OFFSET($DS$3,0,0,'Données projet'!$E$14+1,1))-AVERAGE(OFFSET($H$3,0,0,'Données projet'!$E$14+1,1))</f>
        <v>429.30603040255431</v>
      </c>
      <c r="DU170" s="59">
        <f t="shared" si="152"/>
        <v>412.18613903804726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11.003644641496368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11.003644641496368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210.25641025641013</v>
      </c>
      <c r="EK170" s="17">
        <f>EJ170*VLOOKUP('Données projet'!$B$15,Paramètres!$A$1:$I$89,3,0)*VLOOKUP('Données projet'!$B$15,Paramètres!$A$1:$I$89,5,0)</f>
        <v>163.99999999999991</v>
      </c>
      <c r="EL170" s="13">
        <f t="shared" si="179"/>
        <v>41.743425908362248</v>
      </c>
      <c r="EM170" s="20">
        <f t="shared" si="180"/>
        <v>358.33646679039742</v>
      </c>
      <c r="EN170" s="59">
        <f t="shared" si="128"/>
        <v>646.73822315431698</v>
      </c>
      <c r="EO170" s="59">
        <f ca="1">AVERAGE(OFFSET($EN$3,0,0,'Données projet'!$E$15+1,1))-AVERAGE(OFFSET($H$3,0,0,'Données projet'!$E$15+1,1))</f>
        <v>217.53602321474159</v>
      </c>
      <c r="EP170" s="59">
        <f t="shared" si="154"/>
        <v>215.75909414893025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4.6371514343649292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4.6371514343649292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19.8100000000004</v>
      </c>
      <c r="FF170" s="17">
        <f>FE170*VLOOKUP('Données projet'!$B$16,Paramètres!$A$1:$I$89,3,0)*VLOOKUP('Données projet'!$B$16,Paramètres!$A$1:$I$89,5,0)</f>
        <v>13.288548000000269</v>
      </c>
      <c r="FG170" s="13">
        <f t="shared" si="182"/>
        <v>4.531654695205642</v>
      </c>
      <c r="FH170" s="20">
        <f t="shared" si="183"/>
        <v>31.036853027483627</v>
      </c>
      <c r="FI170" s="59">
        <f t="shared" si="131"/>
        <v>319.43860939140325</v>
      </c>
      <c r="FJ170" s="59">
        <f ca="1">AVERAGE(OFFSET($FI$3,0,0,'Données projet'!$E$16+1,1))-AVERAGE(OFFSET($H$3,0,0,'Données projet'!$E$16+1,1))</f>
        <v>441.20130048888439</v>
      </c>
      <c r="FK170" s="59">
        <f t="shared" si="156"/>
        <v>237.47732532183946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124.11568999309789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124.11568999309789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204.00000000000017</v>
      </c>
      <c r="GA170" s="17">
        <f>FZ170*VLOOKUP('Données projet'!$B$17,Paramètres!$A$1:$I$89,3,0)*VLOOKUP('Données projet'!$B$17,Paramètres!$A$1:$I$89,5,0)</f>
        <v>133.66080000000011</v>
      </c>
      <c r="GB170" s="13">
        <f t="shared" si="185"/>
        <v>34.840890682716783</v>
      </c>
      <c r="GC170" s="20">
        <f t="shared" si="186"/>
        <v>293.4737779390652</v>
      </c>
      <c r="GD170" s="59">
        <f t="shared" si="134"/>
        <v>581.87553430298476</v>
      </c>
      <c r="GE170" s="59">
        <f ca="1">AVERAGE(OFFSET($GD$3,0,0,'Données projet'!$E$17+1,1))-AVERAGE(OFFSET($H$3,0,0,'Données projet'!$E$17+1,1))</f>
        <v>257.66104339896992</v>
      </c>
      <c r="GF170" s="59">
        <f t="shared" si="158"/>
        <v>254.79488636184996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8.577718569460151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8.577718569460151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234.00000000000003</v>
      </c>
      <c r="GV170" s="17">
        <f>GU170*VLOOKUP('Données projet'!$B$18,Paramètres!$A$1:$I$89,3,0)*VLOOKUP('Données projet'!$B$18,Paramètres!$A$1:$I$89,5,0)</f>
        <v>189.82080000000005</v>
      </c>
      <c r="GW170" s="13">
        <f t="shared" si="188"/>
        <v>47.500332100049796</v>
      </c>
      <c r="GX170" s="20">
        <f t="shared" si="189"/>
        <v>413.33430507425345</v>
      </c>
      <c r="GY170" s="59">
        <f t="shared" si="137"/>
        <v>701.73606143817301</v>
      </c>
      <c r="GZ170" s="59">
        <f ca="1">AVERAGE(OFFSET($GY$3,0,0,'Données projet'!$E$18+1,1))-AVERAGE(OFFSET($H$3,0,0,'Données projet'!$E$18+1,1))</f>
        <v>299.98377156721153</v>
      </c>
      <c r="HA170" s="59">
        <f t="shared" si="160"/>
        <v>241.36164657721102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8.2641123416995868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8.2641123416995868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19.8100000000004</v>
      </c>
      <c r="O171" s="13">
        <f>N171*VLOOKUP('Données projet'!$B$9,Paramètres!$A$1:$I$89,3,0)*VLOOKUP('Données projet'!$B$9,Paramètres!$A$1:$I$89,5,0)</f>
        <v>17.924088000000364</v>
      </c>
      <c r="P171" s="13">
        <f t="shared" si="141"/>
        <v>5.9032212091029486</v>
      </c>
      <c r="Q171" s="20">
        <f t="shared" si="162"/>
        <v>41.499230205854936</v>
      </c>
      <c r="R171" s="59">
        <f t="shared" si="109"/>
        <v>329.98653840483945</v>
      </c>
      <c r="S171" s="59">
        <f ca="1">AVERAGE(OFFSET($R$3,0,0,'Données projet'!$E$9+1,1))-AVERAGE(OFFSET($H$3,0,0,'Données projet'!$E$9+1,1))</f>
        <v>567.42635821507474</v>
      </c>
      <c r="T171" s="59">
        <f t="shared" si="142"/>
        <v>299.04735309930152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133.16127748858278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133.16127748858278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474.99999999999994</v>
      </c>
      <c r="AJ171" s="13">
        <f>AI171*VLOOKUP('Données projet'!$B$10,Paramètres!$A$1:$I$89,3,0)*VLOOKUP('Données projet'!$B$10,Paramètres!$A$1:$I$89,5,0)</f>
        <v>407.55</v>
      </c>
      <c r="AK171" s="13">
        <f t="shared" si="164"/>
        <v>93.305642095357683</v>
      </c>
      <c r="AL171" s="20">
        <f t="shared" si="165"/>
        <v>872.32357664941446</v>
      </c>
      <c r="AM171" s="59">
        <f t="shared" si="113"/>
        <v>1160.8108848483989</v>
      </c>
      <c r="AN171" s="59">
        <f ca="1">AVERAGE(OFFSET($AM$3,0,0,'Données projet'!$E$10+1,1))-AVERAGE(OFFSET($H$3,0,0,'Données projet'!$E$10+1,1))</f>
        <v>569.97793593332699</v>
      </c>
      <c r="AO171" s="59">
        <f t="shared" si="144"/>
        <v>331.25104323342907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47.239677627240468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47.239677627240468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277.99999999999994</v>
      </c>
      <c r="BE171" s="13">
        <f>BD171*VLOOKUP('Données projet'!$B$11,Paramètres!$A$1:$I$89,3,0)*VLOOKUP('Données projet'!$B$11,Paramètres!$A$1:$I$89,5,0)</f>
        <v>151.78799999999998</v>
      </c>
      <c r="BF171" s="13">
        <f t="shared" si="167"/>
        <v>38.984634390835623</v>
      </c>
      <c r="BG171" s="20">
        <f t="shared" si="168"/>
        <v>332.26233823070532</v>
      </c>
      <c r="BH171" s="59">
        <f t="shared" si="116"/>
        <v>620.74964642968985</v>
      </c>
      <c r="BI171" s="59">
        <f ca="1">AVERAGE(OFFSET($BH$3,0,0,'Données projet'!$E$11+1,1))-AVERAGE(OFFSET($H$3,0,0,'Données projet'!$E$11+1,1))</f>
        <v>215.37314197175104</v>
      </c>
      <c r="BJ171" s="59">
        <f t="shared" si="146"/>
        <v>361.17630426655978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2.3868239466936827</v>
      </c>
      <c r="BQ171" s="21">
        <f>EXP(-LN(2)/25)*BQ170+(1-EXP(-LN(2)/25))/(LN(2)/25)*Calculateur!BL171*Calculateur!BN171*VLOOKUP('Données projet'!$B$11,Paramètres!$A$1:$I$89,3,0)*0.475*44/12</f>
        <v>2.0930192577124176</v>
      </c>
      <c r="BR171" s="21">
        <f>EXP(-LN(2)/2)*BR170+(1-EXP(-LN(2)/2))/(LN(2)/2)*BL171*BO171*VLOOKUP('Données projet'!$B$11,Paramètres!$A$1:$I$89,3,0)*0.475*44/12</f>
        <v>4.2954415606994982E-23</v>
      </c>
      <c r="BS171" s="22">
        <f t="shared" si="169"/>
        <v>4.4798432044060998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0.8600000000003547</v>
      </c>
      <c r="BZ171" s="13">
        <f>BY171*VLOOKUP('Données projet'!$B$12,Paramètres!$A$1:$I$89,3,0)*VLOOKUP('Données projet'!$B$12,Paramètres!$A$1:$I$89,5,0)</f>
        <v>0.48074000000019829</v>
      </c>
      <c r="CA171" s="13">
        <f t="shared" si="170"/>
        <v>0.24126147010950588</v>
      </c>
      <c r="CB171" s="20">
        <f t="shared" si="171"/>
        <v>1.2574858937744013</v>
      </c>
      <c r="CC171" s="59">
        <f t="shared" si="119"/>
        <v>289.74479409275892</v>
      </c>
      <c r="CD171" s="59">
        <f ca="1">AVERAGE(OFFSET($CC$3,0,0,'Données projet'!$E$12+1,1))-AVERAGE(OFFSET($H$3,0,0,'Données projet'!$E$12+1,1))</f>
        <v>420.4890915162182</v>
      </c>
      <c r="CE171" s="59">
        <f t="shared" si="148"/>
        <v>553.48432338023565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39.664379821142603</v>
      </c>
      <c r="CL171" s="21">
        <f>EXP(-LN(2)/25)*CL170+(1-EXP(-LN(2)/25))/(LN(2)/25)*Calculateur!CG171*Calculateur!CI171*VLOOKUP('Données projet'!$B$12,Paramètres!$A$1:$I$89,3,0)*0.475*44/12</f>
        <v>1.1020931356236523</v>
      </c>
      <c r="CM171" s="21">
        <f>EXP(-LN(2)/2)*CM170+(1-EXP(-LN(2)/2))/(LN(2)/2)*CG171*CJ171*VLOOKUP('Données projet'!$B$12,Paramètres!$A$1:$I$89,3,0)*0.475*44/12</f>
        <v>1.2534741329320699E-21</v>
      </c>
      <c r="CN171" s="22">
        <f t="shared" si="172"/>
        <v>40.766472956766258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367.99999999999972</v>
      </c>
      <c r="CU171" s="17">
        <f>CT171*VLOOKUP('Données projet'!$B$13,Paramètres!$A$1:$I$89,3,0)*VLOOKUP('Données projet'!$B$13,Paramètres!$A$1:$I$89,5,0)</f>
        <v>269.8175999999998</v>
      </c>
      <c r="CV171" s="13">
        <f t="shared" si="173"/>
        <v>64.810557882019467</v>
      </c>
      <c r="CW171" s="20">
        <f t="shared" si="174"/>
        <v>582.81070831118348</v>
      </c>
      <c r="CX171" s="59">
        <f t="shared" si="122"/>
        <v>871.29801651016805</v>
      </c>
      <c r="CY171" s="59">
        <f ca="1">AVERAGE(OFFSET($CX$3,0,0,'Données projet'!$E$13+1,1))-AVERAGE(OFFSET($H$3,0,0,'Données projet'!$E$13+1,1))</f>
        <v>400.48995908576177</v>
      </c>
      <c r="CZ171" s="59">
        <f t="shared" si="150"/>
        <v>384.86917865380076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8.0659582059891477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8.0659582059891477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367.99999999999972</v>
      </c>
      <c r="DP171" s="17">
        <f>DO171*VLOOKUP('Données projet'!$B$14,Paramètres!$A$1:$I$89,3,0)*VLOOKUP('Données projet'!$B$14,Paramètres!$A$1:$I$89,5,0)</f>
        <v>292.78079999999977</v>
      </c>
      <c r="DQ171" s="13">
        <f t="shared" si="176"/>
        <v>69.660903052386217</v>
      </c>
      <c r="DR171" s="20">
        <f t="shared" si="177"/>
        <v>631.25263281623893</v>
      </c>
      <c r="DS171" s="59">
        <f t="shared" si="125"/>
        <v>919.73994101522339</v>
      </c>
      <c r="DT171" s="59">
        <f ca="1">AVERAGE(OFFSET($DS$3,0,0,'Données projet'!$E$14+1,1))-AVERAGE(OFFSET($H$3,0,0,'Données projet'!$E$14+1,1))</f>
        <v>429.30603040255431</v>
      </c>
      <c r="DU171" s="59">
        <f t="shared" si="152"/>
        <v>412.18613903804726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10.787869881637144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10.787869881637144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210.25641025641013</v>
      </c>
      <c r="EK171" s="17">
        <f>EJ171*VLOOKUP('Données projet'!$B$15,Paramètres!$A$1:$I$89,3,0)*VLOOKUP('Données projet'!$B$15,Paramètres!$A$1:$I$89,5,0)</f>
        <v>163.99999999999991</v>
      </c>
      <c r="EL171" s="13">
        <f t="shared" si="179"/>
        <v>41.743425908362248</v>
      </c>
      <c r="EM171" s="20">
        <f t="shared" si="180"/>
        <v>358.33646679039742</v>
      </c>
      <c r="EN171" s="59">
        <f t="shared" si="128"/>
        <v>646.82377498938195</v>
      </c>
      <c r="EO171" s="59">
        <f ca="1">AVERAGE(OFFSET($EN$3,0,0,'Données projet'!$E$15+1,1))-AVERAGE(OFFSET($H$3,0,0,'Données projet'!$E$15+1,1))</f>
        <v>217.53602321474159</v>
      </c>
      <c r="EP171" s="59">
        <f t="shared" si="154"/>
        <v>215.75909414893025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4.546219723120128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4.546219723120128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19.8100000000004</v>
      </c>
      <c r="FF171" s="17">
        <f>FE171*VLOOKUP('Données projet'!$B$16,Paramètres!$A$1:$I$89,3,0)*VLOOKUP('Données projet'!$B$16,Paramètres!$A$1:$I$89,5,0)</f>
        <v>13.288548000000269</v>
      </c>
      <c r="FG171" s="13">
        <f t="shared" si="182"/>
        <v>4.531654695205642</v>
      </c>
      <c r="FH171" s="20">
        <f t="shared" si="183"/>
        <v>31.036853027483627</v>
      </c>
      <c r="FI171" s="59">
        <f t="shared" si="131"/>
        <v>319.52416122646815</v>
      </c>
      <c r="FJ171" s="59">
        <f ca="1">AVERAGE(OFFSET($FI$3,0,0,'Données projet'!$E$16+1,1))-AVERAGE(OFFSET($H$3,0,0,'Données projet'!$E$16+1,1))</f>
        <v>441.20130048888439</v>
      </c>
      <c r="FK171" s="59">
        <f t="shared" si="156"/>
        <v>237.47732532183946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121.68185701542907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121.68185701542907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204.00000000000017</v>
      </c>
      <c r="GA171" s="17">
        <f>FZ171*VLOOKUP('Données projet'!$B$17,Paramètres!$A$1:$I$89,3,0)*VLOOKUP('Données projet'!$B$17,Paramètres!$A$1:$I$89,5,0)</f>
        <v>133.66080000000011</v>
      </c>
      <c r="GB171" s="13">
        <f t="shared" si="185"/>
        <v>34.840890682716783</v>
      </c>
      <c r="GC171" s="20">
        <f t="shared" si="186"/>
        <v>293.4737779390652</v>
      </c>
      <c r="GD171" s="59">
        <f t="shared" si="134"/>
        <v>581.96108613804972</v>
      </c>
      <c r="GE171" s="59">
        <f ca="1">AVERAGE(OFFSET($GD$3,0,0,'Données projet'!$E$17+1,1))-AVERAGE(OFFSET($H$3,0,0,'Données projet'!$E$17+1,1))</f>
        <v>257.66104339896992</v>
      </c>
      <c r="GF171" s="59">
        <f t="shared" si="158"/>
        <v>254.79488636184996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8.4095147402047576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8.4095147402047576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234.00000000000003</v>
      </c>
      <c r="GV171" s="17">
        <f>GU171*VLOOKUP('Données projet'!$B$18,Paramètres!$A$1:$I$89,3,0)*VLOOKUP('Données projet'!$B$18,Paramètres!$A$1:$I$89,5,0)</f>
        <v>189.82080000000005</v>
      </c>
      <c r="GW171" s="13">
        <f t="shared" si="188"/>
        <v>47.500332100049796</v>
      </c>
      <c r="GX171" s="20">
        <f t="shared" si="189"/>
        <v>413.33430507425345</v>
      </c>
      <c r="GY171" s="59">
        <f t="shared" si="137"/>
        <v>701.82161327323797</v>
      </c>
      <c r="GZ171" s="59">
        <f ca="1">AVERAGE(OFFSET($GY$3,0,0,'Données projet'!$E$18+1,1))-AVERAGE(OFFSET($H$3,0,0,'Données projet'!$E$18+1,1))</f>
        <v>299.98377156721153</v>
      </c>
      <c r="HA171" s="59">
        <f t="shared" si="160"/>
        <v>241.36164657721102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8.1020581392896673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8.1020581392896673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19.8100000000004</v>
      </c>
      <c r="O172" s="13">
        <f>N172*VLOOKUP('Données projet'!$B$9,Paramètres!$A$1:$I$89,3,0)*VLOOKUP('Données projet'!$B$9,Paramètres!$A$1:$I$89,5,0)</f>
        <v>17.924088000000364</v>
      </c>
      <c r="P172" s="13">
        <f t="shared" si="141"/>
        <v>5.9032212091029486</v>
      </c>
      <c r="Q172" s="20">
        <f t="shared" si="162"/>
        <v>41.499230205854936</v>
      </c>
      <c r="R172" s="59">
        <f t="shared" si="109"/>
        <v>330.07060610683135</v>
      </c>
      <c r="S172" s="59">
        <f ca="1">AVERAGE(OFFSET($R$3,0,0,'Données projet'!$E$9+1,1))-AVERAGE(OFFSET($H$3,0,0,'Données projet'!$E$9+1,1))</f>
        <v>567.42635821507474</v>
      </c>
      <c r="T172" s="59">
        <f t="shared" si="142"/>
        <v>299.04735309930152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130.55006605739109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130.55006605739109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474.99999999999994</v>
      </c>
      <c r="AJ172" s="13">
        <f>AI172*VLOOKUP('Données projet'!$B$10,Paramètres!$A$1:$I$89,3,0)*VLOOKUP('Données projet'!$B$10,Paramètres!$A$1:$I$89,5,0)</f>
        <v>407.55</v>
      </c>
      <c r="AK172" s="13">
        <f t="shared" si="164"/>
        <v>93.305642095357683</v>
      </c>
      <c r="AL172" s="20">
        <f t="shared" si="165"/>
        <v>872.32357664941446</v>
      </c>
      <c r="AM172" s="59">
        <f t="shared" si="113"/>
        <v>1160.8949525503908</v>
      </c>
      <c r="AN172" s="59">
        <f ca="1">AVERAGE(OFFSET($AM$3,0,0,'Données projet'!$E$10+1,1))-AVERAGE(OFFSET($H$3,0,0,'Données projet'!$E$10+1,1))</f>
        <v>569.97793593332699</v>
      </c>
      <c r="AO172" s="59">
        <f t="shared" si="144"/>
        <v>331.25104323342907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46.313336362328549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46.313336362328549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277.99999999999994</v>
      </c>
      <c r="BE172" s="13">
        <f>BD172*VLOOKUP('Données projet'!$B$11,Paramètres!$A$1:$I$89,3,0)*VLOOKUP('Données projet'!$B$11,Paramètres!$A$1:$I$89,5,0)</f>
        <v>151.78799999999998</v>
      </c>
      <c r="BF172" s="13">
        <f t="shared" si="167"/>
        <v>38.984634390835623</v>
      </c>
      <c r="BG172" s="20">
        <f t="shared" si="168"/>
        <v>332.26233823070532</v>
      </c>
      <c r="BH172" s="59">
        <f t="shared" si="116"/>
        <v>620.83371413168175</v>
      </c>
      <c r="BI172" s="59">
        <f ca="1">AVERAGE(OFFSET($BH$3,0,0,'Données projet'!$E$11+1,1))-AVERAGE(OFFSET($H$3,0,0,'Données projet'!$E$11+1,1))</f>
        <v>215.37314197175104</v>
      </c>
      <c r="BJ172" s="59">
        <f t="shared" si="146"/>
        <v>361.17630426655978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2.3400197849178768</v>
      </c>
      <c r="BQ172" s="21">
        <f>EXP(-LN(2)/25)*BQ171+(1-EXP(-LN(2)/25))/(LN(2)/25)*Calculateur!BL172*Calculateur!BN172*VLOOKUP('Données projet'!$B$11,Paramètres!$A$1:$I$89,3,0)*0.475*44/12</f>
        <v>2.0357855360431723</v>
      </c>
      <c r="BR172" s="21">
        <f>EXP(-LN(2)/2)*BR171+(1-EXP(-LN(2)/2))/(LN(2)/2)*BL172*BO172*VLOOKUP('Données projet'!$B$11,Paramètres!$A$1:$I$89,3,0)*0.475*44/12</f>
        <v>3.0373358557611422E-23</v>
      </c>
      <c r="BS172" s="22">
        <f t="shared" si="169"/>
        <v>4.3758053209610495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0.8600000000003547</v>
      </c>
      <c r="BZ172" s="13">
        <f>BY172*VLOOKUP('Données projet'!$B$12,Paramètres!$A$1:$I$89,3,0)*VLOOKUP('Données projet'!$B$12,Paramètres!$A$1:$I$89,5,0)</f>
        <v>0.48074000000019829</v>
      </c>
      <c r="CA172" s="13">
        <f t="shared" si="170"/>
        <v>0.24126147010950588</v>
      </c>
      <c r="CB172" s="20">
        <f t="shared" si="171"/>
        <v>1.2574858937744013</v>
      </c>
      <c r="CC172" s="59">
        <f t="shared" si="119"/>
        <v>289.82886179475082</v>
      </c>
      <c r="CD172" s="59">
        <f ca="1">AVERAGE(OFFSET($CC$3,0,0,'Données projet'!$E$12+1,1))-AVERAGE(OFFSET($H$3,0,0,'Données projet'!$E$12+1,1))</f>
        <v>420.4890915162182</v>
      </c>
      <c r="CE172" s="59">
        <f t="shared" si="148"/>
        <v>553.48432338023565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38.886585525732841</v>
      </c>
      <c r="CL172" s="21">
        <f>EXP(-LN(2)/25)*CL171+(1-EXP(-LN(2)/25))/(LN(2)/25)*Calculateur!CG172*Calculateur!CI172*VLOOKUP('Données projet'!$B$12,Paramètres!$A$1:$I$89,3,0)*0.475*44/12</f>
        <v>1.0719563408734645</v>
      </c>
      <c r="CM172" s="21">
        <f>EXP(-LN(2)/2)*CM171+(1-EXP(-LN(2)/2))/(LN(2)/2)*CG172*CJ172*VLOOKUP('Données projet'!$B$12,Paramètres!$A$1:$I$89,3,0)*0.475*44/12</f>
        <v>8.8634005943819451E-22</v>
      </c>
      <c r="CN172" s="22">
        <f t="shared" si="172"/>
        <v>39.958541866606303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367.99999999999972</v>
      </c>
      <c r="CU172" s="17">
        <f>CT172*VLOOKUP('Données projet'!$B$13,Paramètres!$A$1:$I$89,3,0)*VLOOKUP('Données projet'!$B$13,Paramètres!$A$1:$I$89,5,0)</f>
        <v>269.8175999999998</v>
      </c>
      <c r="CV172" s="13">
        <f t="shared" si="173"/>
        <v>64.810557882019467</v>
      </c>
      <c r="CW172" s="20">
        <f t="shared" si="174"/>
        <v>582.81070831118348</v>
      </c>
      <c r="CX172" s="59">
        <f t="shared" si="122"/>
        <v>871.38208421215995</v>
      </c>
      <c r="CY172" s="59">
        <f ca="1">AVERAGE(OFFSET($CX$3,0,0,'Données projet'!$E$13+1,1))-AVERAGE(OFFSET($H$3,0,0,'Données projet'!$E$13+1,1))</f>
        <v>400.48995908576177</v>
      </c>
      <c r="CZ172" s="59">
        <f t="shared" si="150"/>
        <v>384.86917865380076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7.9077896853184217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7.9077896853184217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367.99999999999972</v>
      </c>
      <c r="DP172" s="17">
        <f>DO172*VLOOKUP('Données projet'!$B$14,Paramètres!$A$1:$I$89,3,0)*VLOOKUP('Données projet'!$B$14,Paramètres!$A$1:$I$89,5,0)</f>
        <v>292.78079999999977</v>
      </c>
      <c r="DQ172" s="13">
        <f t="shared" si="176"/>
        <v>69.660903052386217</v>
      </c>
      <c r="DR172" s="20">
        <f t="shared" si="177"/>
        <v>631.25263281623893</v>
      </c>
      <c r="DS172" s="59">
        <f t="shared" si="125"/>
        <v>919.82400871721529</v>
      </c>
      <c r="DT172" s="59">
        <f ca="1">AVERAGE(OFFSET($DS$3,0,0,'Données projet'!$E$14+1,1))-AVERAGE(OFFSET($H$3,0,0,'Données projet'!$E$14+1,1))</f>
        <v>429.30603040255431</v>
      </c>
      <c r="DU172" s="59">
        <f t="shared" si="152"/>
        <v>412.18613903804726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10.576326333209151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10.576326333209151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210.25641025641013</v>
      </c>
      <c r="EK172" s="17">
        <f>EJ172*VLOOKUP('Données projet'!$B$15,Paramètres!$A$1:$I$89,3,0)*VLOOKUP('Données projet'!$B$15,Paramètres!$A$1:$I$89,5,0)</f>
        <v>163.99999999999991</v>
      </c>
      <c r="EL172" s="13">
        <f t="shared" si="179"/>
        <v>41.743425908362248</v>
      </c>
      <c r="EM172" s="20">
        <f t="shared" si="180"/>
        <v>358.33646679039742</v>
      </c>
      <c r="EN172" s="59">
        <f t="shared" si="128"/>
        <v>646.90784269137384</v>
      </c>
      <c r="EO172" s="59">
        <f ca="1">AVERAGE(OFFSET($EN$3,0,0,'Données projet'!$E$15+1,1))-AVERAGE(OFFSET($H$3,0,0,'Données projet'!$E$15+1,1))</f>
        <v>217.53602321474159</v>
      </c>
      <c r="EP172" s="59">
        <f t="shared" si="154"/>
        <v>215.75909414893025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4.4570711272699706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4.4570711272699706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19.8100000000004</v>
      </c>
      <c r="FF172" s="17">
        <f>FE172*VLOOKUP('Données projet'!$B$16,Paramètres!$A$1:$I$89,3,0)*VLOOKUP('Données projet'!$B$16,Paramètres!$A$1:$I$89,5,0)</f>
        <v>13.288548000000269</v>
      </c>
      <c r="FG172" s="13">
        <f t="shared" si="182"/>
        <v>4.531654695205642</v>
      </c>
      <c r="FH172" s="20">
        <f t="shared" si="183"/>
        <v>31.036853027483627</v>
      </c>
      <c r="FI172" s="59">
        <f t="shared" si="131"/>
        <v>319.60822892846005</v>
      </c>
      <c r="FJ172" s="59">
        <f ca="1">AVERAGE(OFFSET($FI$3,0,0,'Données projet'!$E$16+1,1))-AVERAGE(OFFSET($H$3,0,0,'Données projet'!$E$16+1,1))</f>
        <v>441.20130048888439</v>
      </c>
      <c r="FK172" s="59">
        <f t="shared" si="156"/>
        <v>237.47732532183946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119.29575001796081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119.29575001796081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204.00000000000017</v>
      </c>
      <c r="GA172" s="17">
        <f>FZ172*VLOOKUP('Données projet'!$B$17,Paramètres!$A$1:$I$89,3,0)*VLOOKUP('Données projet'!$B$17,Paramètres!$A$1:$I$89,5,0)</f>
        <v>133.66080000000011</v>
      </c>
      <c r="GB172" s="13">
        <f t="shared" si="185"/>
        <v>34.840890682716783</v>
      </c>
      <c r="GC172" s="20">
        <f t="shared" si="186"/>
        <v>293.4737779390652</v>
      </c>
      <c r="GD172" s="59">
        <f t="shared" si="134"/>
        <v>582.04515384004162</v>
      </c>
      <c r="GE172" s="59">
        <f ca="1">AVERAGE(OFFSET($GD$3,0,0,'Données projet'!$E$17+1,1))-AVERAGE(OFFSET($H$3,0,0,'Données projet'!$E$17+1,1))</f>
        <v>257.66104339896992</v>
      </c>
      <c r="GF172" s="59">
        <f t="shared" si="158"/>
        <v>254.79488636184996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8.2446092854468578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8.2446092854468578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234.00000000000003</v>
      </c>
      <c r="GV172" s="17">
        <f>GU172*VLOOKUP('Données projet'!$B$18,Paramètres!$A$1:$I$89,3,0)*VLOOKUP('Données projet'!$B$18,Paramètres!$A$1:$I$89,5,0)</f>
        <v>189.82080000000005</v>
      </c>
      <c r="GW172" s="13">
        <f t="shared" si="188"/>
        <v>47.500332100049796</v>
      </c>
      <c r="GX172" s="20">
        <f t="shared" si="189"/>
        <v>413.33430507425345</v>
      </c>
      <c r="GY172" s="59">
        <f t="shared" si="137"/>
        <v>701.90568097522987</v>
      </c>
      <c r="GZ172" s="59">
        <f ca="1">AVERAGE(OFFSET($GY$3,0,0,'Données projet'!$E$18+1,1))-AVERAGE(OFFSET($H$3,0,0,'Données projet'!$E$18+1,1))</f>
        <v>299.98377156721153</v>
      </c>
      <c r="HA172" s="59">
        <f t="shared" si="160"/>
        <v>241.36164657721102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7.9431817209457032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7.9431817209457032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19.8100000000004</v>
      </c>
      <c r="O173" s="13">
        <f>N173*VLOOKUP('Données projet'!$B$9,Paramètres!$A$1:$I$89,3,0)*VLOOKUP('Données projet'!$B$9,Paramètres!$A$1:$I$89,5,0)</f>
        <v>17.924088000000364</v>
      </c>
      <c r="P173" s="13">
        <f t="shared" si="141"/>
        <v>5.9032212091029486</v>
      </c>
      <c r="Q173" s="20">
        <f t="shared" si="162"/>
        <v>41.499230205854936</v>
      </c>
      <c r="R173" s="59">
        <f t="shared" si="109"/>
        <v>330.15321542214082</v>
      </c>
      <c r="S173" s="59">
        <f ca="1">AVERAGE(OFFSET($R$3,0,0,'Données projet'!$E$9+1,1))-AVERAGE(OFFSET($H$3,0,0,'Données projet'!$E$9+1,1))</f>
        <v>567.42635821507474</v>
      </c>
      <c r="T173" s="59">
        <f t="shared" si="142"/>
        <v>299.04735309930152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127.99005888968337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127.99005888968337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474.99999999999994</v>
      </c>
      <c r="AJ173" s="13">
        <f>AI173*VLOOKUP('Données projet'!$B$10,Paramètres!$A$1:$I$89,3,0)*VLOOKUP('Données projet'!$B$10,Paramètres!$A$1:$I$89,5,0)</f>
        <v>407.55</v>
      </c>
      <c r="AK173" s="13">
        <f t="shared" si="164"/>
        <v>93.305642095357683</v>
      </c>
      <c r="AL173" s="20">
        <f t="shared" si="165"/>
        <v>872.32357664941446</v>
      </c>
      <c r="AM173" s="59">
        <f t="shared" si="113"/>
        <v>1160.9775618657004</v>
      </c>
      <c r="AN173" s="59">
        <f ca="1">AVERAGE(OFFSET($AM$3,0,0,'Données projet'!$E$10+1,1))-AVERAGE(OFFSET($H$3,0,0,'Données projet'!$E$10+1,1))</f>
        <v>569.97793593332699</v>
      </c>
      <c r="AO173" s="59">
        <f t="shared" si="144"/>
        <v>331.25104323342907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45.405160084609172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45.405160084609172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277.99999999999994</v>
      </c>
      <c r="BE173" s="13">
        <f>BD173*VLOOKUP('Données projet'!$B$11,Paramètres!$A$1:$I$89,3,0)*VLOOKUP('Données projet'!$B$11,Paramètres!$A$1:$I$89,5,0)</f>
        <v>151.78799999999998</v>
      </c>
      <c r="BF173" s="13">
        <f t="shared" si="167"/>
        <v>38.984634390835623</v>
      </c>
      <c r="BG173" s="20">
        <f t="shared" si="168"/>
        <v>332.26233823070532</v>
      </c>
      <c r="BH173" s="59">
        <f t="shared" si="116"/>
        <v>620.91632344699121</v>
      </c>
      <c r="BI173" s="59">
        <f ca="1">AVERAGE(OFFSET($BH$3,0,0,'Données projet'!$E$11+1,1))-AVERAGE(OFFSET($H$3,0,0,'Données projet'!$E$11+1,1))</f>
        <v>215.37314197175104</v>
      </c>
      <c r="BJ173" s="59">
        <f t="shared" si="146"/>
        <v>361.17630426655978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2.2941334242067746</v>
      </c>
      <c r="BQ173" s="21">
        <f>EXP(-LN(2)/25)*BQ172+(1-EXP(-LN(2)/25))/(LN(2)/25)*Calculateur!BL173*Calculateur!BN173*VLOOKUP('Données projet'!$B$11,Paramètres!$A$1:$I$89,3,0)*0.475*44/12</f>
        <v>1.9801168735027632</v>
      </c>
      <c r="BR173" s="21">
        <f>EXP(-LN(2)/2)*BR172+(1-EXP(-LN(2)/2))/(LN(2)/2)*BL173*BO173*VLOOKUP('Données projet'!$B$11,Paramètres!$A$1:$I$89,3,0)*0.475*44/12</f>
        <v>2.1477207803497491E-23</v>
      </c>
      <c r="BS173" s="22">
        <f t="shared" si="169"/>
        <v>4.2742502977095373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0.8600000000003547</v>
      </c>
      <c r="BZ173" s="13">
        <f>BY173*VLOOKUP('Données projet'!$B$12,Paramètres!$A$1:$I$89,3,0)*VLOOKUP('Données projet'!$B$12,Paramètres!$A$1:$I$89,5,0)</f>
        <v>0.48074000000019829</v>
      </c>
      <c r="CA173" s="13">
        <f t="shared" si="170"/>
        <v>0.24126147010950588</v>
      </c>
      <c r="CB173" s="20">
        <f t="shared" si="171"/>
        <v>1.2574858937744013</v>
      </c>
      <c r="CC173" s="59">
        <f t="shared" si="119"/>
        <v>289.91147111006029</v>
      </c>
      <c r="CD173" s="59">
        <f ca="1">AVERAGE(OFFSET($CC$3,0,0,'Données projet'!$E$12+1,1))-AVERAGE(OFFSET($H$3,0,0,'Données projet'!$E$12+1,1))</f>
        <v>420.4890915162182</v>
      </c>
      <c r="CE173" s="59">
        <f t="shared" si="148"/>
        <v>553.48432338023565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38.124043302048385</v>
      </c>
      <c r="CL173" s="21">
        <f>EXP(-LN(2)/25)*CL172+(1-EXP(-LN(2)/25))/(LN(2)/25)*Calculateur!CG173*Calculateur!CI173*VLOOKUP('Données projet'!$B$12,Paramètres!$A$1:$I$89,3,0)*0.475*44/12</f>
        <v>1.0426436383605455</v>
      </c>
      <c r="CM173" s="21">
        <f>EXP(-LN(2)/2)*CM172+(1-EXP(-LN(2)/2))/(LN(2)/2)*CG173*CJ173*VLOOKUP('Données projet'!$B$12,Paramètres!$A$1:$I$89,3,0)*0.475*44/12</f>
        <v>6.2673706646603495E-22</v>
      </c>
      <c r="CN173" s="22">
        <f t="shared" si="172"/>
        <v>39.16668694040893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367.99999999999972</v>
      </c>
      <c r="CU173" s="17">
        <f>CT173*VLOOKUP('Données projet'!$B$13,Paramètres!$A$1:$I$89,3,0)*VLOOKUP('Données projet'!$B$13,Paramètres!$A$1:$I$89,5,0)</f>
        <v>269.8175999999998</v>
      </c>
      <c r="CV173" s="13">
        <f t="shared" si="173"/>
        <v>64.810557882019467</v>
      </c>
      <c r="CW173" s="20">
        <f t="shared" si="174"/>
        <v>582.81070831118348</v>
      </c>
      <c r="CX173" s="59">
        <f t="shared" si="122"/>
        <v>871.46469352746931</v>
      </c>
      <c r="CY173" s="59">
        <f ca="1">AVERAGE(OFFSET($CX$3,0,0,'Données projet'!$E$13+1,1))-AVERAGE(OFFSET($H$3,0,0,'Données projet'!$E$13+1,1))</f>
        <v>400.48995908576177</v>
      </c>
      <c r="CZ173" s="59">
        <f t="shared" si="150"/>
        <v>384.86917865380076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7.7527227528647771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7.7527227528647771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367.99999999999972</v>
      </c>
      <c r="DP173" s="17">
        <f>DO173*VLOOKUP('Données projet'!$B$14,Paramètres!$A$1:$I$89,3,0)*VLOOKUP('Données projet'!$B$14,Paramètres!$A$1:$I$89,5,0)</f>
        <v>292.78079999999977</v>
      </c>
      <c r="DQ173" s="13">
        <f t="shared" si="176"/>
        <v>69.660903052386217</v>
      </c>
      <c r="DR173" s="20">
        <f t="shared" si="177"/>
        <v>631.25263281623893</v>
      </c>
      <c r="DS173" s="59">
        <f t="shared" si="125"/>
        <v>919.90661803252488</v>
      </c>
      <c r="DT173" s="59">
        <f ca="1">AVERAGE(OFFSET($DS$3,0,0,'Données projet'!$E$14+1,1))-AVERAGE(OFFSET($H$3,0,0,'Données projet'!$E$14+1,1))</f>
        <v>429.30603040255431</v>
      </c>
      <c r="DU173" s="59">
        <f t="shared" si="152"/>
        <v>412.18613903804726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10.368931024737007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10.368931024737007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210.25641025641013</v>
      </c>
      <c r="EK173" s="17">
        <f>EJ173*VLOOKUP('Données projet'!$B$15,Paramètres!$A$1:$I$89,3,0)*VLOOKUP('Données projet'!$B$15,Paramètres!$A$1:$I$89,5,0)</f>
        <v>163.99999999999991</v>
      </c>
      <c r="EL173" s="13">
        <f t="shared" si="179"/>
        <v>41.743425908362248</v>
      </c>
      <c r="EM173" s="20">
        <f t="shared" si="180"/>
        <v>358.33646679039742</v>
      </c>
      <c r="EN173" s="59">
        <f t="shared" si="128"/>
        <v>646.99045200668331</v>
      </c>
      <c r="EO173" s="59">
        <f ca="1">AVERAGE(OFFSET($EN$3,0,0,'Données projet'!$E$15+1,1))-AVERAGE(OFFSET($H$3,0,0,'Données projet'!$E$15+1,1))</f>
        <v>217.53602321474159</v>
      </c>
      <c r="EP173" s="59">
        <f t="shared" si="154"/>
        <v>215.75909414893025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4.3696706810091603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4.3696706810091603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19.8100000000004</v>
      </c>
      <c r="FF173" s="17">
        <f>FE173*VLOOKUP('Données projet'!$B$16,Paramètres!$A$1:$I$89,3,0)*VLOOKUP('Données projet'!$B$16,Paramètres!$A$1:$I$89,5,0)</f>
        <v>13.288548000000269</v>
      </c>
      <c r="FG173" s="13">
        <f t="shared" si="182"/>
        <v>4.531654695205642</v>
      </c>
      <c r="FH173" s="20">
        <f t="shared" si="183"/>
        <v>31.036853027483627</v>
      </c>
      <c r="FI173" s="59">
        <f t="shared" si="131"/>
        <v>319.69083824376952</v>
      </c>
      <c r="FJ173" s="59">
        <f ca="1">AVERAGE(OFFSET($FI$3,0,0,'Données projet'!$E$16+1,1))-AVERAGE(OFFSET($H$3,0,0,'Données projet'!$E$16+1,1))</f>
        <v>441.20130048888439</v>
      </c>
      <c r="FK173" s="59">
        <f t="shared" si="156"/>
        <v>237.47732532183946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116.95643312333134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116.95643312333134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204.00000000000017</v>
      </c>
      <c r="GA173" s="17">
        <f>FZ173*VLOOKUP('Données projet'!$B$17,Paramètres!$A$1:$I$89,3,0)*VLOOKUP('Données projet'!$B$17,Paramètres!$A$1:$I$89,5,0)</f>
        <v>133.66080000000011</v>
      </c>
      <c r="GB173" s="13">
        <f t="shared" si="185"/>
        <v>34.840890682716783</v>
      </c>
      <c r="GC173" s="20">
        <f t="shared" si="186"/>
        <v>293.4737779390652</v>
      </c>
      <c r="GD173" s="59">
        <f t="shared" si="134"/>
        <v>582.12776315535109</v>
      </c>
      <c r="GE173" s="59">
        <f ca="1">AVERAGE(OFFSET($GD$3,0,0,'Données projet'!$E$17+1,1))-AVERAGE(OFFSET($H$3,0,0,'Données projet'!$E$17+1,1))</f>
        <v>257.66104339896992</v>
      </c>
      <c r="GF173" s="59">
        <f t="shared" si="158"/>
        <v>254.79488636184996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8.0829375260743639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8.0829375260743639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234.00000000000003</v>
      </c>
      <c r="GV173" s="17">
        <f>GU173*VLOOKUP('Données projet'!$B$18,Paramètres!$A$1:$I$89,3,0)*VLOOKUP('Données projet'!$B$18,Paramètres!$A$1:$I$89,5,0)</f>
        <v>189.82080000000005</v>
      </c>
      <c r="GW173" s="13">
        <f t="shared" si="188"/>
        <v>47.500332100049796</v>
      </c>
      <c r="GX173" s="20">
        <f t="shared" si="189"/>
        <v>413.33430507425345</v>
      </c>
      <c r="GY173" s="59">
        <f t="shared" si="137"/>
        <v>701.98829029053934</v>
      </c>
      <c r="GZ173" s="59">
        <f ca="1">AVERAGE(OFFSET($GY$3,0,0,'Données projet'!$E$18+1,1))-AVERAGE(OFFSET($H$3,0,0,'Données projet'!$E$18+1,1))</f>
        <v>299.98377156721153</v>
      </c>
      <c r="HA173" s="59">
        <f t="shared" si="160"/>
        <v>241.36164657721102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7.7874207722604174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7.7874207722604174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19.8100000000004</v>
      </c>
      <c r="O174" s="13">
        <f>N174*VLOOKUP('Données projet'!$B$9,Paramètres!$A$1:$I$89,3,0)*VLOOKUP('Données projet'!$B$9,Paramètres!$A$1:$I$89,5,0)</f>
        <v>17.924088000000364</v>
      </c>
      <c r="P174" s="13">
        <f t="shared" si="141"/>
        <v>5.9032212091029486</v>
      </c>
      <c r="Q174" s="20">
        <f t="shared" si="162"/>
        <v>41.499230205854936</v>
      </c>
      <c r="R174" s="59">
        <f t="shared" si="109"/>
        <v>330.23439165051644</v>
      </c>
      <c r="S174" s="59">
        <f ca="1">AVERAGE(OFFSET($R$3,0,0,'Données projet'!$E$9+1,1))-AVERAGE(OFFSET($H$3,0,0,'Données projet'!$E$9+1,1))</f>
        <v>567.42635821507474</v>
      </c>
      <c r="T174" s="59">
        <f t="shared" si="142"/>
        <v>299.04735309930152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125.4802519010842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125.4802519010842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474.99999999999994</v>
      </c>
      <c r="AJ174" s="13">
        <f>AI174*VLOOKUP('Données projet'!$B$10,Paramètres!$A$1:$I$89,3,0)*VLOOKUP('Données projet'!$B$10,Paramètres!$A$1:$I$89,5,0)</f>
        <v>407.55</v>
      </c>
      <c r="AK174" s="13">
        <f t="shared" si="164"/>
        <v>93.305642095357683</v>
      </c>
      <c r="AL174" s="20">
        <f t="shared" si="165"/>
        <v>872.32357664941446</v>
      </c>
      <c r="AM174" s="59">
        <f t="shared" si="113"/>
        <v>1161.058738094076</v>
      </c>
      <c r="AN174" s="59">
        <f ca="1">AVERAGE(OFFSET($AM$3,0,0,'Données projet'!$E$10+1,1))-AVERAGE(OFFSET($H$3,0,0,'Données projet'!$E$10+1,1))</f>
        <v>569.97793593332699</v>
      </c>
      <c r="AO174" s="59">
        <f t="shared" si="144"/>
        <v>331.25104323342907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44.51479258976304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44.51479258976304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277.99999999999994</v>
      </c>
      <c r="BE174" s="13">
        <f>BD174*VLOOKUP('Données projet'!$B$11,Paramètres!$A$1:$I$89,3,0)*VLOOKUP('Données projet'!$B$11,Paramètres!$A$1:$I$89,5,0)</f>
        <v>151.78799999999998</v>
      </c>
      <c r="BF174" s="13">
        <f t="shared" si="167"/>
        <v>38.984634390835623</v>
      </c>
      <c r="BG174" s="20">
        <f t="shared" si="168"/>
        <v>332.26233823070532</v>
      </c>
      <c r="BH174" s="59">
        <f t="shared" si="116"/>
        <v>620.99749967536684</v>
      </c>
      <c r="BI174" s="59">
        <f ca="1">AVERAGE(OFFSET($BH$3,0,0,'Données projet'!$E$11+1,1))-AVERAGE(OFFSET($H$3,0,0,'Données projet'!$E$11+1,1))</f>
        <v>215.37314197175104</v>
      </c>
      <c r="BJ174" s="59">
        <f t="shared" si="146"/>
        <v>361.17630426655978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2.2491468670413006</v>
      </c>
      <c r="BQ174" s="21">
        <f>EXP(-LN(2)/25)*BQ173+(1-EXP(-LN(2)/25))/(LN(2)/25)*Calculateur!BL174*Calculateur!BN174*VLOOKUP('Données projet'!$B$11,Paramètres!$A$1:$I$89,3,0)*0.475*44/12</f>
        <v>1.9259704734670093</v>
      </c>
      <c r="BR174" s="21">
        <f>EXP(-LN(2)/2)*BR173+(1-EXP(-LN(2)/2))/(LN(2)/2)*BL174*BO174*VLOOKUP('Données projet'!$B$11,Paramètres!$A$1:$I$89,3,0)*0.475*44/12</f>
        <v>1.5186679278805711E-23</v>
      </c>
      <c r="BS174" s="22">
        <f t="shared" si="169"/>
        <v>4.1751173405083097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0.8600000000003547</v>
      </c>
      <c r="BZ174" s="13">
        <f>BY174*VLOOKUP('Données projet'!$B$12,Paramètres!$A$1:$I$89,3,0)*VLOOKUP('Données projet'!$B$12,Paramètres!$A$1:$I$89,5,0)</f>
        <v>0.48074000000019829</v>
      </c>
      <c r="CA174" s="13">
        <f t="shared" si="170"/>
        <v>0.24126147010950588</v>
      </c>
      <c r="CB174" s="20">
        <f t="shared" si="171"/>
        <v>1.2574858937744013</v>
      </c>
      <c r="CC174" s="59">
        <f t="shared" si="119"/>
        <v>289.99264733843592</v>
      </c>
      <c r="CD174" s="59">
        <f ca="1">AVERAGE(OFFSET($CC$3,0,0,'Données projet'!$E$12+1,1))-AVERAGE(OFFSET($H$3,0,0,'Données projet'!$E$12+1,1))</f>
        <v>420.4890915162182</v>
      </c>
      <c r="CE174" s="59">
        <f t="shared" si="148"/>
        <v>553.48432338023565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37.376454066265552</v>
      </c>
      <c r="CL174" s="21">
        <f>EXP(-LN(2)/25)*CL173+(1-EXP(-LN(2)/25))/(LN(2)/25)*Calculateur!CG174*Calculateur!CI174*VLOOKUP('Données projet'!$B$12,Paramètres!$A$1:$I$89,3,0)*0.475*44/12</f>
        <v>1.0141324932393305</v>
      </c>
      <c r="CM174" s="21">
        <f>EXP(-LN(2)/2)*CM173+(1-EXP(-LN(2)/2))/(LN(2)/2)*CG174*CJ174*VLOOKUP('Données projet'!$B$12,Paramètres!$A$1:$I$89,3,0)*0.475*44/12</f>
        <v>4.4317002971909726E-22</v>
      </c>
      <c r="CN174" s="22">
        <f t="shared" si="172"/>
        <v>38.390586559504882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367.99999999999972</v>
      </c>
      <c r="CU174" s="17">
        <f>CT174*VLOOKUP('Données projet'!$B$13,Paramètres!$A$1:$I$89,3,0)*VLOOKUP('Données projet'!$B$13,Paramètres!$A$1:$I$89,5,0)</f>
        <v>269.8175999999998</v>
      </c>
      <c r="CV174" s="13">
        <f t="shared" si="173"/>
        <v>64.810557882019467</v>
      </c>
      <c r="CW174" s="20">
        <f t="shared" si="174"/>
        <v>582.81070831118348</v>
      </c>
      <c r="CX174" s="59">
        <f t="shared" si="122"/>
        <v>871.54586975584493</v>
      </c>
      <c r="CY174" s="59">
        <f ca="1">AVERAGE(OFFSET($CX$3,0,0,'Données projet'!$E$13+1,1))-AVERAGE(OFFSET($H$3,0,0,'Données projet'!$E$13+1,1))</f>
        <v>400.48995908576177</v>
      </c>
      <c r="CZ174" s="59">
        <f t="shared" si="150"/>
        <v>384.86917865380076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7.6006965883750581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7.6006965883750581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367.99999999999972</v>
      </c>
      <c r="DP174" s="17">
        <f>DO174*VLOOKUP('Données projet'!$B$14,Paramètres!$A$1:$I$89,3,0)*VLOOKUP('Données projet'!$B$14,Paramètres!$A$1:$I$89,5,0)</f>
        <v>292.78079999999977</v>
      </c>
      <c r="DQ174" s="13">
        <f t="shared" si="176"/>
        <v>69.660903052386217</v>
      </c>
      <c r="DR174" s="20">
        <f t="shared" si="177"/>
        <v>631.25263281623893</v>
      </c>
      <c r="DS174" s="59">
        <f t="shared" si="125"/>
        <v>919.9877942609005</v>
      </c>
      <c r="DT174" s="59">
        <f ca="1">AVERAGE(OFFSET($DS$3,0,0,'Données projet'!$E$14+1,1))-AVERAGE(OFFSET($H$3,0,0,'Données projet'!$E$14+1,1))</f>
        <v>429.30603040255431</v>
      </c>
      <c r="DU174" s="59">
        <f t="shared" si="152"/>
        <v>412.18613903804726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10.165602611765355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10.165602611765355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210.25641025641013</v>
      </c>
      <c r="EK174" s="17">
        <f>EJ174*VLOOKUP('Données projet'!$B$15,Paramètres!$A$1:$I$89,3,0)*VLOOKUP('Données projet'!$B$15,Paramètres!$A$1:$I$89,5,0)</f>
        <v>163.99999999999991</v>
      </c>
      <c r="EL174" s="13">
        <f t="shared" si="179"/>
        <v>41.743425908362248</v>
      </c>
      <c r="EM174" s="20">
        <f t="shared" si="180"/>
        <v>358.33646679039742</v>
      </c>
      <c r="EN174" s="59">
        <f t="shared" si="128"/>
        <v>647.07162823505894</v>
      </c>
      <c r="EO174" s="59">
        <f ca="1">AVERAGE(OFFSET($EN$3,0,0,'Données projet'!$E$15+1,1))-AVERAGE(OFFSET($H$3,0,0,'Données projet'!$E$15+1,1))</f>
        <v>217.53602321474159</v>
      </c>
      <c r="EP174" s="59">
        <f t="shared" si="154"/>
        <v>215.75909414893025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4.283984104190516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4.283984104190516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19.8100000000004</v>
      </c>
      <c r="FF174" s="17">
        <f>FE174*VLOOKUP('Données projet'!$B$16,Paramètres!$A$1:$I$89,3,0)*VLOOKUP('Données projet'!$B$16,Paramètres!$A$1:$I$89,5,0)</f>
        <v>13.288548000000269</v>
      </c>
      <c r="FG174" s="13">
        <f t="shared" si="182"/>
        <v>4.531654695205642</v>
      </c>
      <c r="FH174" s="20">
        <f t="shared" si="183"/>
        <v>31.036853027483627</v>
      </c>
      <c r="FI174" s="59">
        <f t="shared" si="131"/>
        <v>319.77201447214514</v>
      </c>
      <c r="FJ174" s="59">
        <f ca="1">AVERAGE(OFFSET($FI$3,0,0,'Données projet'!$E$16+1,1))-AVERAGE(OFFSET($H$3,0,0,'Données projet'!$E$16+1,1))</f>
        <v>441.20130048888439</v>
      </c>
      <c r="FK174" s="59">
        <f t="shared" si="156"/>
        <v>237.47732532183946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114.66298880616313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114.66298880616313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204.00000000000017</v>
      </c>
      <c r="GA174" s="17">
        <f>FZ174*VLOOKUP('Données projet'!$B$17,Paramètres!$A$1:$I$89,3,0)*VLOOKUP('Données projet'!$B$17,Paramètres!$A$1:$I$89,5,0)</f>
        <v>133.66080000000011</v>
      </c>
      <c r="GB174" s="13">
        <f t="shared" si="185"/>
        <v>34.840890682716783</v>
      </c>
      <c r="GC174" s="20">
        <f t="shared" si="186"/>
        <v>293.4737779390652</v>
      </c>
      <c r="GD174" s="59">
        <f t="shared" si="134"/>
        <v>582.20893938372672</v>
      </c>
      <c r="GE174" s="59">
        <f ca="1">AVERAGE(OFFSET($GD$3,0,0,'Données projet'!$E$17+1,1))-AVERAGE(OFFSET($H$3,0,0,'Données projet'!$E$17+1,1))</f>
        <v>257.66104339896992</v>
      </c>
      <c r="GF174" s="59">
        <f t="shared" si="158"/>
        <v>254.79488636184996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7.9244360512931289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7.9244360512931289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234.00000000000003</v>
      </c>
      <c r="GV174" s="17">
        <f>GU174*VLOOKUP('Données projet'!$B$18,Paramètres!$A$1:$I$89,3,0)*VLOOKUP('Données projet'!$B$18,Paramètres!$A$1:$I$89,5,0)</f>
        <v>189.82080000000005</v>
      </c>
      <c r="GW174" s="13">
        <f t="shared" si="188"/>
        <v>47.500332100049796</v>
      </c>
      <c r="GX174" s="20">
        <f t="shared" si="189"/>
        <v>413.33430507425345</v>
      </c>
      <c r="GY174" s="59">
        <f t="shared" si="137"/>
        <v>702.06946651891496</v>
      </c>
      <c r="GZ174" s="59">
        <f ca="1">AVERAGE(OFFSET($GY$3,0,0,'Données projet'!$E$18+1,1))-AVERAGE(OFFSET($H$3,0,0,'Données projet'!$E$18+1,1))</f>
        <v>299.98377156721153</v>
      </c>
      <c r="HA174" s="59">
        <f t="shared" si="160"/>
        <v>241.36164657721102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7.6347142007740523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7.6347142007740523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19.8100000000004</v>
      </c>
      <c r="O175" s="13">
        <f>N175*VLOOKUP('Données projet'!$B$9,Paramètres!$A$1:$I$89,3,0)*VLOOKUP('Données projet'!$B$9,Paramètres!$A$1:$I$89,5,0)</f>
        <v>17.924088000000364</v>
      </c>
      <c r="P175" s="13">
        <f t="shared" si="141"/>
        <v>5.9032212091029486</v>
      </c>
      <c r="Q175" s="20">
        <f t="shared" si="162"/>
        <v>41.499230205854936</v>
      </c>
      <c r="R175" s="59">
        <f t="shared" si="109"/>
        <v>330.31415965281258</v>
      </c>
      <c r="S175" s="59">
        <f ca="1">AVERAGE(OFFSET($R$3,0,0,'Données projet'!$E$9+1,1))-AVERAGE(OFFSET($H$3,0,0,'Données projet'!$E$9+1,1))</f>
        <v>567.42635821507474</v>
      </c>
      <c r="T175" s="59">
        <f t="shared" si="142"/>
        <v>299.04735309930152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123.01966069670036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123.01966069670036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474.99999999999994</v>
      </c>
      <c r="AJ175" s="13">
        <f>AI175*VLOOKUP('Données projet'!$B$10,Paramètres!$A$1:$I$89,3,0)*VLOOKUP('Données projet'!$B$10,Paramètres!$A$1:$I$89,5,0)</f>
        <v>407.55</v>
      </c>
      <c r="AK175" s="13">
        <f t="shared" si="164"/>
        <v>93.305642095357683</v>
      </c>
      <c r="AL175" s="20">
        <f t="shared" si="165"/>
        <v>872.32357664941446</v>
      </c>
      <c r="AM175" s="59">
        <f t="shared" si="113"/>
        <v>1161.1385060963721</v>
      </c>
      <c r="AN175" s="59">
        <f ca="1">AVERAGE(OFFSET($AM$3,0,0,'Données projet'!$E$10+1,1))-AVERAGE(OFFSET($H$3,0,0,'Données projet'!$E$10+1,1))</f>
        <v>569.97793593332699</v>
      </c>
      <c r="AO175" s="59">
        <f t="shared" si="144"/>
        <v>331.25104323342907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43.641884658420295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43.641884658420295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277.99999999999994</v>
      </c>
      <c r="BE175" s="13">
        <f>BD175*VLOOKUP('Données projet'!$B$11,Paramètres!$A$1:$I$89,3,0)*VLOOKUP('Données projet'!$B$11,Paramètres!$A$1:$I$89,5,0)</f>
        <v>151.78799999999998</v>
      </c>
      <c r="BF175" s="13">
        <f t="shared" si="167"/>
        <v>38.984634390835623</v>
      </c>
      <c r="BG175" s="20">
        <f t="shared" si="168"/>
        <v>332.26233823070532</v>
      </c>
      <c r="BH175" s="59">
        <f t="shared" si="116"/>
        <v>621.07726767766303</v>
      </c>
      <c r="BI175" s="59">
        <f ca="1">AVERAGE(OFFSET($BH$3,0,0,'Données projet'!$E$11+1,1))-AVERAGE(OFFSET($H$3,0,0,'Données projet'!$E$11+1,1))</f>
        <v>215.37314197175104</v>
      </c>
      <c r="BJ175" s="59">
        <f t="shared" si="146"/>
        <v>361.17630426655978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2.2050424688227515</v>
      </c>
      <c r="BQ175" s="21">
        <f>EXP(-LN(2)/25)*BQ174+(1-EXP(-LN(2)/25))/(LN(2)/25)*Calculateur!BL175*Calculateur!BN175*VLOOKUP('Données projet'!$B$11,Paramètres!$A$1:$I$89,3,0)*0.475*44/12</f>
        <v>1.8733047095876687</v>
      </c>
      <c r="BR175" s="21">
        <f>EXP(-LN(2)/2)*BR174+(1-EXP(-LN(2)/2))/(LN(2)/2)*BL175*BO175*VLOOKUP('Données projet'!$B$11,Paramètres!$A$1:$I$89,3,0)*0.475*44/12</f>
        <v>1.0738603901748745E-23</v>
      </c>
      <c r="BS175" s="22">
        <f t="shared" si="169"/>
        <v>4.0783471784104197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0.8600000000003547</v>
      </c>
      <c r="BZ175" s="13">
        <f>BY175*VLOOKUP('Données projet'!$B$12,Paramètres!$A$1:$I$89,3,0)*VLOOKUP('Données projet'!$B$12,Paramètres!$A$1:$I$89,5,0)</f>
        <v>0.48074000000019829</v>
      </c>
      <c r="CA175" s="13">
        <f t="shared" si="170"/>
        <v>0.24126147010950588</v>
      </c>
      <c r="CB175" s="20">
        <f t="shared" si="171"/>
        <v>1.2574858937744013</v>
      </c>
      <c r="CC175" s="59">
        <f t="shared" si="119"/>
        <v>290.07241534073205</v>
      </c>
      <c r="CD175" s="59">
        <f ca="1">AVERAGE(OFFSET($CC$3,0,0,'Données projet'!$E$12+1,1))-AVERAGE(OFFSET($H$3,0,0,'Données projet'!$E$12+1,1))</f>
        <v>420.4890915162182</v>
      </c>
      <c r="CE175" s="59">
        <f t="shared" si="148"/>
        <v>553.48432338023565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36.643524599412011</v>
      </c>
      <c r="CL175" s="21">
        <f>EXP(-LN(2)/25)*CL174+(1-EXP(-LN(2)/25))/(LN(2)/25)*Calculateur!CG175*Calculateur!CI175*VLOOKUP('Données projet'!$B$12,Paramètres!$A$1:$I$89,3,0)*0.475*44/12</f>
        <v>0.98640098688079103</v>
      </c>
      <c r="CM175" s="21">
        <f>EXP(-LN(2)/2)*CM174+(1-EXP(-LN(2)/2))/(LN(2)/2)*CG175*CJ175*VLOOKUP('Données projet'!$B$12,Paramètres!$A$1:$I$89,3,0)*0.475*44/12</f>
        <v>3.1336853323301748E-22</v>
      </c>
      <c r="CN175" s="22">
        <f t="shared" si="172"/>
        <v>37.629925586292799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367.99999999999972</v>
      </c>
      <c r="CU175" s="17">
        <f>CT175*VLOOKUP('Données projet'!$B$13,Paramètres!$A$1:$I$89,3,0)*VLOOKUP('Données projet'!$B$13,Paramètres!$A$1:$I$89,5,0)</f>
        <v>269.8175999999998</v>
      </c>
      <c r="CV175" s="13">
        <f t="shared" si="173"/>
        <v>64.810557882019467</v>
      </c>
      <c r="CW175" s="20">
        <f t="shared" si="174"/>
        <v>582.81070831118348</v>
      </c>
      <c r="CX175" s="59">
        <f t="shared" si="122"/>
        <v>871.62563775814112</v>
      </c>
      <c r="CY175" s="59">
        <f ca="1">AVERAGE(OFFSET($CX$3,0,0,'Données projet'!$E$13+1,1))-AVERAGE(OFFSET($H$3,0,0,'Données projet'!$E$13+1,1))</f>
        <v>400.48995908576177</v>
      </c>
      <c r="CZ175" s="59">
        <f t="shared" si="150"/>
        <v>384.86917865380076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7.4516515642441785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7.4516515642441785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367.99999999999972</v>
      </c>
      <c r="DP175" s="17">
        <f>DO175*VLOOKUP('Données projet'!$B$14,Paramètres!$A$1:$I$89,3,0)*VLOOKUP('Données projet'!$B$14,Paramètres!$A$1:$I$89,5,0)</f>
        <v>292.78079999999977</v>
      </c>
      <c r="DQ175" s="13">
        <f t="shared" si="176"/>
        <v>69.660903052386217</v>
      </c>
      <c r="DR175" s="20">
        <f t="shared" si="177"/>
        <v>631.25263281623893</v>
      </c>
      <c r="DS175" s="59">
        <f t="shared" si="125"/>
        <v>920.06756226319658</v>
      </c>
      <c r="DT175" s="59">
        <f ca="1">AVERAGE(OFFSET($DS$3,0,0,'Données projet'!$E$14+1,1))-AVERAGE(OFFSET($H$3,0,0,'Données projet'!$E$14+1,1))</f>
        <v>429.30603040255431</v>
      </c>
      <c r="DU175" s="59">
        <f t="shared" si="152"/>
        <v>412.18613903804726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9.9662613449539901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9.9662613449539901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210.25641025641013</v>
      </c>
      <c r="EK175" s="17">
        <f>EJ175*VLOOKUP('Données projet'!$B$15,Paramètres!$A$1:$I$89,3,0)*VLOOKUP('Données projet'!$B$15,Paramètres!$A$1:$I$89,5,0)</f>
        <v>163.99999999999991</v>
      </c>
      <c r="EL175" s="13">
        <f t="shared" si="179"/>
        <v>41.743425908362248</v>
      </c>
      <c r="EM175" s="20">
        <f t="shared" si="180"/>
        <v>358.33646679039742</v>
      </c>
      <c r="EN175" s="59">
        <f t="shared" si="128"/>
        <v>647.15139623735513</v>
      </c>
      <c r="EO175" s="59">
        <f ca="1">AVERAGE(OFFSET($EN$3,0,0,'Données projet'!$E$15+1,1))-AVERAGE(OFFSET($H$3,0,0,'Données projet'!$E$15+1,1))</f>
        <v>217.53602321474159</v>
      </c>
      <c r="EP175" s="59">
        <f t="shared" si="154"/>
        <v>215.75909414893025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4.1999777888796341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4.1999777888796341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19.8100000000004</v>
      </c>
      <c r="FF175" s="17">
        <f>FE175*VLOOKUP('Données projet'!$B$16,Paramètres!$A$1:$I$89,3,0)*VLOOKUP('Données projet'!$B$16,Paramètres!$A$1:$I$89,5,0)</f>
        <v>13.288548000000269</v>
      </c>
      <c r="FG175" s="13">
        <f t="shared" si="182"/>
        <v>4.531654695205642</v>
      </c>
      <c r="FH175" s="20">
        <f t="shared" si="183"/>
        <v>31.036853027483627</v>
      </c>
      <c r="FI175" s="59">
        <f t="shared" si="131"/>
        <v>319.85178247444128</v>
      </c>
      <c r="FJ175" s="59">
        <f ca="1">AVERAGE(OFFSET($FI$3,0,0,'Données projet'!$E$16+1,1))-AVERAGE(OFFSET($H$3,0,0,'Données projet'!$E$16+1,1))</f>
        <v>441.20130048888439</v>
      </c>
      <c r="FK175" s="59">
        <f t="shared" si="156"/>
        <v>237.47732532183946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112.41451753319168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112.41451753319168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204.00000000000017</v>
      </c>
      <c r="GA175" s="17">
        <f>FZ175*VLOOKUP('Données projet'!$B$17,Paramètres!$A$1:$I$89,3,0)*VLOOKUP('Données projet'!$B$17,Paramètres!$A$1:$I$89,5,0)</f>
        <v>133.66080000000011</v>
      </c>
      <c r="GB175" s="13">
        <f t="shared" si="185"/>
        <v>34.840890682716783</v>
      </c>
      <c r="GC175" s="20">
        <f t="shared" si="186"/>
        <v>293.4737779390652</v>
      </c>
      <c r="GD175" s="59">
        <f t="shared" si="134"/>
        <v>582.28870738602291</v>
      </c>
      <c r="GE175" s="59">
        <f ca="1">AVERAGE(OFFSET($GD$3,0,0,'Données projet'!$E$17+1,1))-AVERAGE(OFFSET($H$3,0,0,'Données projet'!$E$17+1,1))</f>
        <v>257.66104339896992</v>
      </c>
      <c r="GF175" s="59">
        <f t="shared" si="158"/>
        <v>254.79488636184996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7.7690426937560009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7.7690426937560009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234.00000000000003</v>
      </c>
      <c r="GV175" s="17">
        <f>GU175*VLOOKUP('Données projet'!$B$18,Paramètres!$A$1:$I$89,3,0)*VLOOKUP('Données projet'!$B$18,Paramètres!$A$1:$I$89,5,0)</f>
        <v>189.82080000000005</v>
      </c>
      <c r="GW175" s="13">
        <f t="shared" si="188"/>
        <v>47.500332100049796</v>
      </c>
      <c r="GX175" s="20">
        <f t="shared" si="189"/>
        <v>413.33430507425345</v>
      </c>
      <c r="GY175" s="59">
        <f t="shared" si="137"/>
        <v>702.14923452121116</v>
      </c>
      <c r="GZ175" s="59">
        <f ca="1">AVERAGE(OFFSET($GY$3,0,0,'Données projet'!$E$18+1,1))-AVERAGE(OFFSET($H$3,0,0,'Données projet'!$E$18+1,1))</f>
        <v>299.98377156721153</v>
      </c>
      <c r="HA175" s="59">
        <f t="shared" si="160"/>
        <v>241.36164657721102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7.4850021120127233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7.4850021120127233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19.8100000000004</v>
      </c>
      <c r="O176" s="13">
        <f>N176*VLOOKUP('Données projet'!$B$9,Paramètres!$A$1:$I$89,3,0)*VLOOKUP('Données projet'!$B$9,Paramètres!$A$1:$I$89,5,0)</f>
        <v>17.924088000000364</v>
      </c>
      <c r="P176" s="13">
        <f t="shared" si="141"/>
        <v>5.9032212091029486</v>
      </c>
      <c r="Q176" s="20">
        <f t="shared" si="162"/>
        <v>41.499230205854936</v>
      </c>
      <c r="R176" s="59">
        <f t="shared" si="109"/>
        <v>330.3925438586034</v>
      </c>
      <c r="S176" s="59">
        <f ca="1">AVERAGE(OFFSET($R$3,0,0,'Données projet'!$E$9+1,1))-AVERAGE(OFFSET($H$3,0,0,'Données projet'!$E$9+1,1))</f>
        <v>567.42635821507474</v>
      </c>
      <c r="T176" s="59">
        <f t="shared" si="142"/>
        <v>299.04735309930152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120.60732018502203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120.60732018502203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474.99999999999994</v>
      </c>
      <c r="AJ176" s="13">
        <f>AI176*VLOOKUP('Données projet'!$B$10,Paramètres!$A$1:$I$89,3,0)*VLOOKUP('Données projet'!$B$10,Paramètres!$A$1:$I$89,5,0)</f>
        <v>407.55</v>
      </c>
      <c r="AK176" s="13">
        <f t="shared" si="164"/>
        <v>93.305642095357683</v>
      </c>
      <c r="AL176" s="20">
        <f t="shared" si="165"/>
        <v>872.32357664941446</v>
      </c>
      <c r="AM176" s="59">
        <f t="shared" si="113"/>
        <v>1161.2168903021629</v>
      </c>
      <c r="AN176" s="59">
        <f ca="1">AVERAGE(OFFSET($AM$3,0,0,'Données projet'!$E$10+1,1))-AVERAGE(OFFSET($H$3,0,0,'Données projet'!$E$10+1,1))</f>
        <v>569.97793593332699</v>
      </c>
      <c r="AO176" s="59">
        <f t="shared" si="144"/>
        <v>331.25104323342907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42.786093919189916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42.786093919189916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277.99999999999994</v>
      </c>
      <c r="BE176" s="13">
        <f>BD176*VLOOKUP('Données projet'!$B$11,Paramètres!$A$1:$I$89,3,0)*VLOOKUP('Données projet'!$B$11,Paramètres!$A$1:$I$89,5,0)</f>
        <v>151.78799999999998</v>
      </c>
      <c r="BF176" s="13">
        <f t="shared" si="167"/>
        <v>38.984634390835623</v>
      </c>
      <c r="BG176" s="20">
        <f t="shared" si="168"/>
        <v>332.26233823070532</v>
      </c>
      <c r="BH176" s="59">
        <f t="shared" si="116"/>
        <v>621.15565188345386</v>
      </c>
      <c r="BI176" s="59">
        <f ca="1">AVERAGE(OFFSET($BH$3,0,0,'Données projet'!$E$11+1,1))-AVERAGE(OFFSET($H$3,0,0,'Données projet'!$E$11+1,1))</f>
        <v>215.37314197175104</v>
      </c>
      <c r="BJ176" s="59">
        <f t="shared" si="146"/>
        <v>361.17630426655978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2.1618029309522413</v>
      </c>
      <c r="BQ176" s="21">
        <f>EXP(-LN(2)/25)*BQ175+(1-EXP(-LN(2)/25))/(LN(2)/25)*Calculateur!BL176*Calculateur!BN176*VLOOKUP('Données projet'!$B$11,Paramètres!$A$1:$I$89,3,0)*0.475*44/12</f>
        <v>1.8220790937911808</v>
      </c>
      <c r="BR176" s="21">
        <f>EXP(-LN(2)/2)*BR175+(1-EXP(-LN(2)/2))/(LN(2)/2)*BL176*BO176*VLOOKUP('Données projet'!$B$11,Paramètres!$A$1:$I$89,3,0)*0.475*44/12</f>
        <v>7.5933396394028554E-24</v>
      </c>
      <c r="BS176" s="22">
        <f t="shared" si="169"/>
        <v>3.9838820247434219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0.8600000000003547</v>
      </c>
      <c r="BZ176" s="13">
        <f>BY176*VLOOKUP('Données projet'!$B$12,Paramètres!$A$1:$I$89,3,0)*VLOOKUP('Données projet'!$B$12,Paramètres!$A$1:$I$89,5,0)</f>
        <v>0.48074000000019829</v>
      </c>
      <c r="CA176" s="13">
        <f t="shared" si="170"/>
        <v>0.24126147010950588</v>
      </c>
      <c r="CB176" s="20">
        <f t="shared" si="171"/>
        <v>1.2574858937744013</v>
      </c>
      <c r="CC176" s="59">
        <f t="shared" si="119"/>
        <v>290.15079954652288</v>
      </c>
      <c r="CD176" s="59">
        <f ca="1">AVERAGE(OFFSET($CC$3,0,0,'Données projet'!$E$12+1,1))-AVERAGE(OFFSET($H$3,0,0,'Données projet'!$E$12+1,1))</f>
        <v>420.4890915162182</v>
      </c>
      <c r="CE176" s="59">
        <f t="shared" si="148"/>
        <v>553.48432338023565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35.924967432360631</v>
      </c>
      <c r="CL176" s="21">
        <f>EXP(-LN(2)/25)*CL175+(1-EXP(-LN(2)/25))/(LN(2)/25)*Calculateur!CG176*Calculateur!CI176*VLOOKUP('Données projet'!$B$12,Paramètres!$A$1:$I$89,3,0)*0.475*44/12</f>
        <v>0.95942780002196237</v>
      </c>
      <c r="CM176" s="21">
        <f>EXP(-LN(2)/2)*CM175+(1-EXP(-LN(2)/2))/(LN(2)/2)*CG176*CJ176*VLOOKUP('Données projet'!$B$12,Paramètres!$A$1:$I$89,3,0)*0.475*44/12</f>
        <v>2.2158501485954863E-22</v>
      </c>
      <c r="CN176" s="22">
        <f t="shared" si="172"/>
        <v>36.884395232382595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367.99999999999972</v>
      </c>
      <c r="CU176" s="17">
        <f>CT176*VLOOKUP('Données projet'!$B$13,Paramètres!$A$1:$I$89,3,0)*VLOOKUP('Données projet'!$B$13,Paramètres!$A$1:$I$89,5,0)</f>
        <v>269.8175999999998</v>
      </c>
      <c r="CV176" s="13">
        <f t="shared" si="173"/>
        <v>64.810557882019467</v>
      </c>
      <c r="CW176" s="20">
        <f t="shared" si="174"/>
        <v>582.81070831118348</v>
      </c>
      <c r="CX176" s="59">
        <f t="shared" si="122"/>
        <v>871.70402196393195</v>
      </c>
      <c r="CY176" s="59">
        <f ca="1">AVERAGE(OFFSET($CX$3,0,0,'Données projet'!$E$13+1,1))-AVERAGE(OFFSET($H$3,0,0,'Données projet'!$E$13+1,1))</f>
        <v>400.48995908576177</v>
      </c>
      <c r="CZ176" s="59">
        <f t="shared" si="150"/>
        <v>384.86917865380076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7.3055292221280173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7.3055292221280173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367.99999999999972</v>
      </c>
      <c r="DP176" s="17">
        <f>DO176*VLOOKUP('Données projet'!$B$14,Paramètres!$A$1:$I$89,3,0)*VLOOKUP('Données projet'!$B$14,Paramètres!$A$1:$I$89,5,0)</f>
        <v>292.78079999999977</v>
      </c>
      <c r="DQ176" s="13">
        <f t="shared" si="176"/>
        <v>69.660903052386217</v>
      </c>
      <c r="DR176" s="20">
        <f t="shared" si="177"/>
        <v>631.25263281623893</v>
      </c>
      <c r="DS176" s="59">
        <f t="shared" si="125"/>
        <v>920.1459464689874</v>
      </c>
      <c r="DT176" s="59">
        <f ca="1">AVERAGE(OFFSET($DS$3,0,0,'Données projet'!$E$14+1,1))-AVERAGE(OFFSET($H$3,0,0,'Données projet'!$E$14+1,1))</f>
        <v>429.30603040255431</v>
      </c>
      <c r="DU176" s="59">
        <f t="shared" si="152"/>
        <v>412.18613903804726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9.7708290387986292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9.7708290387986292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210.25641025641013</v>
      </c>
      <c r="EK176" s="17">
        <f>EJ176*VLOOKUP('Données projet'!$B$15,Paramètres!$A$1:$I$89,3,0)*VLOOKUP('Données projet'!$B$15,Paramètres!$A$1:$I$89,5,0)</f>
        <v>163.99999999999991</v>
      </c>
      <c r="EL176" s="13">
        <f t="shared" si="179"/>
        <v>41.743425908362248</v>
      </c>
      <c r="EM176" s="20">
        <f t="shared" si="180"/>
        <v>358.33646679039742</v>
      </c>
      <c r="EN176" s="59">
        <f t="shared" si="128"/>
        <v>647.22978044314596</v>
      </c>
      <c r="EO176" s="59">
        <f ca="1">AVERAGE(OFFSET($EN$3,0,0,'Données projet'!$E$15+1,1))-AVERAGE(OFFSET($H$3,0,0,'Données projet'!$E$15+1,1))</f>
        <v>217.53602321474159</v>
      </c>
      <c r="EP176" s="59">
        <f t="shared" si="154"/>
        <v>215.75909414893025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4.1176187861732059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4.1176187861732059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19.8100000000004</v>
      </c>
      <c r="FF176" s="17">
        <f>FE176*VLOOKUP('Données projet'!$B$16,Paramètres!$A$1:$I$89,3,0)*VLOOKUP('Données projet'!$B$16,Paramètres!$A$1:$I$89,5,0)</f>
        <v>13.288548000000269</v>
      </c>
      <c r="FG176" s="13">
        <f t="shared" si="182"/>
        <v>4.531654695205642</v>
      </c>
      <c r="FH176" s="20">
        <f t="shared" si="183"/>
        <v>31.036853027483627</v>
      </c>
      <c r="FI176" s="59">
        <f t="shared" si="131"/>
        <v>319.93016668023211</v>
      </c>
      <c r="FJ176" s="59">
        <f ca="1">AVERAGE(OFFSET($FI$3,0,0,'Données projet'!$E$16+1,1))-AVERAGE(OFFSET($H$3,0,0,'Données projet'!$E$16+1,1))</f>
        <v>441.20130048888439</v>
      </c>
      <c r="FK176" s="59">
        <f t="shared" si="156"/>
        <v>237.47732532183946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110.21013741045115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110.21013741045115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204.00000000000017</v>
      </c>
      <c r="GA176" s="17">
        <f>FZ176*VLOOKUP('Données projet'!$B$17,Paramètres!$A$1:$I$89,3,0)*VLOOKUP('Données projet'!$B$17,Paramètres!$A$1:$I$89,5,0)</f>
        <v>133.66080000000011</v>
      </c>
      <c r="GB176" s="13">
        <f t="shared" si="185"/>
        <v>34.840890682716783</v>
      </c>
      <c r="GC176" s="20">
        <f t="shared" si="186"/>
        <v>293.4737779390652</v>
      </c>
      <c r="GD176" s="59">
        <f t="shared" si="134"/>
        <v>582.36709159181373</v>
      </c>
      <c r="GE176" s="59">
        <f ca="1">AVERAGE(OFFSET($GD$3,0,0,'Données projet'!$E$17+1,1))-AVERAGE(OFFSET($H$3,0,0,'Données projet'!$E$17+1,1))</f>
        <v>257.66104339896992</v>
      </c>
      <c r="GF176" s="59">
        <f t="shared" si="158"/>
        <v>254.79488636184996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7.6166965051795863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7.6166965051795863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234.00000000000003</v>
      </c>
      <c r="GV176" s="17">
        <f>GU176*VLOOKUP('Données projet'!$B$18,Paramètres!$A$1:$I$89,3,0)*VLOOKUP('Données projet'!$B$18,Paramètres!$A$1:$I$89,5,0)</f>
        <v>189.82080000000005</v>
      </c>
      <c r="GW176" s="13">
        <f t="shared" si="188"/>
        <v>47.500332100049796</v>
      </c>
      <c r="GX176" s="20">
        <f t="shared" si="189"/>
        <v>413.33430507425345</v>
      </c>
      <c r="GY176" s="59">
        <f t="shared" si="137"/>
        <v>702.22761872700198</v>
      </c>
      <c r="GZ176" s="59">
        <f ca="1">AVERAGE(OFFSET($GY$3,0,0,'Données projet'!$E$18+1,1))-AVERAGE(OFFSET($H$3,0,0,'Données projet'!$E$18+1,1))</f>
        <v>299.98377156721153</v>
      </c>
      <c r="HA176" s="59">
        <f t="shared" si="160"/>
        <v>241.36164657721102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7.338225785996646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7.338225785996646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19.8100000000004</v>
      </c>
      <c r="O177" s="13">
        <f>N177*VLOOKUP('Données projet'!$B$9,Paramètres!$A$1:$I$89,3,0)*VLOOKUP('Données projet'!$B$9,Paramètres!$A$1:$I$89,5,0)</f>
        <v>17.924088000000364</v>
      </c>
      <c r="P177" s="13">
        <f t="shared" si="141"/>
        <v>5.9032212091029486</v>
      </c>
      <c r="Q177" s="20">
        <f t="shared" si="162"/>
        <v>41.499230205854936</v>
      </c>
      <c r="R177" s="59">
        <f t="shared" si="109"/>
        <v>330.46956827366466</v>
      </c>
      <c r="S177" s="59">
        <f ca="1">AVERAGE(OFFSET($R$3,0,0,'Données projet'!$E$9+1,1))-AVERAGE(OFFSET($H$3,0,0,'Données projet'!$E$9+1,1))</f>
        <v>567.42635821507474</v>
      </c>
      <c r="T177" s="59">
        <f t="shared" si="142"/>
        <v>299.04735309930152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118.2422841993953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118.2422841993953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474.99999999999994</v>
      </c>
      <c r="AJ177" s="13">
        <f>AI177*VLOOKUP('Données projet'!$B$10,Paramètres!$A$1:$I$89,3,0)*VLOOKUP('Données projet'!$B$10,Paramètres!$A$1:$I$89,5,0)</f>
        <v>407.55</v>
      </c>
      <c r="AK177" s="13">
        <f t="shared" si="164"/>
        <v>93.305642095357683</v>
      </c>
      <c r="AL177" s="20">
        <f t="shared" si="165"/>
        <v>872.32357664941446</v>
      </c>
      <c r="AM177" s="59">
        <f t="shared" si="113"/>
        <v>1161.2939147172242</v>
      </c>
      <c r="AN177" s="59">
        <f ca="1">AVERAGE(OFFSET($AM$3,0,0,'Données projet'!$E$10+1,1))-AVERAGE(OFFSET($H$3,0,0,'Données projet'!$E$10+1,1))</f>
        <v>569.97793593332699</v>
      </c>
      <c r="AO177" s="59">
        <f t="shared" si="144"/>
        <v>331.25104323342907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41.947084714375031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41.947084714375031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277.99999999999994</v>
      </c>
      <c r="BE177" s="13">
        <f>BD177*VLOOKUP('Données projet'!$B$11,Paramètres!$A$1:$I$89,3,0)*VLOOKUP('Données projet'!$B$11,Paramètres!$A$1:$I$89,5,0)</f>
        <v>151.78799999999998</v>
      </c>
      <c r="BF177" s="13">
        <f t="shared" si="167"/>
        <v>38.984634390835623</v>
      </c>
      <c r="BG177" s="20">
        <f t="shared" si="168"/>
        <v>332.26233823070532</v>
      </c>
      <c r="BH177" s="59">
        <f t="shared" si="116"/>
        <v>621.23267629851512</v>
      </c>
      <c r="BI177" s="59">
        <f ca="1">AVERAGE(OFFSET($BH$3,0,0,'Données projet'!$E$11+1,1))-AVERAGE(OFFSET($H$3,0,0,'Données projet'!$E$11+1,1))</f>
        <v>215.37314197175104</v>
      </c>
      <c r="BJ177" s="59">
        <f t="shared" si="146"/>
        <v>361.17630426655978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2.1194112940458578</v>
      </c>
      <c r="BQ177" s="21">
        <f>EXP(-LN(2)/25)*BQ176+(1-EXP(-LN(2)/25))/(LN(2)/25)*Calculateur!BL177*Calculateur!BN177*VLOOKUP('Données projet'!$B$11,Paramètres!$A$1:$I$89,3,0)*0.475*44/12</f>
        <v>1.7722542451524859</v>
      </c>
      <c r="BR177" s="21">
        <f>EXP(-LN(2)/2)*BR176+(1-EXP(-LN(2)/2))/(LN(2)/2)*BL177*BO177*VLOOKUP('Données projet'!$B$11,Paramètres!$A$1:$I$89,3,0)*0.475*44/12</f>
        <v>5.3693019508743727E-24</v>
      </c>
      <c r="BS177" s="22">
        <f t="shared" si="169"/>
        <v>3.8916655391983435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0.8600000000003547</v>
      </c>
      <c r="BZ177" s="13">
        <f>BY177*VLOOKUP('Données projet'!$B$12,Paramètres!$A$1:$I$89,3,0)*VLOOKUP('Données projet'!$B$12,Paramètres!$A$1:$I$89,5,0)</f>
        <v>0.48074000000019829</v>
      </c>
      <c r="CA177" s="13">
        <f t="shared" si="170"/>
        <v>0.24126147010950588</v>
      </c>
      <c r="CB177" s="20">
        <f t="shared" si="171"/>
        <v>1.2574858937744013</v>
      </c>
      <c r="CC177" s="59">
        <f t="shared" si="119"/>
        <v>290.22782396158414</v>
      </c>
      <c r="CD177" s="59">
        <f ca="1">AVERAGE(OFFSET($CC$3,0,0,'Données projet'!$E$12+1,1))-AVERAGE(OFFSET($H$3,0,0,'Données projet'!$E$12+1,1))</f>
        <v>420.4890915162182</v>
      </c>
      <c r="CE177" s="59">
        <f t="shared" si="148"/>
        <v>553.48432338023565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35.220500733078538</v>
      </c>
      <c r="CL177" s="21">
        <f>EXP(-LN(2)/25)*CL176+(1-EXP(-LN(2)/25))/(LN(2)/25)*Calculateur!CG177*Calculateur!CI177*VLOOKUP('Données projet'!$B$12,Paramètres!$A$1:$I$89,3,0)*0.475*44/12</f>
        <v>0.93319219637624662</v>
      </c>
      <c r="CM177" s="21">
        <f>EXP(-LN(2)/2)*CM176+(1-EXP(-LN(2)/2))/(LN(2)/2)*CG177*CJ177*VLOOKUP('Données projet'!$B$12,Paramètres!$A$1:$I$89,3,0)*0.475*44/12</f>
        <v>1.5668426661650874E-22</v>
      </c>
      <c r="CN177" s="22">
        <f t="shared" si="172"/>
        <v>36.153692929454785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367.99999999999972</v>
      </c>
      <c r="CU177" s="17">
        <f>CT177*VLOOKUP('Données projet'!$B$13,Paramètres!$A$1:$I$89,3,0)*VLOOKUP('Données projet'!$B$13,Paramètres!$A$1:$I$89,5,0)</f>
        <v>269.8175999999998</v>
      </c>
      <c r="CV177" s="13">
        <f t="shared" si="173"/>
        <v>64.810557882019467</v>
      </c>
      <c r="CW177" s="20">
        <f t="shared" si="174"/>
        <v>582.81070831118348</v>
      </c>
      <c r="CX177" s="59">
        <f t="shared" si="122"/>
        <v>871.78104637899321</v>
      </c>
      <c r="CY177" s="59">
        <f ca="1">AVERAGE(OFFSET($CX$3,0,0,'Données projet'!$E$13+1,1))-AVERAGE(OFFSET($H$3,0,0,'Données projet'!$E$13+1,1))</f>
        <v>400.48995908576177</v>
      </c>
      <c r="CZ177" s="59">
        <f t="shared" si="150"/>
        <v>384.86917865380076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7.1622722500149258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7.1622722500149258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367.99999999999972</v>
      </c>
      <c r="DP177" s="17">
        <f>DO177*VLOOKUP('Données projet'!$B$14,Paramètres!$A$1:$I$89,3,0)*VLOOKUP('Données projet'!$B$14,Paramètres!$A$1:$I$89,5,0)</f>
        <v>292.78079999999977</v>
      </c>
      <c r="DQ177" s="13">
        <f t="shared" si="176"/>
        <v>69.660903052386217</v>
      </c>
      <c r="DR177" s="20">
        <f t="shared" si="177"/>
        <v>631.25263281623893</v>
      </c>
      <c r="DS177" s="59">
        <f t="shared" si="125"/>
        <v>920.22297088404866</v>
      </c>
      <c r="DT177" s="59">
        <f ca="1">AVERAGE(OFFSET($DS$3,0,0,'Données projet'!$E$14+1,1))-AVERAGE(OFFSET($H$3,0,0,'Données projet'!$E$14+1,1))</f>
        <v>429.30603040255431</v>
      </c>
      <c r="DU177" s="59">
        <f t="shared" si="152"/>
        <v>412.18613903804726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9.5792290409650391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9.5792290409650391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210.25641025641013</v>
      </c>
      <c r="EK177" s="17">
        <f>EJ177*VLOOKUP('Données projet'!$B$15,Paramètres!$A$1:$I$89,3,0)*VLOOKUP('Données projet'!$B$15,Paramètres!$A$1:$I$89,5,0)</f>
        <v>163.99999999999991</v>
      </c>
      <c r="EL177" s="13">
        <f t="shared" si="179"/>
        <v>41.743425908362248</v>
      </c>
      <c r="EM177" s="20">
        <f t="shared" si="180"/>
        <v>358.33646679039742</v>
      </c>
      <c r="EN177" s="59">
        <f t="shared" si="128"/>
        <v>647.30680485820722</v>
      </c>
      <c r="EO177" s="59">
        <f ca="1">AVERAGE(OFFSET($EN$3,0,0,'Données projet'!$E$15+1,1))-AVERAGE(OFFSET($H$3,0,0,'Données projet'!$E$15+1,1))</f>
        <v>217.53602321474159</v>
      </c>
      <c r="EP177" s="59">
        <f t="shared" si="154"/>
        <v>215.75909414893025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4.0368747932758193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4.0368747932758193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19.8100000000004</v>
      </c>
      <c r="FF177" s="17">
        <f>FE177*VLOOKUP('Données projet'!$B$16,Paramètres!$A$1:$I$89,3,0)*VLOOKUP('Données projet'!$B$16,Paramètres!$A$1:$I$89,5,0)</f>
        <v>13.288548000000269</v>
      </c>
      <c r="FG177" s="13">
        <f t="shared" si="182"/>
        <v>4.531654695205642</v>
      </c>
      <c r="FH177" s="20">
        <f t="shared" si="183"/>
        <v>31.036853027483627</v>
      </c>
      <c r="FI177" s="59">
        <f t="shared" si="131"/>
        <v>320.00719109529336</v>
      </c>
      <c r="FJ177" s="59">
        <f ca="1">AVERAGE(OFFSET($FI$3,0,0,'Données projet'!$E$16+1,1))-AVERAGE(OFFSET($H$3,0,0,'Données projet'!$E$16+1,1))</f>
        <v>441.20130048888439</v>
      </c>
      <c r="FK177" s="59">
        <f t="shared" si="156"/>
        <v>237.47732532183946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108.04898383737844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108.04898383737844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204.00000000000017</v>
      </c>
      <c r="GA177" s="17">
        <f>FZ177*VLOOKUP('Données projet'!$B$17,Paramètres!$A$1:$I$89,3,0)*VLOOKUP('Données projet'!$B$17,Paramètres!$A$1:$I$89,5,0)</f>
        <v>133.66080000000011</v>
      </c>
      <c r="GB177" s="13">
        <f t="shared" si="185"/>
        <v>34.840890682716783</v>
      </c>
      <c r="GC177" s="20">
        <f t="shared" si="186"/>
        <v>293.4737779390652</v>
      </c>
      <c r="GD177" s="59">
        <f t="shared" si="134"/>
        <v>582.44411600687499</v>
      </c>
      <c r="GE177" s="59">
        <f ca="1">AVERAGE(OFFSET($GD$3,0,0,'Données projet'!$E$17+1,1))-AVERAGE(OFFSET($H$3,0,0,'Données projet'!$E$17+1,1))</f>
        <v>257.66104339896992</v>
      </c>
      <c r="GF177" s="59">
        <f t="shared" si="158"/>
        <v>254.79488636184996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7.4673377324391552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7.4673377324391552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234.00000000000003</v>
      </c>
      <c r="GV177" s="17">
        <f>GU177*VLOOKUP('Données projet'!$B$18,Paramètres!$A$1:$I$89,3,0)*VLOOKUP('Données projet'!$B$18,Paramètres!$A$1:$I$89,5,0)</f>
        <v>189.82080000000005</v>
      </c>
      <c r="GW177" s="13">
        <f t="shared" si="188"/>
        <v>47.500332100049796</v>
      </c>
      <c r="GX177" s="20">
        <f t="shared" si="189"/>
        <v>413.33430507425345</v>
      </c>
      <c r="GY177" s="59">
        <f t="shared" si="137"/>
        <v>702.30464314206324</v>
      </c>
      <c r="GZ177" s="59">
        <f ca="1">AVERAGE(OFFSET($GY$3,0,0,'Données projet'!$E$18+1,1))-AVERAGE(OFFSET($H$3,0,0,'Données projet'!$E$18+1,1))</f>
        <v>299.98377156721153</v>
      </c>
      <c r="HA177" s="59">
        <f t="shared" si="160"/>
        <v>241.36164657721102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7.1943276542090251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7.1943276542090251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19.8100000000004</v>
      </c>
      <c r="O178" s="13">
        <f>N178*VLOOKUP('Données projet'!$B$9,Paramètres!$A$1:$I$89,3,0)*VLOOKUP('Données projet'!$B$9,Paramètres!$A$1:$I$89,5,0)</f>
        <v>17.924088000000364</v>
      </c>
      <c r="P178" s="13">
        <f t="shared" si="141"/>
        <v>5.9032212091029486</v>
      </c>
      <c r="Q178" s="20">
        <f t="shared" si="162"/>
        <v>41.499230205854936</v>
      </c>
      <c r="R178" s="59">
        <f t="shared" si="109"/>
        <v>330.54525648732533</v>
      </c>
      <c r="S178" s="59">
        <f ca="1">AVERAGE(OFFSET($R$3,0,0,'Données projet'!$E$9+1,1))-AVERAGE(OFFSET($H$3,0,0,'Données projet'!$E$9+1,1))</f>
        <v>567.42635821507474</v>
      </c>
      <c r="T178" s="59">
        <f t="shared" si="142"/>
        <v>299.04735309930152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115.9236251269172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115.9236251269172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474.99999999999994</v>
      </c>
      <c r="AJ178" s="13">
        <f>AI178*VLOOKUP('Données projet'!$B$10,Paramètres!$A$1:$I$89,3,0)*VLOOKUP('Données projet'!$B$10,Paramètres!$A$1:$I$89,5,0)</f>
        <v>407.55</v>
      </c>
      <c r="AK178" s="13">
        <f t="shared" si="164"/>
        <v>93.305642095357683</v>
      </c>
      <c r="AL178" s="20">
        <f t="shared" si="165"/>
        <v>872.32357664941446</v>
      </c>
      <c r="AM178" s="59">
        <f t="shared" si="113"/>
        <v>1161.3696029308849</v>
      </c>
      <c r="AN178" s="59">
        <f ca="1">AVERAGE(OFFSET($AM$3,0,0,'Données projet'!$E$10+1,1))-AVERAGE(OFFSET($H$3,0,0,'Données projet'!$E$10+1,1))</f>
        <v>569.97793593332699</v>
      </c>
      <c r="AO178" s="59">
        <f t="shared" si="144"/>
        <v>331.25104323342907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41.12452796832148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41.12452796832148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277.99999999999994</v>
      </c>
      <c r="BE178" s="13">
        <f>BD178*VLOOKUP('Données projet'!$B$11,Paramètres!$A$1:$I$89,3,0)*VLOOKUP('Données projet'!$B$11,Paramètres!$A$1:$I$89,5,0)</f>
        <v>151.78799999999998</v>
      </c>
      <c r="BF178" s="13">
        <f t="shared" si="167"/>
        <v>38.984634390835623</v>
      </c>
      <c r="BG178" s="20">
        <f t="shared" si="168"/>
        <v>332.26233823070532</v>
      </c>
      <c r="BH178" s="59">
        <f t="shared" si="116"/>
        <v>621.30836451217579</v>
      </c>
      <c r="BI178" s="59">
        <f ca="1">AVERAGE(OFFSET($BH$3,0,0,'Données projet'!$E$11+1,1))-AVERAGE(OFFSET($H$3,0,0,'Données projet'!$E$11+1,1))</f>
        <v>215.37314197175104</v>
      </c>
      <c r="BJ178" s="59">
        <f t="shared" si="146"/>
        <v>361.17630426655978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2.077850931282863</v>
      </c>
      <c r="BQ178" s="21">
        <f>EXP(-LN(2)/25)*BQ177+(1-EXP(-LN(2)/25))/(LN(2)/25)*Calculateur!BL178*Calculateur!BN178*VLOOKUP('Données projet'!$B$11,Paramètres!$A$1:$I$89,3,0)*0.475*44/12</f>
        <v>1.7237918596199908</v>
      </c>
      <c r="BR178" s="21">
        <f>EXP(-LN(2)/2)*BR177+(1-EXP(-LN(2)/2))/(LN(2)/2)*BL178*BO178*VLOOKUP('Données projet'!$B$11,Paramètres!$A$1:$I$89,3,0)*0.475*44/12</f>
        <v>3.7966698197014277E-24</v>
      </c>
      <c r="BS178" s="22">
        <f t="shared" si="169"/>
        <v>3.8016427909028536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0.8600000000003547</v>
      </c>
      <c r="BZ178" s="13">
        <f>BY178*VLOOKUP('Données projet'!$B$12,Paramètres!$A$1:$I$89,3,0)*VLOOKUP('Données projet'!$B$12,Paramètres!$A$1:$I$89,5,0)</f>
        <v>0.48074000000019829</v>
      </c>
      <c r="CA178" s="13">
        <f t="shared" si="170"/>
        <v>0.24126147010950588</v>
      </c>
      <c r="CB178" s="20">
        <f t="shared" si="171"/>
        <v>1.2574858937744013</v>
      </c>
      <c r="CC178" s="59">
        <f t="shared" si="119"/>
        <v>290.3035121752448</v>
      </c>
      <c r="CD178" s="59">
        <f ca="1">AVERAGE(OFFSET($CC$3,0,0,'Données projet'!$E$12+1,1))-AVERAGE(OFFSET($H$3,0,0,'Données projet'!$E$12+1,1))</f>
        <v>420.4890915162182</v>
      </c>
      <c r="CE178" s="59">
        <f t="shared" si="148"/>
        <v>553.48432338023565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34.529848196087109</v>
      </c>
      <c r="CL178" s="21">
        <f>EXP(-LN(2)/25)*CL177+(1-EXP(-LN(2)/25))/(LN(2)/25)*Calculateur!CG178*Calculateur!CI178*VLOOKUP('Données projet'!$B$12,Paramètres!$A$1:$I$89,3,0)*0.475*44/12</f>
        <v>0.90767400669189335</v>
      </c>
      <c r="CM178" s="21">
        <f>EXP(-LN(2)/2)*CM177+(1-EXP(-LN(2)/2))/(LN(2)/2)*CG178*CJ178*VLOOKUP('Données projet'!$B$12,Paramètres!$A$1:$I$89,3,0)*0.475*44/12</f>
        <v>1.1079250742977431E-22</v>
      </c>
      <c r="CN178" s="22">
        <f t="shared" si="172"/>
        <v>35.437522202779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367.99999999999972</v>
      </c>
      <c r="CU178" s="17">
        <f>CT178*VLOOKUP('Données projet'!$B$13,Paramètres!$A$1:$I$89,3,0)*VLOOKUP('Données projet'!$B$13,Paramètres!$A$1:$I$89,5,0)</f>
        <v>269.8175999999998</v>
      </c>
      <c r="CV178" s="13">
        <f t="shared" si="173"/>
        <v>64.810557882019467</v>
      </c>
      <c r="CW178" s="20">
        <f t="shared" si="174"/>
        <v>582.81070831118348</v>
      </c>
      <c r="CX178" s="59">
        <f t="shared" si="122"/>
        <v>871.85673459265388</v>
      </c>
      <c r="CY178" s="59">
        <f ca="1">AVERAGE(OFFSET($CX$3,0,0,'Données projet'!$E$13+1,1))-AVERAGE(OFFSET($H$3,0,0,'Données projet'!$E$13+1,1))</f>
        <v>400.48995908576177</v>
      </c>
      <c r="CZ178" s="59">
        <f t="shared" si="150"/>
        <v>384.86917865380076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7.0218244597468464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7.0218244597468464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367.99999999999972</v>
      </c>
      <c r="DP178" s="17">
        <f>DO178*VLOOKUP('Données projet'!$B$14,Paramètres!$A$1:$I$89,3,0)*VLOOKUP('Données projet'!$B$14,Paramètres!$A$1:$I$89,5,0)</f>
        <v>292.78079999999977</v>
      </c>
      <c r="DQ178" s="13">
        <f t="shared" si="176"/>
        <v>69.660903052386217</v>
      </c>
      <c r="DR178" s="20">
        <f t="shared" si="177"/>
        <v>631.25263281623893</v>
      </c>
      <c r="DS178" s="59">
        <f t="shared" si="125"/>
        <v>920.29865909770933</v>
      </c>
      <c r="DT178" s="59">
        <f ca="1">AVERAGE(OFFSET($DS$3,0,0,'Données projet'!$E$14+1,1))-AVERAGE(OFFSET($H$3,0,0,'Données projet'!$E$14+1,1))</f>
        <v>429.30603040255431</v>
      </c>
      <c r="DU178" s="59">
        <f t="shared" si="152"/>
        <v>412.18613903804726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9.3913862022245063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9.3913862022245063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210.25641025641013</v>
      </c>
      <c r="EK178" s="17">
        <f>EJ178*VLOOKUP('Données projet'!$B$15,Paramètres!$A$1:$I$89,3,0)*VLOOKUP('Données projet'!$B$15,Paramètres!$A$1:$I$89,5,0)</f>
        <v>163.99999999999991</v>
      </c>
      <c r="EL178" s="13">
        <f t="shared" si="179"/>
        <v>41.743425908362248</v>
      </c>
      <c r="EM178" s="20">
        <f t="shared" si="180"/>
        <v>358.33646679039742</v>
      </c>
      <c r="EN178" s="59">
        <f t="shared" si="128"/>
        <v>647.38249307186788</v>
      </c>
      <c r="EO178" s="59">
        <f ca="1">AVERAGE(OFFSET($EN$3,0,0,'Données projet'!$E$15+1,1))-AVERAGE(OFFSET($H$3,0,0,'Données projet'!$E$15+1,1))</f>
        <v>217.53602321474159</v>
      </c>
      <c r="EP178" s="59">
        <f t="shared" si="154"/>
        <v>215.75909414893025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3.9577141408301775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3.9577141408301775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19.8100000000004</v>
      </c>
      <c r="FF178" s="17">
        <f>FE178*VLOOKUP('Données projet'!$B$16,Paramètres!$A$1:$I$89,3,0)*VLOOKUP('Données projet'!$B$16,Paramètres!$A$1:$I$89,5,0)</f>
        <v>13.288548000000269</v>
      </c>
      <c r="FG178" s="13">
        <f t="shared" si="182"/>
        <v>4.531654695205642</v>
      </c>
      <c r="FH178" s="20">
        <f t="shared" si="183"/>
        <v>31.036853027483627</v>
      </c>
      <c r="FI178" s="59">
        <f t="shared" si="131"/>
        <v>320.08287930895403</v>
      </c>
      <c r="FJ178" s="59">
        <f ca="1">AVERAGE(OFFSET($FI$3,0,0,'Données projet'!$E$16+1,1))-AVERAGE(OFFSET($H$3,0,0,'Données projet'!$E$16+1,1))</f>
        <v>441.20130048888439</v>
      </c>
      <c r="FK178" s="59">
        <f t="shared" si="156"/>
        <v>237.47732532183946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105.93020916770017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105.93020916770017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204.00000000000017</v>
      </c>
      <c r="GA178" s="17">
        <f>FZ178*VLOOKUP('Données projet'!$B$17,Paramètres!$A$1:$I$89,3,0)*VLOOKUP('Données projet'!$B$17,Paramètres!$A$1:$I$89,5,0)</f>
        <v>133.66080000000011</v>
      </c>
      <c r="GB178" s="13">
        <f t="shared" si="185"/>
        <v>34.840890682716783</v>
      </c>
      <c r="GC178" s="20">
        <f t="shared" si="186"/>
        <v>293.4737779390652</v>
      </c>
      <c r="GD178" s="59">
        <f t="shared" si="134"/>
        <v>582.51980422053566</v>
      </c>
      <c r="GE178" s="59">
        <f ca="1">AVERAGE(OFFSET($GD$3,0,0,'Données projet'!$E$17+1,1))-AVERAGE(OFFSET($H$3,0,0,'Données projet'!$E$17+1,1))</f>
        <v>257.66104339896992</v>
      </c>
      <c r="GF178" s="59">
        <f t="shared" si="158"/>
        <v>254.79488636184996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7.3209077941323084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7.3209077941323084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234.00000000000003</v>
      </c>
      <c r="GV178" s="17">
        <f>GU178*VLOOKUP('Données projet'!$B$18,Paramètres!$A$1:$I$89,3,0)*VLOOKUP('Données projet'!$B$18,Paramètres!$A$1:$I$89,5,0)</f>
        <v>189.82080000000005</v>
      </c>
      <c r="GW178" s="13">
        <f t="shared" si="188"/>
        <v>47.500332100049796</v>
      </c>
      <c r="GX178" s="20">
        <f t="shared" si="189"/>
        <v>413.33430507425345</v>
      </c>
      <c r="GY178" s="59">
        <f t="shared" si="137"/>
        <v>702.38033135572391</v>
      </c>
      <c r="GZ178" s="59">
        <f ca="1">AVERAGE(OFFSET($GY$3,0,0,'Données projet'!$E$18+1,1))-AVERAGE(OFFSET($H$3,0,0,'Données projet'!$E$18+1,1))</f>
        <v>299.98377156721153</v>
      </c>
      <c r="HA178" s="59">
        <f t="shared" si="160"/>
        <v>241.36164657721102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7.0532512770165656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7.0532512770165656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19.8100000000004</v>
      </c>
      <c r="O179" s="13">
        <f>N179*VLOOKUP('Données projet'!$B$9,Paramètres!$A$1:$I$89,3,0)*VLOOKUP('Données projet'!$B$9,Paramètres!$A$1:$I$89,5,0)</f>
        <v>17.924088000000364</v>
      </c>
      <c r="P179" s="13">
        <f t="shared" si="141"/>
        <v>5.9032212091029486</v>
      </c>
      <c r="Q179" s="20">
        <f t="shared" si="162"/>
        <v>41.499230205854936</v>
      </c>
      <c r="R179" s="59">
        <f t="shared" si="109"/>
        <v>330.61963167969253</v>
      </c>
      <c r="S179" s="59">
        <f ca="1">AVERAGE(OFFSET($R$3,0,0,'Données projet'!$E$9+1,1))-AVERAGE(OFFSET($H$3,0,0,'Données projet'!$E$9+1,1))</f>
        <v>567.42635821507474</v>
      </c>
      <c r="T179" s="59">
        <f t="shared" si="142"/>
        <v>299.04735309930152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113.65043354460801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113.65043354460801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474.99999999999994</v>
      </c>
      <c r="AJ179" s="13">
        <f>AI179*VLOOKUP('Données projet'!$B$10,Paramètres!$A$1:$I$89,3,0)*VLOOKUP('Données projet'!$B$10,Paramètres!$A$1:$I$89,5,0)</f>
        <v>407.55</v>
      </c>
      <c r="AK179" s="13">
        <f t="shared" si="164"/>
        <v>93.305642095357683</v>
      </c>
      <c r="AL179" s="20">
        <f t="shared" si="165"/>
        <v>872.32357664941446</v>
      </c>
      <c r="AM179" s="59">
        <f t="shared" si="113"/>
        <v>1161.443978123252</v>
      </c>
      <c r="AN179" s="59">
        <f ca="1">AVERAGE(OFFSET($AM$3,0,0,'Données projet'!$E$10+1,1))-AVERAGE(OFFSET($H$3,0,0,'Données projet'!$E$10+1,1))</f>
        <v>569.97793593332699</v>
      </c>
      <c r="AO179" s="59">
        <f t="shared" si="144"/>
        <v>331.25104323342907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40.31810105834797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40.31810105834797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277.99999999999994</v>
      </c>
      <c r="BE179" s="13">
        <f>BD179*VLOOKUP('Données projet'!$B$11,Paramètres!$A$1:$I$89,3,0)*VLOOKUP('Données projet'!$B$11,Paramètres!$A$1:$I$89,5,0)</f>
        <v>151.78799999999998</v>
      </c>
      <c r="BF179" s="13">
        <f t="shared" si="167"/>
        <v>38.984634390835623</v>
      </c>
      <c r="BG179" s="20">
        <f t="shared" si="168"/>
        <v>332.26233823070532</v>
      </c>
      <c r="BH179" s="59">
        <f t="shared" si="116"/>
        <v>621.38273970454293</v>
      </c>
      <c r="BI179" s="59">
        <f ca="1">AVERAGE(OFFSET($BH$3,0,0,'Données projet'!$E$11+1,1))-AVERAGE(OFFSET($H$3,0,0,'Données projet'!$E$11+1,1))</f>
        <v>215.37314197175104</v>
      </c>
      <c r="BJ179" s="59">
        <f t="shared" si="146"/>
        <v>361.17630426655978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2.0371055418843325</v>
      </c>
      <c r="BQ179" s="21">
        <f>EXP(-LN(2)/25)*BQ178+(1-EXP(-LN(2)/25))/(LN(2)/25)*Calculateur!BL179*Calculateur!BN179*VLOOKUP('Données projet'!$B$11,Paramètres!$A$1:$I$89,3,0)*0.475*44/12</f>
        <v>1.6766546805684082</v>
      </c>
      <c r="BR179" s="21">
        <f>EXP(-LN(2)/2)*BR178+(1-EXP(-LN(2)/2))/(LN(2)/2)*BL179*BO179*VLOOKUP('Données projet'!$B$11,Paramètres!$A$1:$I$89,3,0)*0.475*44/12</f>
        <v>2.6846509754371864E-24</v>
      </c>
      <c r="BS179" s="22">
        <f t="shared" si="169"/>
        <v>3.7137602224527404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0.8600000000003547</v>
      </c>
      <c r="BZ179" s="13">
        <f>BY179*VLOOKUP('Données projet'!$B$12,Paramètres!$A$1:$I$89,3,0)*VLOOKUP('Données projet'!$B$12,Paramètres!$A$1:$I$89,5,0)</f>
        <v>0.48074000000019829</v>
      </c>
      <c r="CA179" s="13">
        <f t="shared" si="170"/>
        <v>0.24126147010950588</v>
      </c>
      <c r="CB179" s="20">
        <f t="shared" si="171"/>
        <v>1.2574858937744013</v>
      </c>
      <c r="CC179" s="59">
        <f t="shared" si="119"/>
        <v>290.377887367612</v>
      </c>
      <c r="CD179" s="59">
        <f ca="1">AVERAGE(OFFSET($CC$3,0,0,'Données projet'!$E$12+1,1))-AVERAGE(OFFSET($H$3,0,0,'Données projet'!$E$12+1,1))</f>
        <v>420.4890915162182</v>
      </c>
      <c r="CE179" s="59">
        <f t="shared" si="148"/>
        <v>553.48432338023565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33.852738934089629</v>
      </c>
      <c r="CL179" s="21">
        <f>EXP(-LN(2)/25)*CL178+(1-EXP(-LN(2)/25))/(LN(2)/25)*Calculateur!CG179*Calculateur!CI179*VLOOKUP('Données projet'!$B$12,Paramètres!$A$1:$I$89,3,0)*0.475*44/12</f>
        <v>0.88285361324640199</v>
      </c>
      <c r="CM179" s="21">
        <f>EXP(-LN(2)/2)*CM178+(1-EXP(-LN(2)/2))/(LN(2)/2)*CG179*CJ179*VLOOKUP('Données projet'!$B$12,Paramètres!$A$1:$I$89,3,0)*0.475*44/12</f>
        <v>7.8342133308254369E-23</v>
      </c>
      <c r="CN179" s="22">
        <f t="shared" si="172"/>
        <v>34.735592547336033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367.99999999999972</v>
      </c>
      <c r="CU179" s="17">
        <f>CT179*VLOOKUP('Données projet'!$B$13,Paramètres!$A$1:$I$89,3,0)*VLOOKUP('Données projet'!$B$13,Paramètres!$A$1:$I$89,5,0)</f>
        <v>269.8175999999998</v>
      </c>
      <c r="CV179" s="13">
        <f t="shared" si="173"/>
        <v>64.810557882019467</v>
      </c>
      <c r="CW179" s="20">
        <f t="shared" si="174"/>
        <v>582.81070831118348</v>
      </c>
      <c r="CX179" s="59">
        <f t="shared" si="122"/>
        <v>871.93110978502114</v>
      </c>
      <c r="CY179" s="59">
        <f ca="1">AVERAGE(OFFSET($CX$3,0,0,'Données projet'!$E$13+1,1))-AVERAGE(OFFSET($H$3,0,0,'Données projet'!$E$13+1,1))</f>
        <v>400.48995908576177</v>
      </c>
      <c r="CZ179" s="59">
        <f t="shared" si="150"/>
        <v>384.86917865380076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6.8841307649812311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6.8841307649812311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367.99999999999972</v>
      </c>
      <c r="DP179" s="17">
        <f>DO179*VLOOKUP('Données projet'!$B$14,Paramètres!$A$1:$I$89,3,0)*VLOOKUP('Données projet'!$B$14,Paramètres!$A$1:$I$89,5,0)</f>
        <v>292.78079999999977</v>
      </c>
      <c r="DQ179" s="13">
        <f t="shared" si="176"/>
        <v>69.660903052386217</v>
      </c>
      <c r="DR179" s="20">
        <f t="shared" si="177"/>
        <v>631.25263281623893</v>
      </c>
      <c r="DS179" s="59">
        <f t="shared" si="125"/>
        <v>920.37303429007648</v>
      </c>
      <c r="DT179" s="59">
        <f ca="1">AVERAGE(OFFSET($DS$3,0,0,'Données projet'!$E$14+1,1))-AVERAGE(OFFSET($H$3,0,0,'Données projet'!$E$14+1,1))</f>
        <v>429.30603040255431</v>
      </c>
      <c r="DU179" s="59">
        <f t="shared" si="152"/>
        <v>412.18613903804726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9.2072268469788554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9.2072268469788554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210.25641025641013</v>
      </c>
      <c r="EK179" s="17">
        <f>EJ179*VLOOKUP('Données projet'!$B$15,Paramètres!$A$1:$I$89,3,0)*VLOOKUP('Données projet'!$B$15,Paramètres!$A$1:$I$89,5,0)</f>
        <v>163.99999999999991</v>
      </c>
      <c r="EL179" s="13">
        <f t="shared" si="179"/>
        <v>41.743425908362248</v>
      </c>
      <c r="EM179" s="20">
        <f t="shared" si="180"/>
        <v>358.33646679039742</v>
      </c>
      <c r="EN179" s="59">
        <f t="shared" si="128"/>
        <v>647.45686826423503</v>
      </c>
      <c r="EO179" s="59">
        <f ca="1">AVERAGE(OFFSET($EN$3,0,0,'Données projet'!$E$15+1,1))-AVERAGE(OFFSET($H$3,0,0,'Données projet'!$E$15+1,1))</f>
        <v>217.53602321474159</v>
      </c>
      <c r="EP179" s="59">
        <f t="shared" si="154"/>
        <v>215.75909414893025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3.8801057804957639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3.8801057804957639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19.8100000000004</v>
      </c>
      <c r="FF179" s="17">
        <f>FE179*VLOOKUP('Données projet'!$B$16,Paramètres!$A$1:$I$89,3,0)*VLOOKUP('Données projet'!$B$16,Paramètres!$A$1:$I$89,5,0)</f>
        <v>13.288548000000269</v>
      </c>
      <c r="FG179" s="13">
        <f t="shared" si="182"/>
        <v>4.531654695205642</v>
      </c>
      <c r="FH179" s="20">
        <f t="shared" si="183"/>
        <v>31.036853027483627</v>
      </c>
      <c r="FI179" s="59">
        <f t="shared" si="131"/>
        <v>320.15725450132123</v>
      </c>
      <c r="FJ179" s="59">
        <f ca="1">AVERAGE(OFFSET($FI$3,0,0,'Données projet'!$E$16+1,1))-AVERAGE(OFFSET($H$3,0,0,'Données projet'!$E$16+1,1))</f>
        <v>441.20130048888439</v>
      </c>
      <c r="FK179" s="59">
        <f t="shared" si="156"/>
        <v>237.47732532183946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103.85298237696935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103.85298237696935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204.00000000000017</v>
      </c>
      <c r="GA179" s="17">
        <f>FZ179*VLOOKUP('Données projet'!$B$17,Paramètres!$A$1:$I$89,3,0)*VLOOKUP('Données projet'!$B$17,Paramètres!$A$1:$I$89,5,0)</f>
        <v>133.66080000000011</v>
      </c>
      <c r="GB179" s="13">
        <f t="shared" si="185"/>
        <v>34.840890682716783</v>
      </c>
      <c r="GC179" s="20">
        <f t="shared" si="186"/>
        <v>293.4737779390652</v>
      </c>
      <c r="GD179" s="59">
        <f t="shared" si="134"/>
        <v>582.5941794129028</v>
      </c>
      <c r="GE179" s="59">
        <f ca="1">AVERAGE(OFFSET($GD$3,0,0,'Données projet'!$E$17+1,1))-AVERAGE(OFFSET($H$3,0,0,'Données projet'!$E$17+1,1))</f>
        <v>257.66104339896992</v>
      </c>
      <c r="GF179" s="59">
        <f t="shared" si="158"/>
        <v>254.79488636184996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7.1773492576022155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7.1773492576022155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234.00000000000003</v>
      </c>
      <c r="GV179" s="17">
        <f>GU179*VLOOKUP('Données projet'!$B$18,Paramètres!$A$1:$I$89,3,0)*VLOOKUP('Données projet'!$B$18,Paramètres!$A$1:$I$89,5,0)</f>
        <v>189.82080000000005</v>
      </c>
      <c r="GW179" s="13">
        <f t="shared" si="188"/>
        <v>47.500332100049796</v>
      </c>
      <c r="GX179" s="20">
        <f t="shared" si="189"/>
        <v>413.33430507425345</v>
      </c>
      <c r="GY179" s="59">
        <f t="shared" si="137"/>
        <v>702.45470654809105</v>
      </c>
      <c r="GZ179" s="59">
        <f ca="1">AVERAGE(OFFSET($GY$3,0,0,'Données projet'!$E$18+1,1))-AVERAGE(OFFSET($H$3,0,0,'Données projet'!$E$18+1,1))</f>
        <v>299.98377156721153</v>
      </c>
      <c r="HA179" s="59">
        <f t="shared" si="160"/>
        <v>241.36164657721102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6.9149413215327566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6.9149413215327566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19.8100000000004</v>
      </c>
      <c r="O180" s="13">
        <f>N180*VLOOKUP('Données projet'!$B$9,Paramètres!$A$1:$I$89,3,0)*VLOOKUP('Données projet'!$B$9,Paramètres!$A$1:$I$89,5,0)</f>
        <v>17.924088000000364</v>
      </c>
      <c r="P180" s="13">
        <f t="shared" si="141"/>
        <v>5.9032212091029486</v>
      </c>
      <c r="Q180" s="20">
        <f t="shared" si="162"/>
        <v>41.499230205854936</v>
      </c>
      <c r="R180" s="59">
        <f t="shared" si="109"/>
        <v>330.69271662875019</v>
      </c>
      <c r="S180" s="59">
        <f ca="1">AVERAGE(OFFSET($R$3,0,0,'Données projet'!$E$9+1,1))-AVERAGE(OFFSET($H$3,0,0,'Données projet'!$E$9+1,1))</f>
        <v>567.42635821507474</v>
      </c>
      <c r="T180" s="59">
        <f t="shared" si="142"/>
        <v>299.04735309930152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111.42181786271793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111.42181786271793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474.99999999999994</v>
      </c>
      <c r="AJ180" s="13">
        <f>AI180*VLOOKUP('Données projet'!$B$10,Paramètres!$A$1:$I$89,3,0)*VLOOKUP('Données projet'!$B$10,Paramètres!$A$1:$I$89,5,0)</f>
        <v>407.55</v>
      </c>
      <c r="AK180" s="13">
        <f t="shared" si="164"/>
        <v>93.305642095357683</v>
      </c>
      <c r="AL180" s="20">
        <f t="shared" si="165"/>
        <v>872.32357664941446</v>
      </c>
      <c r="AM180" s="59">
        <f t="shared" si="113"/>
        <v>1161.5170630723096</v>
      </c>
      <c r="AN180" s="59">
        <f ca="1">AVERAGE(OFFSET($AM$3,0,0,'Données projet'!$E$10+1,1))-AVERAGE(OFFSET($H$3,0,0,'Données projet'!$E$10+1,1))</f>
        <v>569.97793593332699</v>
      </c>
      <c r="AO180" s="59">
        <f t="shared" si="144"/>
        <v>331.25104323342907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39.527487688207195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39.527487688207195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277.99999999999994</v>
      </c>
      <c r="BE180" s="13">
        <f>BD180*VLOOKUP('Données projet'!$B$11,Paramètres!$A$1:$I$89,3,0)*VLOOKUP('Données projet'!$B$11,Paramètres!$A$1:$I$89,5,0)</f>
        <v>151.78799999999998</v>
      </c>
      <c r="BF180" s="13">
        <f t="shared" si="167"/>
        <v>38.984634390835623</v>
      </c>
      <c r="BG180" s="20">
        <f t="shared" si="168"/>
        <v>332.26233823070532</v>
      </c>
      <c r="BH180" s="59">
        <f t="shared" si="116"/>
        <v>621.45582465360053</v>
      </c>
      <c r="BI180" s="59">
        <f ca="1">AVERAGE(OFFSET($BH$3,0,0,'Données projet'!$E$11+1,1))-AVERAGE(OFFSET($H$3,0,0,'Données projet'!$E$11+1,1))</f>
        <v>215.37314197175104</v>
      </c>
      <c r="BJ180" s="59">
        <f t="shared" si="146"/>
        <v>361.17630426655978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1.9971591447196735</v>
      </c>
      <c r="BQ180" s="21">
        <f>EXP(-LN(2)/25)*BQ179+(1-EXP(-LN(2)/25))/(LN(2)/25)*Calculateur!BL180*Calculateur!BN180*VLOOKUP('Données projet'!$B$11,Paramètres!$A$1:$I$89,3,0)*0.475*44/12</f>
        <v>1.6308064701568274</v>
      </c>
      <c r="BR180" s="21">
        <f>EXP(-LN(2)/2)*BR179+(1-EXP(-LN(2)/2))/(LN(2)/2)*BL180*BO180*VLOOKUP('Données projet'!$B$11,Paramètres!$A$1:$I$89,3,0)*0.475*44/12</f>
        <v>1.8983349098507138E-24</v>
      </c>
      <c r="BS180" s="22">
        <f t="shared" si="169"/>
        <v>3.6279656148765009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0.8600000000003547</v>
      </c>
      <c r="BZ180" s="13">
        <f>BY180*VLOOKUP('Données projet'!$B$12,Paramètres!$A$1:$I$89,3,0)*VLOOKUP('Données projet'!$B$12,Paramètres!$A$1:$I$89,5,0)</f>
        <v>0.48074000000019829</v>
      </c>
      <c r="CA180" s="13">
        <f t="shared" si="170"/>
        <v>0.24126147010950588</v>
      </c>
      <c r="CB180" s="20">
        <f t="shared" si="171"/>
        <v>1.2574858937744013</v>
      </c>
      <c r="CC180" s="59">
        <f t="shared" si="119"/>
        <v>290.45097231666966</v>
      </c>
      <c r="CD180" s="59">
        <f ca="1">AVERAGE(OFFSET($CC$3,0,0,'Données projet'!$E$12+1,1))-AVERAGE(OFFSET($H$3,0,0,'Données projet'!$E$12+1,1))</f>
        <v>420.4890915162182</v>
      </c>
      <c r="CE180" s="59">
        <f t="shared" si="148"/>
        <v>553.48432338023565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33.188907371724049</v>
      </c>
      <c r="CL180" s="21">
        <f>EXP(-LN(2)/25)*CL179+(1-EXP(-LN(2)/25))/(LN(2)/25)*Calculateur!CG180*Calculateur!CI180*VLOOKUP('Données projet'!$B$12,Paramètres!$A$1:$I$89,3,0)*0.475*44/12</f>
        <v>0.85871193476492536</v>
      </c>
      <c r="CM180" s="21">
        <f>EXP(-LN(2)/2)*CM179+(1-EXP(-LN(2)/2))/(LN(2)/2)*CG180*CJ180*VLOOKUP('Données projet'!$B$12,Paramètres!$A$1:$I$89,3,0)*0.475*44/12</f>
        <v>5.5396253714887157E-23</v>
      </c>
      <c r="CN180" s="22">
        <f t="shared" si="172"/>
        <v>34.047619306488976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367.99999999999972</v>
      </c>
      <c r="CU180" s="17">
        <f>CT180*VLOOKUP('Données projet'!$B$13,Paramètres!$A$1:$I$89,3,0)*VLOOKUP('Données projet'!$B$13,Paramètres!$A$1:$I$89,5,0)</f>
        <v>269.8175999999998</v>
      </c>
      <c r="CV180" s="13">
        <f t="shared" si="173"/>
        <v>64.810557882019467</v>
      </c>
      <c r="CW180" s="20">
        <f t="shared" si="174"/>
        <v>582.81070831118348</v>
      </c>
      <c r="CX180" s="59">
        <f t="shared" si="122"/>
        <v>872.00419473407874</v>
      </c>
      <c r="CY180" s="59">
        <f ca="1">AVERAGE(OFFSET($CX$3,0,0,'Données projet'!$E$13+1,1))-AVERAGE(OFFSET($H$3,0,0,'Données projet'!$E$13+1,1))</f>
        <v>400.48995908576177</v>
      </c>
      <c r="CZ180" s="59">
        <f t="shared" si="150"/>
        <v>384.86917865380076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6.749137159585108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6.749137159585108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367.99999999999972</v>
      </c>
      <c r="DP180" s="17">
        <f>DO180*VLOOKUP('Données projet'!$B$14,Paramètres!$A$1:$I$89,3,0)*VLOOKUP('Données projet'!$B$14,Paramètres!$A$1:$I$89,5,0)</f>
        <v>292.78079999999977</v>
      </c>
      <c r="DQ180" s="13">
        <f t="shared" si="176"/>
        <v>69.660903052386217</v>
      </c>
      <c r="DR180" s="20">
        <f t="shared" si="177"/>
        <v>631.25263281623893</v>
      </c>
      <c r="DS180" s="59">
        <f t="shared" si="125"/>
        <v>920.44611923913419</v>
      </c>
      <c r="DT180" s="59">
        <f ca="1">AVERAGE(OFFSET($DS$3,0,0,'Données projet'!$E$14+1,1))-AVERAGE(OFFSET($H$3,0,0,'Données projet'!$E$14+1,1))</f>
        <v>429.30603040255431</v>
      </c>
      <c r="DU180" s="59">
        <f t="shared" si="152"/>
        <v>412.18613903804726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9.0266787443634566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9.0266787443634566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210.25641025641013</v>
      </c>
      <c r="EK180" s="17">
        <f>EJ180*VLOOKUP('Données projet'!$B$15,Paramètres!$A$1:$I$89,3,0)*VLOOKUP('Données projet'!$B$15,Paramètres!$A$1:$I$89,5,0)</f>
        <v>163.99999999999991</v>
      </c>
      <c r="EL180" s="13">
        <f t="shared" si="179"/>
        <v>41.743425908362248</v>
      </c>
      <c r="EM180" s="20">
        <f t="shared" si="180"/>
        <v>358.33646679039742</v>
      </c>
      <c r="EN180" s="59">
        <f t="shared" si="128"/>
        <v>647.52995321329263</v>
      </c>
      <c r="EO180" s="59">
        <f ca="1">AVERAGE(OFFSET($EN$3,0,0,'Données projet'!$E$15+1,1))-AVERAGE(OFFSET($H$3,0,0,'Données projet'!$E$15+1,1))</f>
        <v>217.53602321474159</v>
      </c>
      <c r="EP180" s="59">
        <f t="shared" si="154"/>
        <v>215.75909414893025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3.8040192727710829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3.8040192727710829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19.8100000000004</v>
      </c>
      <c r="FF180" s="17">
        <f>FE180*VLOOKUP('Données projet'!$B$16,Paramètres!$A$1:$I$89,3,0)*VLOOKUP('Données projet'!$B$16,Paramètres!$A$1:$I$89,5,0)</f>
        <v>13.288548000000269</v>
      </c>
      <c r="FG180" s="13">
        <f t="shared" si="182"/>
        <v>4.531654695205642</v>
      </c>
      <c r="FH180" s="20">
        <f t="shared" si="183"/>
        <v>31.036853027483627</v>
      </c>
      <c r="FI180" s="59">
        <f t="shared" si="131"/>
        <v>320.23033945037889</v>
      </c>
      <c r="FJ180" s="59">
        <f ca="1">AVERAGE(OFFSET($FI$3,0,0,'Données projet'!$E$16+1,1))-AVERAGE(OFFSET($H$3,0,0,'Données projet'!$E$16+1,1))</f>
        <v>441.20130048888439</v>
      </c>
      <c r="FK180" s="59">
        <f t="shared" si="156"/>
        <v>237.47732532183946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101.81648873662152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101.81648873662152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204.00000000000017</v>
      </c>
      <c r="GA180" s="17">
        <f>FZ180*VLOOKUP('Données projet'!$B$17,Paramètres!$A$1:$I$89,3,0)*VLOOKUP('Données projet'!$B$17,Paramètres!$A$1:$I$89,5,0)</f>
        <v>133.66080000000011</v>
      </c>
      <c r="GB180" s="13">
        <f t="shared" si="185"/>
        <v>34.840890682716783</v>
      </c>
      <c r="GC180" s="20">
        <f t="shared" si="186"/>
        <v>293.4737779390652</v>
      </c>
      <c r="GD180" s="59">
        <f t="shared" si="134"/>
        <v>582.66726436196041</v>
      </c>
      <c r="GE180" s="59">
        <f ca="1">AVERAGE(OFFSET($GD$3,0,0,'Données projet'!$E$17+1,1))-AVERAGE(OFFSET($H$3,0,0,'Données projet'!$E$17+1,1))</f>
        <v>257.66104339896992</v>
      </c>
      <c r="GF180" s="59">
        <f t="shared" si="158"/>
        <v>254.79488636184996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7.0366058164114165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7.0366058164114165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234.00000000000003</v>
      </c>
      <c r="GV180" s="17">
        <f>GU180*VLOOKUP('Données projet'!$B$18,Paramètres!$A$1:$I$89,3,0)*VLOOKUP('Données projet'!$B$18,Paramètres!$A$1:$I$89,5,0)</f>
        <v>189.82080000000005</v>
      </c>
      <c r="GW180" s="13">
        <f t="shared" si="188"/>
        <v>47.500332100049796</v>
      </c>
      <c r="GX180" s="20">
        <f t="shared" si="189"/>
        <v>413.33430507425345</v>
      </c>
      <c r="GY180" s="59">
        <f t="shared" si="137"/>
        <v>702.52779149714866</v>
      </c>
      <c r="GZ180" s="59">
        <f ca="1">AVERAGE(OFFSET($GY$3,0,0,'Données projet'!$E$18+1,1))-AVERAGE(OFFSET($H$3,0,0,'Données projet'!$E$18+1,1))</f>
        <v>299.98377156721153</v>
      </c>
      <c r="HA180" s="59">
        <f t="shared" si="160"/>
        <v>241.36164657721102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6.7793435399152422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6.7793435399152422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19.8100000000004</v>
      </c>
      <c r="O181" s="13">
        <f>N181*VLOOKUP('Données projet'!$B$9,Paramètres!$A$1:$I$89,3,0)*VLOOKUP('Données projet'!$B$9,Paramètres!$A$1:$I$89,5,0)</f>
        <v>17.924088000000364</v>
      </c>
      <c r="P181" s="13">
        <f t="shared" si="141"/>
        <v>5.9032212091029486</v>
      </c>
      <c r="Q181" s="20">
        <f t="shared" si="162"/>
        <v>41.499230205854936</v>
      </c>
      <c r="R181" s="59">
        <f t="shared" si="109"/>
        <v>330.7645337173351</v>
      </c>
      <c r="S181" s="59">
        <f ca="1">AVERAGE(OFFSET($R$3,0,0,'Données projet'!$E$9+1,1))-AVERAGE(OFFSET($H$3,0,0,'Données projet'!$E$9+1,1))</f>
        <v>567.42635821507474</v>
      </c>
      <c r="T181" s="59">
        <f t="shared" si="142"/>
        <v>299.04735309930152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109.23690397502837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109.23690397502837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474.99999999999994</v>
      </c>
      <c r="AJ181" s="13">
        <f>AI181*VLOOKUP('Données projet'!$B$10,Paramètres!$A$1:$I$89,3,0)*VLOOKUP('Données projet'!$B$10,Paramètres!$A$1:$I$89,5,0)</f>
        <v>407.55</v>
      </c>
      <c r="AK181" s="13">
        <f t="shared" si="164"/>
        <v>93.305642095357683</v>
      </c>
      <c r="AL181" s="20">
        <f t="shared" si="165"/>
        <v>872.32357664941446</v>
      </c>
      <c r="AM181" s="59">
        <f t="shared" si="113"/>
        <v>1161.5888801608946</v>
      </c>
      <c r="AN181" s="59">
        <f ca="1">AVERAGE(OFFSET($AM$3,0,0,'Données projet'!$E$10+1,1))-AVERAGE(OFFSET($H$3,0,0,'Données projet'!$E$10+1,1))</f>
        <v>569.97793593332699</v>
      </c>
      <c r="AO181" s="59">
        <f t="shared" si="144"/>
        <v>331.25104323342907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38.752377764028338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38.752377764028338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277.99999999999994</v>
      </c>
      <c r="BE181" s="13">
        <f>BD181*VLOOKUP('Données projet'!$B$11,Paramètres!$A$1:$I$89,3,0)*VLOOKUP('Données projet'!$B$11,Paramètres!$A$1:$I$89,5,0)</f>
        <v>151.78799999999998</v>
      </c>
      <c r="BF181" s="13">
        <f t="shared" si="167"/>
        <v>38.984634390835623</v>
      </c>
      <c r="BG181" s="20">
        <f t="shared" si="168"/>
        <v>332.26233823070532</v>
      </c>
      <c r="BH181" s="59">
        <f t="shared" si="116"/>
        <v>621.52764174218555</v>
      </c>
      <c r="BI181" s="59">
        <f ca="1">AVERAGE(OFFSET($BH$3,0,0,'Données projet'!$E$11+1,1))-AVERAGE(OFFSET($H$3,0,0,'Données projet'!$E$11+1,1))</f>
        <v>215.37314197175104</v>
      </c>
      <c r="BJ181" s="59">
        <f t="shared" si="146"/>
        <v>361.17630426655978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1.957996072038517</v>
      </c>
      <c r="BQ181" s="21">
        <f>EXP(-LN(2)/25)*BQ180+(1-EXP(-LN(2)/25))/(LN(2)/25)*Calculateur!BL181*Calculateur!BN181*VLOOKUP('Données projet'!$B$11,Paramètres!$A$1:$I$89,3,0)*0.475*44/12</f>
        <v>1.586211981470004</v>
      </c>
      <c r="BR181" s="21">
        <f>EXP(-LN(2)/2)*BR180+(1-EXP(-LN(2)/2))/(LN(2)/2)*BL181*BO181*VLOOKUP('Données projet'!$B$11,Paramètres!$A$1:$I$89,3,0)*0.475*44/12</f>
        <v>1.3423254877185932E-24</v>
      </c>
      <c r="BS181" s="22">
        <f t="shared" si="169"/>
        <v>3.544208053508521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0.8600000000003547</v>
      </c>
      <c r="BZ181" s="13">
        <f>BY181*VLOOKUP('Données projet'!$B$12,Paramètres!$A$1:$I$89,3,0)*VLOOKUP('Données projet'!$B$12,Paramètres!$A$1:$I$89,5,0)</f>
        <v>0.48074000000019829</v>
      </c>
      <c r="CA181" s="13">
        <f t="shared" si="170"/>
        <v>0.24126147010950588</v>
      </c>
      <c r="CB181" s="20">
        <f t="shared" si="171"/>
        <v>1.2574858937744013</v>
      </c>
      <c r="CC181" s="59">
        <f t="shared" si="119"/>
        <v>290.52278940525457</v>
      </c>
      <c r="CD181" s="59">
        <f ca="1">AVERAGE(OFFSET($CC$3,0,0,'Données projet'!$E$12+1,1))-AVERAGE(OFFSET($H$3,0,0,'Données projet'!$E$12+1,1))</f>
        <v>420.4890915162182</v>
      </c>
      <c r="CE181" s="59">
        <f t="shared" si="148"/>
        <v>553.48432338023565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32.538093141399187</v>
      </c>
      <c r="CL181" s="21">
        <f>EXP(-LN(2)/25)*CL180+(1-EXP(-LN(2)/25))/(LN(2)/25)*Calculateur!CG181*Calculateur!CI181*VLOOKUP('Données projet'!$B$12,Paramètres!$A$1:$I$89,3,0)*0.475*44/12</f>
        <v>0.83523041175108048</v>
      </c>
      <c r="CM181" s="21">
        <f>EXP(-LN(2)/2)*CM180+(1-EXP(-LN(2)/2))/(LN(2)/2)*CG181*CJ181*VLOOKUP('Données projet'!$B$12,Paramètres!$A$1:$I$89,3,0)*0.475*44/12</f>
        <v>3.9171066654127185E-23</v>
      </c>
      <c r="CN181" s="22">
        <f t="shared" si="172"/>
        <v>33.373323553150271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367.99999999999972</v>
      </c>
      <c r="CU181" s="17">
        <f>CT181*VLOOKUP('Données projet'!$B$13,Paramètres!$A$1:$I$89,3,0)*VLOOKUP('Données projet'!$B$13,Paramètres!$A$1:$I$89,5,0)</f>
        <v>269.8175999999998</v>
      </c>
      <c r="CV181" s="13">
        <f t="shared" si="173"/>
        <v>64.810557882019467</v>
      </c>
      <c r="CW181" s="20">
        <f t="shared" si="174"/>
        <v>582.81070831118348</v>
      </c>
      <c r="CX181" s="59">
        <f t="shared" si="122"/>
        <v>872.07601182266365</v>
      </c>
      <c r="CY181" s="59">
        <f ca="1">AVERAGE(OFFSET($CX$3,0,0,'Données projet'!$E$13+1,1))-AVERAGE(OFFSET($H$3,0,0,'Données projet'!$E$13+1,1))</f>
        <v>400.48995908576177</v>
      </c>
      <c r="CZ181" s="59">
        <f t="shared" si="150"/>
        <v>384.86917865380076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6.616790696452834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6.616790696452834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367.99999999999972</v>
      </c>
      <c r="DP181" s="17">
        <f>DO181*VLOOKUP('Données projet'!$B$14,Paramètres!$A$1:$I$89,3,0)*VLOOKUP('Données projet'!$B$14,Paramètres!$A$1:$I$89,5,0)</f>
        <v>292.78079999999977</v>
      </c>
      <c r="DQ181" s="13">
        <f t="shared" si="176"/>
        <v>69.660903052386217</v>
      </c>
      <c r="DR181" s="20">
        <f t="shared" si="177"/>
        <v>631.25263281623893</v>
      </c>
      <c r="DS181" s="59">
        <f t="shared" si="125"/>
        <v>920.5179363277191</v>
      </c>
      <c r="DT181" s="59">
        <f ca="1">AVERAGE(OFFSET($DS$3,0,0,'Données projet'!$E$14+1,1))-AVERAGE(OFFSET($H$3,0,0,'Données projet'!$E$14+1,1))</f>
        <v>429.30603040255431</v>
      </c>
      <c r="DU181" s="59">
        <f t="shared" si="152"/>
        <v>412.18613903804726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8.8496710799168774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8.8496710799168774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210.25641025641013</v>
      </c>
      <c r="EK181" s="17">
        <f>EJ181*VLOOKUP('Données projet'!$B$15,Paramètres!$A$1:$I$89,3,0)*VLOOKUP('Données projet'!$B$15,Paramètres!$A$1:$I$89,5,0)</f>
        <v>163.99999999999991</v>
      </c>
      <c r="EL181" s="13">
        <f t="shared" si="179"/>
        <v>41.743425908362248</v>
      </c>
      <c r="EM181" s="20">
        <f t="shared" si="180"/>
        <v>358.33646679039742</v>
      </c>
      <c r="EN181" s="59">
        <f t="shared" si="128"/>
        <v>647.60177030187765</v>
      </c>
      <c r="EO181" s="59">
        <f ca="1">AVERAGE(OFFSET($EN$3,0,0,'Données projet'!$E$15+1,1))-AVERAGE(OFFSET($H$3,0,0,'Données projet'!$E$15+1,1))</f>
        <v>217.53602321474159</v>
      </c>
      <c r="EP181" s="59">
        <f t="shared" si="154"/>
        <v>215.75909414893025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3.7294247750546954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3.7294247750546954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19.8100000000004</v>
      </c>
      <c r="FF181" s="17">
        <f>FE181*VLOOKUP('Données projet'!$B$16,Paramètres!$A$1:$I$89,3,0)*VLOOKUP('Données projet'!$B$16,Paramètres!$A$1:$I$89,5,0)</f>
        <v>13.288548000000269</v>
      </c>
      <c r="FG181" s="13">
        <f t="shared" si="182"/>
        <v>4.531654695205642</v>
      </c>
      <c r="FH181" s="20">
        <f t="shared" si="183"/>
        <v>31.036853027483627</v>
      </c>
      <c r="FI181" s="59">
        <f t="shared" si="131"/>
        <v>320.3021565389638</v>
      </c>
      <c r="FJ181" s="59">
        <f ca="1">AVERAGE(OFFSET($FI$3,0,0,'Données projet'!$E$16+1,1))-AVERAGE(OFFSET($H$3,0,0,'Données projet'!$E$16+1,1))</f>
        <v>441.20130048888439</v>
      </c>
      <c r="FK181" s="59">
        <f t="shared" si="156"/>
        <v>237.47732532183946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99.819929494422453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99.819929494422453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204.00000000000017</v>
      </c>
      <c r="GA181" s="17">
        <f>FZ181*VLOOKUP('Données projet'!$B$17,Paramètres!$A$1:$I$89,3,0)*VLOOKUP('Données projet'!$B$17,Paramètres!$A$1:$I$89,5,0)</f>
        <v>133.66080000000011</v>
      </c>
      <c r="GB181" s="13">
        <f t="shared" si="185"/>
        <v>34.840890682716783</v>
      </c>
      <c r="GC181" s="20">
        <f t="shared" si="186"/>
        <v>293.4737779390652</v>
      </c>
      <c r="GD181" s="59">
        <f t="shared" si="134"/>
        <v>582.73908145054543</v>
      </c>
      <c r="GE181" s="59">
        <f ca="1">AVERAGE(OFFSET($GD$3,0,0,'Données projet'!$E$17+1,1))-AVERAGE(OFFSET($H$3,0,0,'Données projet'!$E$17+1,1))</f>
        <v>257.66104339896992</v>
      </c>
      <c r="GF181" s="59">
        <f t="shared" si="158"/>
        <v>254.79488636184996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6.8986222682573457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6.8986222682573457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234.00000000000003</v>
      </c>
      <c r="GV181" s="17">
        <f>GU181*VLOOKUP('Données projet'!$B$18,Paramètres!$A$1:$I$89,3,0)*VLOOKUP('Données projet'!$B$18,Paramètres!$A$1:$I$89,5,0)</f>
        <v>189.82080000000005</v>
      </c>
      <c r="GW181" s="13">
        <f t="shared" si="188"/>
        <v>47.500332100049796</v>
      </c>
      <c r="GX181" s="20">
        <f t="shared" si="189"/>
        <v>413.33430507425345</v>
      </c>
      <c r="GY181" s="59">
        <f t="shared" si="137"/>
        <v>702.59960858573368</v>
      </c>
      <c r="GZ181" s="59">
        <f ca="1">AVERAGE(OFFSET($GY$3,0,0,'Données projet'!$E$18+1,1))-AVERAGE(OFFSET($H$3,0,0,'Données projet'!$E$18+1,1))</f>
        <v>299.98377156721153</v>
      </c>
      <c r="HA181" s="59">
        <f t="shared" si="160"/>
        <v>241.36164657721102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6.6464047480887674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6.6464047480887674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19.8100000000004</v>
      </c>
      <c r="O182" s="13">
        <f>N182*VLOOKUP('Données projet'!$B$9,Paramètres!$A$1:$I$89,3,0)*VLOOKUP('Données projet'!$B$9,Paramètres!$A$1:$I$89,5,0)</f>
        <v>17.924088000000364</v>
      </c>
      <c r="P182" s="13">
        <f t="shared" si="141"/>
        <v>5.9032212091029486</v>
      </c>
      <c r="Q182" s="20">
        <f t="shared" si="162"/>
        <v>41.499230205854936</v>
      </c>
      <c r="R182" s="59">
        <f t="shared" si="109"/>
        <v>330.83510493999205</v>
      </c>
      <c r="S182" s="59">
        <f ca="1">AVERAGE(OFFSET($R$3,0,0,'Données projet'!$E$9+1,1))-AVERAGE(OFFSET($H$3,0,0,'Données projet'!$E$9+1,1))</f>
        <v>567.42635821507474</v>
      </c>
      <c r="T182" s="59">
        <f t="shared" si="142"/>
        <v>299.04735309930152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107.09483491601053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107.09483491601053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474.99999999999994</v>
      </c>
      <c r="AJ182" s="13">
        <f>AI182*VLOOKUP('Données projet'!$B$10,Paramètres!$A$1:$I$89,3,0)*VLOOKUP('Données projet'!$B$10,Paramètres!$A$1:$I$89,5,0)</f>
        <v>407.55</v>
      </c>
      <c r="AK182" s="13">
        <f t="shared" si="164"/>
        <v>93.305642095357683</v>
      </c>
      <c r="AL182" s="20">
        <f t="shared" si="165"/>
        <v>872.32357664941446</v>
      </c>
      <c r="AM182" s="59">
        <f t="shared" si="113"/>
        <v>1161.6594513835516</v>
      </c>
      <c r="AN182" s="59">
        <f ca="1">AVERAGE(OFFSET($AM$3,0,0,'Données projet'!$E$10+1,1))-AVERAGE(OFFSET($H$3,0,0,'Données projet'!$E$10+1,1))</f>
        <v>569.97793593332699</v>
      </c>
      <c r="AO182" s="59">
        <f t="shared" si="144"/>
        <v>331.25104323342907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37.992467272692259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37.992467272692259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277.99999999999994</v>
      </c>
      <c r="BE182" s="13">
        <f>BD182*VLOOKUP('Données projet'!$B$11,Paramètres!$A$1:$I$89,3,0)*VLOOKUP('Données projet'!$B$11,Paramètres!$A$1:$I$89,5,0)</f>
        <v>151.78799999999998</v>
      </c>
      <c r="BF182" s="13">
        <f t="shared" si="167"/>
        <v>38.984634390835623</v>
      </c>
      <c r="BG182" s="20">
        <f t="shared" si="168"/>
        <v>332.26233823070532</v>
      </c>
      <c r="BH182" s="59">
        <f t="shared" si="116"/>
        <v>621.59821296484245</v>
      </c>
      <c r="BI182" s="59">
        <f ca="1">AVERAGE(OFFSET($BH$3,0,0,'Données projet'!$E$11+1,1))-AVERAGE(OFFSET($H$3,0,0,'Données projet'!$E$11+1,1))</f>
        <v>215.37314197175104</v>
      </c>
      <c r="BJ182" s="59">
        <f t="shared" si="146"/>
        <v>361.17630426655978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1.9196009633255222</v>
      </c>
      <c r="BQ182" s="21">
        <f>EXP(-LN(2)/25)*BQ181+(1-EXP(-LN(2)/25))/(LN(2)/25)*Calculateur!BL182*Calculateur!BN182*VLOOKUP('Données projet'!$B$11,Paramètres!$A$1:$I$89,3,0)*0.475*44/12</f>
        <v>1.5428369314214438</v>
      </c>
      <c r="BR182" s="21">
        <f>EXP(-LN(2)/2)*BR181+(1-EXP(-LN(2)/2))/(LN(2)/2)*BL182*BO182*VLOOKUP('Données projet'!$B$11,Paramètres!$A$1:$I$89,3,0)*0.475*44/12</f>
        <v>9.4916745492535692E-25</v>
      </c>
      <c r="BS182" s="22">
        <f t="shared" si="169"/>
        <v>3.4624378947469658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0.8600000000003547</v>
      </c>
      <c r="BZ182" s="13">
        <f>BY182*VLOOKUP('Données projet'!$B$12,Paramètres!$A$1:$I$89,3,0)*VLOOKUP('Données projet'!$B$12,Paramètres!$A$1:$I$89,5,0)</f>
        <v>0.48074000000019829</v>
      </c>
      <c r="CA182" s="13">
        <f t="shared" si="170"/>
        <v>0.24126147010950588</v>
      </c>
      <c r="CB182" s="20">
        <f t="shared" si="171"/>
        <v>1.2574858937744013</v>
      </c>
      <c r="CC182" s="59">
        <f t="shared" si="119"/>
        <v>290.59336062791152</v>
      </c>
      <c r="CD182" s="59">
        <f ca="1">AVERAGE(OFFSET($CC$3,0,0,'Données projet'!$E$12+1,1))-AVERAGE(OFFSET($H$3,0,0,'Données projet'!$E$12+1,1))</f>
        <v>420.4890915162182</v>
      </c>
      <c r="CE182" s="59">
        <f t="shared" si="148"/>
        <v>553.48432338023565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31.900040981173508</v>
      </c>
      <c r="CL182" s="21">
        <f>EXP(-LN(2)/25)*CL181+(1-EXP(-LN(2)/25))/(LN(2)/25)*Calculateur!CG182*Calculateur!CI182*VLOOKUP('Données projet'!$B$12,Paramètres!$A$1:$I$89,3,0)*0.475*44/12</f>
        <v>0.81239099221888877</v>
      </c>
      <c r="CM182" s="21">
        <f>EXP(-LN(2)/2)*CM181+(1-EXP(-LN(2)/2))/(LN(2)/2)*CG182*CJ182*VLOOKUP('Données projet'!$B$12,Paramètres!$A$1:$I$89,3,0)*0.475*44/12</f>
        <v>2.7698126857443579E-23</v>
      </c>
      <c r="CN182" s="22">
        <f t="shared" si="172"/>
        <v>32.712431973392398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367.99999999999972</v>
      </c>
      <c r="CU182" s="17">
        <f>CT182*VLOOKUP('Données projet'!$B$13,Paramètres!$A$1:$I$89,3,0)*VLOOKUP('Données projet'!$B$13,Paramètres!$A$1:$I$89,5,0)</f>
        <v>269.8175999999998</v>
      </c>
      <c r="CV182" s="13">
        <f t="shared" si="173"/>
        <v>64.810557882019467</v>
      </c>
      <c r="CW182" s="20">
        <f t="shared" si="174"/>
        <v>582.81070831118348</v>
      </c>
      <c r="CX182" s="59">
        <f t="shared" si="122"/>
        <v>872.14658304532054</v>
      </c>
      <c r="CY182" s="59">
        <f ca="1">AVERAGE(OFFSET($CX$3,0,0,'Données projet'!$E$13+1,1))-AVERAGE(OFFSET($H$3,0,0,'Données projet'!$E$13+1,1))</f>
        <v>400.48995908576177</v>
      </c>
      <c r="CZ182" s="59">
        <f t="shared" si="150"/>
        <v>384.86917865380076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6.4870394667392119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6.4870394667392119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367.99999999999972</v>
      </c>
      <c r="DP182" s="17">
        <f>DO182*VLOOKUP('Données projet'!$B$14,Paramètres!$A$1:$I$89,3,0)*VLOOKUP('Données projet'!$B$14,Paramètres!$A$1:$I$89,5,0)</f>
        <v>292.78079999999977</v>
      </c>
      <c r="DQ182" s="13">
        <f t="shared" si="176"/>
        <v>69.660903052386217</v>
      </c>
      <c r="DR182" s="20">
        <f t="shared" si="177"/>
        <v>631.25263281623893</v>
      </c>
      <c r="DS182" s="59">
        <f t="shared" si="125"/>
        <v>920.58850755037611</v>
      </c>
      <c r="DT182" s="59">
        <f ca="1">AVERAGE(OFFSET($DS$3,0,0,'Données projet'!$E$14+1,1))-AVERAGE(OFFSET($H$3,0,0,'Données projet'!$E$14+1,1))</f>
        <v>429.30603040255431</v>
      </c>
      <c r="DU182" s="59">
        <f t="shared" si="152"/>
        <v>412.18613903804726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8.6761344278060815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8.6761344278060815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210.25641025641013</v>
      </c>
      <c r="EK182" s="17">
        <f>EJ182*VLOOKUP('Données projet'!$B$15,Paramètres!$A$1:$I$89,3,0)*VLOOKUP('Données projet'!$B$15,Paramètres!$A$1:$I$89,5,0)</f>
        <v>163.99999999999991</v>
      </c>
      <c r="EL182" s="13">
        <f t="shared" si="179"/>
        <v>41.743425908362248</v>
      </c>
      <c r="EM182" s="20">
        <f t="shared" si="180"/>
        <v>358.33646679039742</v>
      </c>
      <c r="EN182" s="59">
        <f t="shared" si="128"/>
        <v>647.67234152453454</v>
      </c>
      <c r="EO182" s="59">
        <f ca="1">AVERAGE(OFFSET($EN$3,0,0,'Données projet'!$E$15+1,1))-AVERAGE(OFFSET($H$3,0,0,'Données projet'!$E$15+1,1))</f>
        <v>217.53602321474159</v>
      </c>
      <c r="EP182" s="59">
        <f t="shared" si="154"/>
        <v>215.75909414893025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3.6562930299403753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3.6562930299403753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19.8100000000004</v>
      </c>
      <c r="FF182" s="17">
        <f>FE182*VLOOKUP('Données projet'!$B$16,Paramètres!$A$1:$I$89,3,0)*VLOOKUP('Données projet'!$B$16,Paramètres!$A$1:$I$89,5,0)</f>
        <v>13.288548000000269</v>
      </c>
      <c r="FG182" s="13">
        <f t="shared" si="182"/>
        <v>4.531654695205642</v>
      </c>
      <c r="FH182" s="20">
        <f t="shared" si="183"/>
        <v>31.036853027483627</v>
      </c>
      <c r="FI182" s="59">
        <f t="shared" si="131"/>
        <v>320.37272776162075</v>
      </c>
      <c r="FJ182" s="59">
        <f ca="1">AVERAGE(OFFSET($FI$3,0,0,'Données projet'!$E$16+1,1))-AVERAGE(OFFSET($H$3,0,0,'Données projet'!$E$16+1,1))</f>
        <v>441.20130048888439</v>
      </c>
      <c r="FK182" s="59">
        <f t="shared" si="156"/>
        <v>237.47732532183946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97.862521561182007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97.862521561182007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204.00000000000017</v>
      </c>
      <c r="GA182" s="17">
        <f>FZ182*VLOOKUP('Données projet'!$B$17,Paramètres!$A$1:$I$89,3,0)*VLOOKUP('Données projet'!$B$17,Paramètres!$A$1:$I$89,5,0)</f>
        <v>133.66080000000011</v>
      </c>
      <c r="GB182" s="13">
        <f t="shared" si="185"/>
        <v>34.840890682716783</v>
      </c>
      <c r="GC182" s="20">
        <f t="shared" si="186"/>
        <v>293.4737779390652</v>
      </c>
      <c r="GD182" s="59">
        <f t="shared" si="134"/>
        <v>582.80965267320232</v>
      </c>
      <c r="GE182" s="59">
        <f ca="1">AVERAGE(OFFSET($GD$3,0,0,'Données projet'!$E$17+1,1))-AVERAGE(OFFSET($H$3,0,0,'Données projet'!$E$17+1,1))</f>
        <v>257.66104339896992</v>
      </c>
      <c r="GF182" s="59">
        <f t="shared" si="158"/>
        <v>254.79488636184996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6.7633444933209228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6.7633444933209228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234.00000000000003</v>
      </c>
      <c r="GV182" s="17">
        <f>GU182*VLOOKUP('Données projet'!$B$18,Paramètres!$A$1:$I$89,3,0)*VLOOKUP('Données projet'!$B$18,Paramètres!$A$1:$I$89,5,0)</f>
        <v>189.82080000000005</v>
      </c>
      <c r="GW182" s="13">
        <f t="shared" si="188"/>
        <v>47.500332100049796</v>
      </c>
      <c r="GX182" s="20">
        <f t="shared" si="189"/>
        <v>413.33430507425345</v>
      </c>
      <c r="GY182" s="59">
        <f t="shared" si="137"/>
        <v>702.67017980839057</v>
      </c>
      <c r="GZ182" s="59">
        <f ca="1">AVERAGE(OFFSET($GY$3,0,0,'Données projet'!$E$18+1,1))-AVERAGE(OFFSET($H$3,0,0,'Données projet'!$E$18+1,1))</f>
        <v>299.98377156721153</v>
      </c>
      <c r="HA182" s="59">
        <f t="shared" si="160"/>
        <v>241.36164657721102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6.5160728048853533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6.5160728048853533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19.8100000000004</v>
      </c>
      <c r="O183" s="13">
        <f>N183*VLOOKUP('Données projet'!$B$9,Paramètres!$A$1:$I$89,3,0)*VLOOKUP('Données projet'!$B$9,Paramètres!$A$1:$I$89,5,0)</f>
        <v>17.924088000000364</v>
      </c>
      <c r="P183" s="13">
        <f t="shared" si="141"/>
        <v>5.9032212091029486</v>
      </c>
      <c r="Q183" s="20">
        <f t="shared" si="162"/>
        <v>41.499230205854936</v>
      </c>
      <c r="R183" s="59">
        <f t="shared" si="109"/>
        <v>330.90445190970956</v>
      </c>
      <c r="S183" s="59">
        <f ca="1">AVERAGE(OFFSET($R$3,0,0,'Données projet'!$E$9+1,1))-AVERAGE(OFFSET($H$3,0,0,'Données projet'!$E$9+1,1))</f>
        <v>567.42635821507474</v>
      </c>
      <c r="T183" s="59">
        <f t="shared" si="142"/>
        <v>299.04735309930152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104.99477052470691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104.99477052470691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474.99999999999994</v>
      </c>
      <c r="AJ183" s="13">
        <f>AI183*VLOOKUP('Données projet'!$B$10,Paramètres!$A$1:$I$89,3,0)*VLOOKUP('Données projet'!$B$10,Paramètres!$A$1:$I$89,5,0)</f>
        <v>407.55</v>
      </c>
      <c r="AK183" s="13">
        <f t="shared" si="164"/>
        <v>93.305642095357683</v>
      </c>
      <c r="AL183" s="20">
        <f t="shared" si="165"/>
        <v>872.32357664941446</v>
      </c>
      <c r="AM183" s="59">
        <f t="shared" si="113"/>
        <v>1161.7287983532692</v>
      </c>
      <c r="AN183" s="59">
        <f ca="1">AVERAGE(OFFSET($AM$3,0,0,'Données projet'!$E$10+1,1))-AVERAGE(OFFSET($H$3,0,0,'Données projet'!$E$10+1,1))</f>
        <v>569.97793593332699</v>
      </c>
      <c r="AO183" s="59">
        <f t="shared" si="144"/>
        <v>331.25104323342907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37.247458162591649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37.247458162591649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277.99999999999994</v>
      </c>
      <c r="BE183" s="13">
        <f>BD183*VLOOKUP('Données projet'!$B$11,Paramètres!$A$1:$I$89,3,0)*VLOOKUP('Données projet'!$B$11,Paramètres!$A$1:$I$89,5,0)</f>
        <v>151.78799999999998</v>
      </c>
      <c r="BF183" s="13">
        <f t="shared" si="167"/>
        <v>38.984634390835623</v>
      </c>
      <c r="BG183" s="20">
        <f t="shared" si="168"/>
        <v>332.26233823070532</v>
      </c>
      <c r="BH183" s="59">
        <f t="shared" si="116"/>
        <v>621.6675599345599</v>
      </c>
      <c r="BI183" s="59">
        <f ca="1">AVERAGE(OFFSET($BH$3,0,0,'Données projet'!$E$11+1,1))-AVERAGE(OFFSET($H$3,0,0,'Données projet'!$E$11+1,1))</f>
        <v>215.37314197175104</v>
      </c>
      <c r="BJ183" s="59">
        <f t="shared" si="146"/>
        <v>361.17630426655978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1.8819587592756855</v>
      </c>
      <c r="BQ183" s="21">
        <f>EXP(-LN(2)/25)*BQ182+(1-EXP(-LN(2)/25))/(LN(2)/25)*Calculateur!BL183*Calculateur!BN183*VLOOKUP('Données projet'!$B$11,Paramètres!$A$1:$I$89,3,0)*0.475*44/12</f>
        <v>1.5006479743974563</v>
      </c>
      <c r="BR183" s="21">
        <f>EXP(-LN(2)/2)*BR182+(1-EXP(-LN(2)/2))/(LN(2)/2)*BL183*BO183*VLOOKUP('Données projet'!$B$11,Paramètres!$A$1:$I$89,3,0)*0.475*44/12</f>
        <v>6.7116274385929659E-25</v>
      </c>
      <c r="BS183" s="22">
        <f t="shared" si="169"/>
        <v>3.3826067336731418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0.8600000000003547</v>
      </c>
      <c r="BZ183" s="13">
        <f>BY183*VLOOKUP('Données projet'!$B$12,Paramètres!$A$1:$I$89,3,0)*VLOOKUP('Données projet'!$B$12,Paramètres!$A$1:$I$89,5,0)</f>
        <v>0.48074000000019829</v>
      </c>
      <c r="CA183" s="13">
        <f t="shared" si="170"/>
        <v>0.24126147010950588</v>
      </c>
      <c r="CB183" s="20">
        <f t="shared" si="171"/>
        <v>1.2574858937744013</v>
      </c>
      <c r="CC183" s="59">
        <f t="shared" si="119"/>
        <v>290.66270759762904</v>
      </c>
      <c r="CD183" s="59">
        <f ca="1">AVERAGE(OFFSET($CC$3,0,0,'Données projet'!$E$12+1,1))-AVERAGE(OFFSET($H$3,0,0,'Données projet'!$E$12+1,1))</f>
        <v>420.4890915162182</v>
      </c>
      <c r="CE183" s="59">
        <f t="shared" si="148"/>
        <v>553.48432338023565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31.274500634636464</v>
      </c>
      <c r="CL183" s="21">
        <f>EXP(-LN(2)/25)*CL182+(1-EXP(-LN(2)/25))/(LN(2)/25)*Calculateur!CG183*Calculateur!CI183*VLOOKUP('Données projet'!$B$12,Paramètres!$A$1:$I$89,3,0)*0.475*44/12</f>
        <v>0.79017611781487773</v>
      </c>
      <c r="CM183" s="21">
        <f>EXP(-LN(2)/2)*CM182+(1-EXP(-LN(2)/2))/(LN(2)/2)*CG183*CJ183*VLOOKUP('Données projet'!$B$12,Paramètres!$A$1:$I$89,3,0)*0.475*44/12</f>
        <v>1.9585533327063592E-23</v>
      </c>
      <c r="CN183" s="22">
        <f t="shared" si="172"/>
        <v>32.064676752451341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367.99999999999972</v>
      </c>
      <c r="CU183" s="17">
        <f>CT183*VLOOKUP('Données projet'!$B$13,Paramètres!$A$1:$I$89,3,0)*VLOOKUP('Données projet'!$B$13,Paramètres!$A$1:$I$89,5,0)</f>
        <v>269.8175999999998</v>
      </c>
      <c r="CV183" s="13">
        <f t="shared" si="173"/>
        <v>64.810557882019467</v>
      </c>
      <c r="CW183" s="20">
        <f t="shared" si="174"/>
        <v>582.81070831118348</v>
      </c>
      <c r="CX183" s="59">
        <f t="shared" si="122"/>
        <v>872.21593001503811</v>
      </c>
      <c r="CY183" s="59">
        <f ca="1">AVERAGE(OFFSET($CX$3,0,0,'Données projet'!$E$13+1,1))-AVERAGE(OFFSET($H$3,0,0,'Données projet'!$E$13+1,1))</f>
        <v>400.48995908576177</v>
      </c>
      <c r="CZ183" s="59">
        <f t="shared" si="150"/>
        <v>384.86917865380076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6.3598325794998383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6.3598325794998383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367.99999999999972</v>
      </c>
      <c r="DP183" s="17">
        <f>DO183*VLOOKUP('Données projet'!$B$14,Paramètres!$A$1:$I$89,3,0)*VLOOKUP('Données projet'!$B$14,Paramètres!$A$1:$I$89,5,0)</f>
        <v>292.78079999999977</v>
      </c>
      <c r="DQ183" s="13">
        <f t="shared" si="176"/>
        <v>69.660903052386217</v>
      </c>
      <c r="DR183" s="20">
        <f t="shared" si="177"/>
        <v>631.25263281623893</v>
      </c>
      <c r="DS183" s="59">
        <f t="shared" si="125"/>
        <v>920.65785452009357</v>
      </c>
      <c r="DT183" s="59">
        <f ca="1">AVERAGE(OFFSET($DS$3,0,0,'Données projet'!$E$14+1,1))-AVERAGE(OFFSET($H$3,0,0,'Données projet'!$E$14+1,1))</f>
        <v>429.30603040255431</v>
      </c>
      <c r="DU183" s="59">
        <f t="shared" si="152"/>
        <v>412.18613903804726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8.5060007235962711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8.5060007235962711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210.25641025641013</v>
      </c>
      <c r="EK183" s="17">
        <f>EJ183*VLOOKUP('Données projet'!$B$15,Paramètres!$A$1:$I$89,3,0)*VLOOKUP('Données projet'!$B$15,Paramètres!$A$1:$I$89,5,0)</f>
        <v>163.99999999999991</v>
      </c>
      <c r="EL183" s="13">
        <f t="shared" si="179"/>
        <v>41.743425908362248</v>
      </c>
      <c r="EM183" s="20">
        <f t="shared" si="180"/>
        <v>358.33646679039742</v>
      </c>
      <c r="EN183" s="59">
        <f t="shared" si="128"/>
        <v>647.741688494252</v>
      </c>
      <c r="EO183" s="59">
        <f ca="1">AVERAGE(OFFSET($EN$3,0,0,'Données projet'!$E$15+1,1))-AVERAGE(OFFSET($H$3,0,0,'Données projet'!$E$15+1,1))</f>
        <v>217.53602321474159</v>
      </c>
      <c r="EP183" s="59">
        <f t="shared" si="154"/>
        <v>215.75909414893025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3.5845953537417867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3.5845953537417867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19.8100000000004</v>
      </c>
      <c r="FF183" s="17">
        <f>FE183*VLOOKUP('Données projet'!$B$16,Paramètres!$A$1:$I$89,3,0)*VLOOKUP('Données projet'!$B$16,Paramètres!$A$1:$I$89,5,0)</f>
        <v>13.288548000000269</v>
      </c>
      <c r="FG183" s="13">
        <f t="shared" si="182"/>
        <v>4.531654695205642</v>
      </c>
      <c r="FH183" s="20">
        <f t="shared" si="183"/>
        <v>31.036853027483627</v>
      </c>
      <c r="FI183" s="59">
        <f t="shared" si="131"/>
        <v>320.44207473133827</v>
      </c>
      <c r="FJ183" s="59">
        <f ca="1">AVERAGE(OFFSET($FI$3,0,0,'Données projet'!$E$16+1,1))-AVERAGE(OFFSET($H$3,0,0,'Données projet'!$E$16+1,1))</f>
        <v>441.20130048888439</v>
      </c>
      <c r="FK183" s="59">
        <f t="shared" si="156"/>
        <v>237.47732532183946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95.943497203611457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95.943497203611457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204.00000000000017</v>
      </c>
      <c r="GA183" s="17">
        <f>FZ183*VLOOKUP('Données projet'!$B$17,Paramètres!$A$1:$I$89,3,0)*VLOOKUP('Données projet'!$B$17,Paramètres!$A$1:$I$89,5,0)</f>
        <v>133.66080000000011</v>
      </c>
      <c r="GB183" s="13">
        <f t="shared" si="185"/>
        <v>34.840890682716783</v>
      </c>
      <c r="GC183" s="20">
        <f t="shared" si="186"/>
        <v>293.4737779390652</v>
      </c>
      <c r="GD183" s="59">
        <f t="shared" si="134"/>
        <v>582.87899964291978</v>
      </c>
      <c r="GE183" s="59">
        <f ca="1">AVERAGE(OFFSET($GD$3,0,0,'Données projet'!$E$17+1,1))-AVERAGE(OFFSET($H$3,0,0,'Données projet'!$E$17+1,1))</f>
        <v>257.66104339896992</v>
      </c>
      <c r="GF183" s="59">
        <f t="shared" si="158"/>
        <v>254.79488636184996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6.6307194330397072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6.6307194330397072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234.00000000000003</v>
      </c>
      <c r="GV183" s="17">
        <f>GU183*VLOOKUP('Données projet'!$B$18,Paramètres!$A$1:$I$89,3,0)*VLOOKUP('Données projet'!$B$18,Paramètres!$A$1:$I$89,5,0)</f>
        <v>189.82080000000005</v>
      </c>
      <c r="GW183" s="13">
        <f t="shared" si="188"/>
        <v>47.500332100049796</v>
      </c>
      <c r="GX183" s="20">
        <f t="shared" si="189"/>
        <v>413.33430507425345</v>
      </c>
      <c r="GY183" s="59">
        <f t="shared" si="137"/>
        <v>702.73952677810803</v>
      </c>
      <c r="GZ183" s="59">
        <f ca="1">AVERAGE(OFFSET($GY$3,0,0,'Données projet'!$E$18+1,1))-AVERAGE(OFFSET($H$3,0,0,'Données projet'!$E$18+1,1))</f>
        <v>299.98377156721153</v>
      </c>
      <c r="HA183" s="59">
        <f t="shared" si="160"/>
        <v>241.36164657721102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6.3882965915935221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6.3882965915935221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19.8100000000004</v>
      </c>
      <c r="O184" s="13">
        <f>N184*VLOOKUP('Données projet'!$B$9,Paramètres!$A$1:$I$89,3,0)*VLOOKUP('Données projet'!$B$9,Paramètres!$A$1:$I$89,5,0)</f>
        <v>17.924088000000364</v>
      </c>
      <c r="P184" s="13">
        <f t="shared" si="141"/>
        <v>5.9032212091029486</v>
      </c>
      <c r="Q184" s="20">
        <f t="shared" si="162"/>
        <v>41.499230205854936</v>
      </c>
      <c r="R184" s="59">
        <f t="shared" si="109"/>
        <v>330.97259586453902</v>
      </c>
      <c r="S184" s="59">
        <f ca="1">AVERAGE(OFFSET($R$3,0,0,'Données projet'!$E$9+1,1))-AVERAGE(OFFSET($H$3,0,0,'Données projet'!$E$9+1,1))</f>
        <v>567.42635821507474</v>
      </c>
      <c r="T184" s="59">
        <f t="shared" si="142"/>
        <v>299.04735309930152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102.93588711520395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102.93588711520395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474.99999999999994</v>
      </c>
      <c r="AJ184" s="13">
        <f>AI184*VLOOKUP('Données projet'!$B$10,Paramètres!$A$1:$I$89,3,0)*VLOOKUP('Données projet'!$B$10,Paramètres!$A$1:$I$89,5,0)</f>
        <v>407.55</v>
      </c>
      <c r="AK184" s="13">
        <f t="shared" si="164"/>
        <v>93.305642095357683</v>
      </c>
      <c r="AL184" s="20">
        <f t="shared" si="165"/>
        <v>872.32357664941446</v>
      </c>
      <c r="AM184" s="59">
        <f t="shared" si="113"/>
        <v>1161.7969423080986</v>
      </c>
      <c r="AN184" s="59">
        <f ca="1">AVERAGE(OFFSET($AM$3,0,0,'Données projet'!$E$10+1,1))-AVERAGE(OFFSET($H$3,0,0,'Données projet'!$E$10+1,1))</f>
        <v>569.97793593332699</v>
      </c>
      <c r="AO184" s="59">
        <f t="shared" si="144"/>
        <v>331.25104323342907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36.517058226729418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36.517058226729418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277.99999999999994</v>
      </c>
      <c r="BE184" s="13">
        <f>BD184*VLOOKUP('Données projet'!$B$11,Paramètres!$A$1:$I$89,3,0)*VLOOKUP('Données projet'!$B$11,Paramètres!$A$1:$I$89,5,0)</f>
        <v>151.78799999999998</v>
      </c>
      <c r="BF184" s="13">
        <f t="shared" si="167"/>
        <v>38.984634390835623</v>
      </c>
      <c r="BG184" s="20">
        <f t="shared" si="168"/>
        <v>332.26233823070532</v>
      </c>
      <c r="BH184" s="59">
        <f t="shared" si="116"/>
        <v>621.73570388938947</v>
      </c>
      <c r="BI184" s="59">
        <f ca="1">AVERAGE(OFFSET($BH$3,0,0,'Données projet'!$E$11+1,1))-AVERAGE(OFFSET($H$3,0,0,'Données projet'!$E$11+1,1))</f>
        <v>215.37314197175104</v>
      </c>
      <c r="BJ184" s="59">
        <f t="shared" si="146"/>
        <v>361.17630426655978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1.8450546958877885</v>
      </c>
      <c r="BQ184" s="21">
        <f>EXP(-LN(2)/25)*BQ183+(1-EXP(-LN(2)/25))/(LN(2)/25)*Calculateur!BL184*Calculateur!BN184*VLOOKUP('Données projet'!$B$11,Paramètres!$A$1:$I$89,3,0)*0.475*44/12</f>
        <v>1.4596126766219106</v>
      </c>
      <c r="BR184" s="21">
        <f>EXP(-LN(2)/2)*BR183+(1-EXP(-LN(2)/2))/(LN(2)/2)*BL184*BO184*VLOOKUP('Données projet'!$B$11,Paramètres!$A$1:$I$89,3,0)*0.475*44/12</f>
        <v>4.7458372746267846E-25</v>
      </c>
      <c r="BS184" s="22">
        <f t="shared" si="169"/>
        <v>3.3046673725096989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0.8600000000003547</v>
      </c>
      <c r="BZ184" s="13">
        <f>BY184*VLOOKUP('Données projet'!$B$12,Paramètres!$A$1:$I$89,3,0)*VLOOKUP('Données projet'!$B$12,Paramètres!$A$1:$I$89,5,0)</f>
        <v>0.48074000000019829</v>
      </c>
      <c r="CA184" s="13">
        <f t="shared" si="170"/>
        <v>0.24126147010950588</v>
      </c>
      <c r="CB184" s="20">
        <f t="shared" si="171"/>
        <v>1.2574858937744013</v>
      </c>
      <c r="CC184" s="59">
        <f t="shared" si="119"/>
        <v>290.73085155245849</v>
      </c>
      <c r="CD184" s="59">
        <f ca="1">AVERAGE(OFFSET($CC$3,0,0,'Données projet'!$E$12+1,1))-AVERAGE(OFFSET($H$3,0,0,'Données projet'!$E$12+1,1))</f>
        <v>420.4890915162182</v>
      </c>
      <c r="CE184" s="59">
        <f t="shared" si="148"/>
        <v>553.48432338023565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30.661226752753073</v>
      </c>
      <c r="CL184" s="21">
        <f>EXP(-LN(2)/25)*CL183+(1-EXP(-LN(2)/25))/(LN(2)/25)*Calculateur!CG184*Calculateur!CI184*VLOOKUP('Données projet'!$B$12,Paramètres!$A$1:$I$89,3,0)*0.475*44/12</f>
        <v>0.76856871031967389</v>
      </c>
      <c r="CM184" s="21">
        <f>EXP(-LN(2)/2)*CM183+(1-EXP(-LN(2)/2))/(LN(2)/2)*CG184*CJ184*VLOOKUP('Données projet'!$B$12,Paramètres!$A$1:$I$89,3,0)*0.475*44/12</f>
        <v>1.3849063428721789E-23</v>
      </c>
      <c r="CN184" s="22">
        <f t="shared" si="172"/>
        <v>31.429795463072747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367.99999999999972</v>
      </c>
      <c r="CU184" s="17">
        <f>CT184*VLOOKUP('Données projet'!$B$13,Paramètres!$A$1:$I$89,3,0)*VLOOKUP('Données projet'!$B$13,Paramètres!$A$1:$I$89,5,0)</f>
        <v>269.8175999999998</v>
      </c>
      <c r="CV184" s="13">
        <f t="shared" si="173"/>
        <v>64.810557882019467</v>
      </c>
      <c r="CW184" s="20">
        <f t="shared" si="174"/>
        <v>582.81070831118348</v>
      </c>
      <c r="CX184" s="59">
        <f t="shared" si="122"/>
        <v>872.28407396986756</v>
      </c>
      <c r="CY184" s="59">
        <f ca="1">AVERAGE(OFFSET($CX$3,0,0,'Données projet'!$E$13+1,1))-AVERAGE(OFFSET($H$3,0,0,'Données projet'!$E$13+1,1))</f>
        <v>400.48995908576177</v>
      </c>
      <c r="CZ184" s="59">
        <f t="shared" si="150"/>
        <v>384.86917865380076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6.2351201417306887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6.2351201417306887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367.99999999999972</v>
      </c>
      <c r="DP184" s="17">
        <f>DO184*VLOOKUP('Données projet'!$B$14,Paramètres!$A$1:$I$89,3,0)*VLOOKUP('Données projet'!$B$14,Paramètres!$A$1:$I$89,5,0)</f>
        <v>292.78079999999977</v>
      </c>
      <c r="DQ184" s="13">
        <f t="shared" si="176"/>
        <v>69.660903052386217</v>
      </c>
      <c r="DR184" s="20">
        <f t="shared" si="177"/>
        <v>631.25263281623893</v>
      </c>
      <c r="DS184" s="59">
        <f t="shared" si="125"/>
        <v>920.72599847492302</v>
      </c>
      <c r="DT184" s="59">
        <f ca="1">AVERAGE(OFFSET($DS$3,0,0,'Données projet'!$E$14+1,1))-AVERAGE(OFFSET($H$3,0,0,'Données projet'!$E$14+1,1))</f>
        <v>429.30603040255431</v>
      </c>
      <c r="DU184" s="59">
        <f t="shared" si="152"/>
        <v>412.18613903804726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8.3392032375547025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8.3392032375547025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210.25641025641013</v>
      </c>
      <c r="EK184" s="17">
        <f>EJ184*VLOOKUP('Données projet'!$B$15,Paramètres!$A$1:$I$89,3,0)*VLOOKUP('Données projet'!$B$15,Paramètres!$A$1:$I$89,5,0)</f>
        <v>163.99999999999991</v>
      </c>
      <c r="EL184" s="13">
        <f t="shared" si="179"/>
        <v>41.743425908362248</v>
      </c>
      <c r="EM184" s="20">
        <f t="shared" si="180"/>
        <v>358.33646679039742</v>
      </c>
      <c r="EN184" s="59">
        <f t="shared" si="128"/>
        <v>647.80983244908157</v>
      </c>
      <c r="EO184" s="59">
        <f ca="1">AVERAGE(OFFSET($EN$3,0,0,'Données projet'!$E$15+1,1))-AVERAGE(OFFSET($H$3,0,0,'Données projet'!$E$15+1,1))</f>
        <v>217.53602321474159</v>
      </c>
      <c r="EP184" s="59">
        <f t="shared" si="154"/>
        <v>215.75909414893025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3.5143036252421882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3.5143036252421882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19.8100000000004</v>
      </c>
      <c r="FF184" s="17">
        <f>FE184*VLOOKUP('Données projet'!$B$16,Paramètres!$A$1:$I$89,3,0)*VLOOKUP('Données projet'!$B$16,Paramètres!$A$1:$I$89,5,0)</f>
        <v>13.288548000000269</v>
      </c>
      <c r="FG184" s="13">
        <f t="shared" si="182"/>
        <v>4.531654695205642</v>
      </c>
      <c r="FH184" s="20">
        <f t="shared" si="183"/>
        <v>31.036853027483627</v>
      </c>
      <c r="FI184" s="59">
        <f t="shared" si="131"/>
        <v>320.51021868616772</v>
      </c>
      <c r="FJ184" s="59">
        <f ca="1">AVERAGE(OFFSET($FI$3,0,0,'Données projet'!$E$16+1,1))-AVERAGE(OFFSET($H$3,0,0,'Données projet'!$E$16+1,1))</f>
        <v>441.20130048888439</v>
      </c>
      <c r="FK184" s="59">
        <f t="shared" si="156"/>
        <v>237.47732532183946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94.062103743203579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94.062103743203579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204.00000000000017</v>
      </c>
      <c r="GA184" s="17">
        <f>FZ184*VLOOKUP('Données projet'!$B$17,Paramètres!$A$1:$I$89,3,0)*VLOOKUP('Données projet'!$B$17,Paramètres!$A$1:$I$89,5,0)</f>
        <v>133.66080000000011</v>
      </c>
      <c r="GB184" s="13">
        <f t="shared" si="185"/>
        <v>34.840890682716783</v>
      </c>
      <c r="GC184" s="20">
        <f t="shared" si="186"/>
        <v>293.4737779390652</v>
      </c>
      <c r="GD184" s="59">
        <f t="shared" si="134"/>
        <v>582.94714359774935</v>
      </c>
      <c r="GE184" s="59">
        <f ca="1">AVERAGE(OFFSET($GD$3,0,0,'Données projet'!$E$17+1,1))-AVERAGE(OFFSET($H$3,0,0,'Données projet'!$E$17+1,1))</f>
        <v>257.66104339896992</v>
      </c>
      <c r="GF184" s="59">
        <f t="shared" si="158"/>
        <v>254.79488636184996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6.5006950692973078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6.5006950692973078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234.00000000000003</v>
      </c>
      <c r="GV184" s="17">
        <f>GU184*VLOOKUP('Données projet'!$B$18,Paramètres!$A$1:$I$89,3,0)*VLOOKUP('Données projet'!$B$18,Paramètres!$A$1:$I$89,5,0)</f>
        <v>189.82080000000005</v>
      </c>
      <c r="GW184" s="13">
        <f t="shared" si="188"/>
        <v>47.500332100049796</v>
      </c>
      <c r="GX184" s="20">
        <f t="shared" si="189"/>
        <v>413.33430507425345</v>
      </c>
      <c r="GY184" s="59">
        <f t="shared" si="137"/>
        <v>702.80767073293759</v>
      </c>
      <c r="GZ184" s="59">
        <f ca="1">AVERAGE(OFFSET($GY$3,0,0,'Données projet'!$E$18+1,1))-AVERAGE(OFFSET($H$3,0,0,'Données projet'!$E$18+1,1))</f>
        <v>299.98377156721153</v>
      </c>
      <c r="HA184" s="59">
        <f t="shared" si="160"/>
        <v>241.36164657721102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6.2630259919085489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6.2630259919085489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19.8100000000004</v>
      </c>
      <c r="O185" s="13">
        <f>N185*VLOOKUP('Données projet'!$B$9,Paramètres!$A$1:$I$89,3,0)*VLOOKUP('Données projet'!$B$9,Paramètres!$A$1:$I$89,5,0)</f>
        <v>17.924088000000364</v>
      </c>
      <c r="P185" s="13">
        <f t="shared" si="141"/>
        <v>5.9032212091029486</v>
      </c>
      <c r="Q185" s="20">
        <f t="shared" si="162"/>
        <v>41.499230205854936</v>
      </c>
      <c r="R185" s="59">
        <f t="shared" si="109"/>
        <v>331.03955767409934</v>
      </c>
      <c r="S185" s="59">
        <f ca="1">AVERAGE(OFFSET($R$3,0,0,'Données projet'!$E$9+1,1))-AVERAGE(OFFSET($H$3,0,0,'Données projet'!$E$9+1,1))</f>
        <v>567.42635821507474</v>
      </c>
      <c r="T185" s="59">
        <f t="shared" si="142"/>
        <v>299.04735309930152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100.91737715356648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100.91737715356648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474.99999999999994</v>
      </c>
      <c r="AJ185" s="13">
        <f>AI185*VLOOKUP('Données projet'!$B$10,Paramètres!$A$1:$I$89,3,0)*VLOOKUP('Données projet'!$B$10,Paramètres!$A$1:$I$89,5,0)</f>
        <v>407.55</v>
      </c>
      <c r="AK185" s="13">
        <f t="shared" si="164"/>
        <v>93.305642095357683</v>
      </c>
      <c r="AL185" s="20">
        <f t="shared" si="165"/>
        <v>872.32357664941446</v>
      </c>
      <c r="AM185" s="59">
        <f t="shared" si="113"/>
        <v>1161.8639041176589</v>
      </c>
      <c r="AN185" s="59">
        <f ca="1">AVERAGE(OFFSET($AM$3,0,0,'Données projet'!$E$10+1,1))-AVERAGE(OFFSET($H$3,0,0,'Données projet'!$E$10+1,1))</f>
        <v>569.97793593332699</v>
      </c>
      <c r="AO185" s="59">
        <f t="shared" si="144"/>
        <v>331.25104323342907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35.800980988109472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35.800980988109472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277.99999999999994</v>
      </c>
      <c r="BE185" s="13">
        <f>BD185*VLOOKUP('Données projet'!$B$11,Paramètres!$A$1:$I$89,3,0)*VLOOKUP('Données projet'!$B$11,Paramètres!$A$1:$I$89,5,0)</f>
        <v>151.78799999999998</v>
      </c>
      <c r="BF185" s="13">
        <f t="shared" si="167"/>
        <v>38.984634390835623</v>
      </c>
      <c r="BG185" s="20">
        <f t="shared" si="168"/>
        <v>332.26233823070532</v>
      </c>
      <c r="BH185" s="59">
        <f t="shared" si="116"/>
        <v>621.8026656989498</v>
      </c>
      <c r="BI185" s="59">
        <f ca="1">AVERAGE(OFFSET($BH$3,0,0,'Données projet'!$E$11+1,1))-AVERAGE(OFFSET($H$3,0,0,'Données projet'!$E$11+1,1))</f>
        <v>215.37314197175104</v>
      </c>
      <c r="BJ185" s="59">
        <f t="shared" si="146"/>
        <v>361.17630426655978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1.8088742986736721</v>
      </c>
      <c r="BQ185" s="21">
        <f>EXP(-LN(2)/25)*BQ184+(1-EXP(-LN(2)/25))/(LN(2)/25)*Calculateur!BL185*Calculateur!BN185*VLOOKUP('Données projet'!$B$11,Paramètres!$A$1:$I$89,3,0)*0.475*44/12</f>
        <v>1.4196994912219898</v>
      </c>
      <c r="BR185" s="21">
        <f>EXP(-LN(2)/2)*BR184+(1-EXP(-LN(2)/2))/(LN(2)/2)*BL185*BO185*VLOOKUP('Données projet'!$B$11,Paramètres!$A$1:$I$89,3,0)*0.475*44/12</f>
        <v>3.3558137192964829E-25</v>
      </c>
      <c r="BS185" s="22">
        <f t="shared" si="169"/>
        <v>3.2285737898956617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0.8600000000003547</v>
      </c>
      <c r="BZ185" s="13">
        <f>BY185*VLOOKUP('Données projet'!$B$12,Paramètres!$A$1:$I$89,3,0)*VLOOKUP('Données projet'!$B$12,Paramètres!$A$1:$I$89,5,0)</f>
        <v>0.48074000000019829</v>
      </c>
      <c r="CA185" s="13">
        <f t="shared" si="170"/>
        <v>0.24126147010950588</v>
      </c>
      <c r="CB185" s="20">
        <f t="shared" si="171"/>
        <v>1.2574858937744013</v>
      </c>
      <c r="CC185" s="59">
        <f t="shared" si="119"/>
        <v>290.79781336201881</v>
      </c>
      <c r="CD185" s="59">
        <f ca="1">AVERAGE(OFFSET($CC$3,0,0,'Données projet'!$E$12+1,1))-AVERAGE(OFFSET($H$3,0,0,'Données projet'!$E$12+1,1))</f>
        <v>420.4890915162182</v>
      </c>
      <c r="CE185" s="59">
        <f t="shared" si="148"/>
        <v>553.48432338023565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30.059978797633285</v>
      </c>
      <c r="CL185" s="21">
        <f>EXP(-LN(2)/25)*CL184+(1-EXP(-LN(2)/25))/(LN(2)/25)*Calculateur!CG185*Calculateur!CI185*VLOOKUP('Données projet'!$B$12,Paramètres!$A$1:$I$89,3,0)*0.475*44/12</f>
        <v>0.74755215851871049</v>
      </c>
      <c r="CM185" s="21">
        <f>EXP(-LN(2)/2)*CM184+(1-EXP(-LN(2)/2))/(LN(2)/2)*CG185*CJ185*VLOOKUP('Données projet'!$B$12,Paramètres!$A$1:$I$89,3,0)*0.475*44/12</f>
        <v>9.7927666635317962E-24</v>
      </c>
      <c r="CN185" s="22">
        <f t="shared" si="172"/>
        <v>30.807530956151997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367.99999999999972</v>
      </c>
      <c r="CU185" s="17">
        <f>CT185*VLOOKUP('Données projet'!$B$13,Paramètres!$A$1:$I$89,3,0)*VLOOKUP('Données projet'!$B$13,Paramètres!$A$1:$I$89,5,0)</f>
        <v>269.8175999999998</v>
      </c>
      <c r="CV185" s="13">
        <f t="shared" si="173"/>
        <v>64.810557882019467</v>
      </c>
      <c r="CW185" s="20">
        <f t="shared" si="174"/>
        <v>582.81070831118348</v>
      </c>
      <c r="CX185" s="59">
        <f t="shared" si="122"/>
        <v>872.35103577942789</v>
      </c>
      <c r="CY185" s="59">
        <f ca="1">AVERAGE(OFFSET($CX$3,0,0,'Données projet'!$E$13+1,1))-AVERAGE(OFFSET($H$3,0,0,'Données projet'!$E$13+1,1))</f>
        <v>400.48995908576177</v>
      </c>
      <c r="CZ185" s="59">
        <f t="shared" si="150"/>
        <v>384.86917865380076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6.1128532387991168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6.1128532387991168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367.99999999999972</v>
      </c>
      <c r="DP185" s="17">
        <f>DO185*VLOOKUP('Données projet'!$B$14,Paramètres!$A$1:$I$89,3,0)*VLOOKUP('Données projet'!$B$14,Paramètres!$A$1:$I$89,5,0)</f>
        <v>292.78079999999977</v>
      </c>
      <c r="DQ185" s="13">
        <f t="shared" si="176"/>
        <v>69.660903052386217</v>
      </c>
      <c r="DR185" s="20">
        <f t="shared" si="177"/>
        <v>631.25263281623893</v>
      </c>
      <c r="DS185" s="59">
        <f t="shared" si="125"/>
        <v>920.79296028448334</v>
      </c>
      <c r="DT185" s="59">
        <f ca="1">AVERAGE(OFFSET($DS$3,0,0,'Données projet'!$E$14+1,1))-AVERAGE(OFFSET($H$3,0,0,'Données projet'!$E$14+1,1))</f>
        <v>429.30603040255431</v>
      </c>
      <c r="DU185" s="59">
        <f t="shared" si="152"/>
        <v>412.18613903804726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8.1756765484779876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8.1756765484779876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210.25641025641013</v>
      </c>
      <c r="EK185" s="17">
        <f>EJ185*VLOOKUP('Données projet'!$B$15,Paramètres!$A$1:$I$89,3,0)*VLOOKUP('Données projet'!$B$15,Paramètres!$A$1:$I$89,5,0)</f>
        <v>163.99999999999991</v>
      </c>
      <c r="EL185" s="13">
        <f t="shared" si="179"/>
        <v>41.743425908362248</v>
      </c>
      <c r="EM185" s="20">
        <f t="shared" si="180"/>
        <v>358.33646679039742</v>
      </c>
      <c r="EN185" s="59">
        <f t="shared" si="128"/>
        <v>647.87679425864189</v>
      </c>
      <c r="EO185" s="59">
        <f ca="1">AVERAGE(OFFSET($EN$3,0,0,'Données projet'!$E$15+1,1))-AVERAGE(OFFSET($H$3,0,0,'Données projet'!$E$15+1,1))</f>
        <v>217.53602321474159</v>
      </c>
      <c r="EP185" s="59">
        <f t="shared" si="154"/>
        <v>215.75909414893025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3.4453902746647458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3.4453902746647458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19.8100000000004</v>
      </c>
      <c r="FF185" s="17">
        <f>FE185*VLOOKUP('Données projet'!$B$16,Paramètres!$A$1:$I$89,3,0)*VLOOKUP('Données projet'!$B$16,Paramètres!$A$1:$I$89,5,0)</f>
        <v>13.288548000000269</v>
      </c>
      <c r="FG185" s="13">
        <f t="shared" si="182"/>
        <v>4.531654695205642</v>
      </c>
      <c r="FH185" s="20">
        <f t="shared" si="183"/>
        <v>31.036853027483627</v>
      </c>
      <c r="FI185" s="59">
        <f t="shared" si="131"/>
        <v>320.57718049572804</v>
      </c>
      <c r="FJ185" s="59">
        <f ca="1">AVERAGE(OFFSET($FI$3,0,0,'Données projet'!$E$16+1,1))-AVERAGE(OFFSET($H$3,0,0,'Données projet'!$E$16+1,1))</f>
        <v>441.20130048888439</v>
      </c>
      <c r="FK185" s="59">
        <f t="shared" si="156"/>
        <v>237.47732532183946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92.217603261017601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92.217603261017601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204.00000000000017</v>
      </c>
      <c r="GA185" s="17">
        <f>FZ185*VLOOKUP('Données projet'!$B$17,Paramètres!$A$1:$I$89,3,0)*VLOOKUP('Données projet'!$B$17,Paramètres!$A$1:$I$89,5,0)</f>
        <v>133.66080000000011</v>
      </c>
      <c r="GB185" s="13">
        <f t="shared" si="185"/>
        <v>34.840890682716783</v>
      </c>
      <c r="GC185" s="20">
        <f t="shared" si="186"/>
        <v>293.4737779390652</v>
      </c>
      <c r="GD185" s="59">
        <f t="shared" si="134"/>
        <v>583.01410540730967</v>
      </c>
      <c r="GE185" s="59">
        <f ca="1">AVERAGE(OFFSET($GD$3,0,0,'Données projet'!$E$17+1,1))-AVERAGE(OFFSET($H$3,0,0,'Données projet'!$E$17+1,1))</f>
        <v>257.66104339896992</v>
      </c>
      <c r="GF185" s="59">
        <f t="shared" si="158"/>
        <v>254.79488636184996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6.3732204040208655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6.3732204040208655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234.00000000000003</v>
      </c>
      <c r="GV185" s="17">
        <f>GU185*VLOOKUP('Données projet'!$B$18,Paramètres!$A$1:$I$89,3,0)*VLOOKUP('Données projet'!$B$18,Paramètres!$A$1:$I$89,5,0)</f>
        <v>189.82080000000005</v>
      </c>
      <c r="GW185" s="13">
        <f t="shared" si="188"/>
        <v>47.500332100049796</v>
      </c>
      <c r="GX185" s="20">
        <f t="shared" si="189"/>
        <v>413.33430507425345</v>
      </c>
      <c r="GY185" s="59">
        <f t="shared" si="137"/>
        <v>702.87463254249792</v>
      </c>
      <c r="GZ185" s="59">
        <f ca="1">AVERAGE(OFFSET($GY$3,0,0,'Données projet'!$E$18+1,1))-AVERAGE(OFFSET($H$3,0,0,'Données projet'!$E$18+1,1))</f>
        <v>299.98377156721153</v>
      </c>
      <c r="HA185" s="59">
        <f t="shared" si="160"/>
        <v>241.36164657721102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6.1402118722758772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6.1402118722758772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19.8100000000004</v>
      </c>
      <c r="O186" s="13">
        <f>N186*VLOOKUP('Données projet'!$B$9,Paramètres!$A$1:$I$89,3,0)*VLOOKUP('Données projet'!$B$9,Paramètres!$A$1:$I$89,5,0)</f>
        <v>17.924088000000364</v>
      </c>
      <c r="P186" s="13">
        <f t="shared" si="141"/>
        <v>5.9032212091029486</v>
      </c>
      <c r="Q186" s="20">
        <f t="shared" si="162"/>
        <v>41.499230205854936</v>
      </c>
      <c r="R186" s="59">
        <f t="shared" si="109"/>
        <v>331.10535784596789</v>
      </c>
      <c r="S186" s="59">
        <f ca="1">AVERAGE(OFFSET($R$3,0,0,'Données projet'!$E$9+1,1))-AVERAGE(OFFSET($H$3,0,0,'Données projet'!$E$9+1,1))</f>
        <v>567.42635821507474</v>
      </c>
      <c r="T186" s="59">
        <f t="shared" si="142"/>
        <v>299.04735309930152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98.938448941107197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98.938448941107197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474.99999999999994</v>
      </c>
      <c r="AJ186" s="13">
        <f>AI186*VLOOKUP('Données projet'!$B$10,Paramètres!$A$1:$I$89,3,0)*VLOOKUP('Données projet'!$B$10,Paramètres!$A$1:$I$89,5,0)</f>
        <v>407.55</v>
      </c>
      <c r="AK186" s="13">
        <f t="shared" si="164"/>
        <v>93.305642095357683</v>
      </c>
      <c r="AL186" s="20">
        <f t="shared" si="165"/>
        <v>872.32357664941446</v>
      </c>
      <c r="AM186" s="59">
        <f t="shared" si="113"/>
        <v>1161.9297042895273</v>
      </c>
      <c r="AN186" s="59">
        <f ca="1">AVERAGE(OFFSET($AM$3,0,0,'Données projet'!$E$10+1,1))-AVERAGE(OFFSET($H$3,0,0,'Données projet'!$E$10+1,1))</f>
        <v>569.97793593332699</v>
      </c>
      <c r="AO186" s="59">
        <f t="shared" si="144"/>
        <v>331.25104323342907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35.098945587374878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35.098945587374878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277.99999999999994</v>
      </c>
      <c r="BE186" s="13">
        <f>BD186*VLOOKUP('Données projet'!$B$11,Paramètres!$A$1:$I$89,3,0)*VLOOKUP('Données projet'!$B$11,Paramètres!$A$1:$I$89,5,0)</f>
        <v>151.78799999999998</v>
      </c>
      <c r="BF186" s="13">
        <f t="shared" si="167"/>
        <v>38.984634390835623</v>
      </c>
      <c r="BG186" s="20">
        <f t="shared" si="168"/>
        <v>332.26233823070532</v>
      </c>
      <c r="BH186" s="59">
        <f t="shared" si="116"/>
        <v>621.86846587081823</v>
      </c>
      <c r="BI186" s="59">
        <f ca="1">AVERAGE(OFFSET($BH$3,0,0,'Données projet'!$E$11+1,1))-AVERAGE(OFFSET($H$3,0,0,'Données projet'!$E$11+1,1))</f>
        <v>215.37314197175104</v>
      </c>
      <c r="BJ186" s="59">
        <f t="shared" si="146"/>
        <v>361.17630426655978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1.7734033769810613</v>
      </c>
      <c r="BQ186" s="21">
        <f>EXP(-LN(2)/25)*BQ185+(1-EXP(-LN(2)/25))/(LN(2)/25)*Calculateur!BL186*Calculateur!BN186*VLOOKUP('Données projet'!$B$11,Paramètres!$A$1:$I$89,3,0)*0.475*44/12</f>
        <v>1.380877733975773</v>
      </c>
      <c r="BR186" s="21">
        <f>EXP(-LN(2)/2)*BR185+(1-EXP(-LN(2)/2))/(LN(2)/2)*BL186*BO186*VLOOKUP('Données projet'!$B$11,Paramètres!$A$1:$I$89,3,0)*0.475*44/12</f>
        <v>2.3729186373133923E-25</v>
      </c>
      <c r="BS186" s="22">
        <f t="shared" si="169"/>
        <v>3.1542811109568341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0.8600000000003547</v>
      </c>
      <c r="BZ186" s="13">
        <f>BY186*VLOOKUP('Données projet'!$B$12,Paramètres!$A$1:$I$89,3,0)*VLOOKUP('Données projet'!$B$12,Paramètres!$A$1:$I$89,5,0)</f>
        <v>0.48074000000019829</v>
      </c>
      <c r="CA186" s="13">
        <f t="shared" si="170"/>
        <v>0.24126147010950588</v>
      </c>
      <c r="CB186" s="20">
        <f t="shared" si="171"/>
        <v>1.2574858937744013</v>
      </c>
      <c r="CC186" s="59">
        <f t="shared" si="119"/>
        <v>290.86361353388736</v>
      </c>
      <c r="CD186" s="59">
        <f ca="1">AVERAGE(OFFSET($CC$3,0,0,'Données projet'!$E$12+1,1))-AVERAGE(OFFSET($H$3,0,0,'Données projet'!$E$12+1,1))</f>
        <v>420.4890915162182</v>
      </c>
      <c r="CE186" s="59">
        <f t="shared" si="148"/>
        <v>553.48432338023565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29.470520948188355</v>
      </c>
      <c r="CL186" s="21">
        <f>EXP(-LN(2)/25)*CL185+(1-EXP(-LN(2)/25))/(LN(2)/25)*Calculateur!CG186*Calculateur!CI186*VLOOKUP('Données projet'!$B$12,Paramètres!$A$1:$I$89,3,0)*0.475*44/12</f>
        <v>0.72711030543195687</v>
      </c>
      <c r="CM186" s="21">
        <f>EXP(-LN(2)/2)*CM185+(1-EXP(-LN(2)/2))/(LN(2)/2)*CG186*CJ186*VLOOKUP('Données projet'!$B$12,Paramètres!$A$1:$I$89,3,0)*0.475*44/12</f>
        <v>6.9245317143608946E-24</v>
      </c>
      <c r="CN186" s="22">
        <f t="shared" si="172"/>
        <v>30.197631253620312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367.99999999999972</v>
      </c>
      <c r="CU186" s="17">
        <f>CT186*VLOOKUP('Données projet'!$B$13,Paramètres!$A$1:$I$89,3,0)*VLOOKUP('Données projet'!$B$13,Paramètres!$A$1:$I$89,5,0)</f>
        <v>269.8175999999998</v>
      </c>
      <c r="CV186" s="13">
        <f t="shared" si="173"/>
        <v>64.810557882019467</v>
      </c>
      <c r="CW186" s="20">
        <f t="shared" si="174"/>
        <v>582.81070831118348</v>
      </c>
      <c r="CX186" s="59">
        <f t="shared" si="122"/>
        <v>872.41683595129643</v>
      </c>
      <c r="CY186" s="59">
        <f ca="1">AVERAGE(OFFSET($CX$3,0,0,'Données projet'!$E$13+1,1))-AVERAGE(OFFSET($H$3,0,0,'Données projet'!$E$13+1,1))</f>
        <v>400.48995908576177</v>
      </c>
      <c r="CZ186" s="59">
        <f t="shared" si="150"/>
        <v>384.86917865380076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5.992983915258586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5.992983915258586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367.99999999999972</v>
      </c>
      <c r="DP186" s="17">
        <f>DO186*VLOOKUP('Données projet'!$B$14,Paramètres!$A$1:$I$89,3,0)*VLOOKUP('Données projet'!$B$14,Paramètres!$A$1:$I$89,5,0)</f>
        <v>292.78079999999977</v>
      </c>
      <c r="DQ186" s="13">
        <f t="shared" si="176"/>
        <v>69.660903052386217</v>
      </c>
      <c r="DR186" s="20">
        <f t="shared" si="177"/>
        <v>631.25263281623893</v>
      </c>
      <c r="DS186" s="59">
        <f t="shared" si="125"/>
        <v>920.85876045635189</v>
      </c>
      <c r="DT186" s="59">
        <f ca="1">AVERAGE(OFFSET($DS$3,0,0,'Données projet'!$E$14+1,1))-AVERAGE(OFFSET($H$3,0,0,'Données projet'!$E$14+1,1))</f>
        <v>429.30603040255431</v>
      </c>
      <c r="DU186" s="59">
        <f t="shared" si="152"/>
        <v>412.18613903804726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8.015356518032636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8.015356518032636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210.25641025641013</v>
      </c>
      <c r="EK186" s="17">
        <f>EJ186*VLOOKUP('Données projet'!$B$15,Paramètres!$A$1:$I$89,3,0)*VLOOKUP('Données projet'!$B$15,Paramètres!$A$1:$I$89,5,0)</f>
        <v>163.99999999999991</v>
      </c>
      <c r="EL186" s="13">
        <f t="shared" si="179"/>
        <v>41.743425908362248</v>
      </c>
      <c r="EM186" s="20">
        <f t="shared" si="180"/>
        <v>358.33646679039742</v>
      </c>
      <c r="EN186" s="59">
        <f t="shared" si="128"/>
        <v>647.94259443051033</v>
      </c>
      <c r="EO186" s="59">
        <f ca="1">AVERAGE(OFFSET($EN$3,0,0,'Données projet'!$E$15+1,1))-AVERAGE(OFFSET($H$3,0,0,'Données projet'!$E$15+1,1))</f>
        <v>217.53602321474159</v>
      </c>
      <c r="EP186" s="59">
        <f t="shared" si="154"/>
        <v>215.75909414893025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3.3778282728591336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3.3778282728591336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19.8100000000004</v>
      </c>
      <c r="FF186" s="17">
        <f>FE186*VLOOKUP('Données projet'!$B$16,Paramètres!$A$1:$I$89,3,0)*VLOOKUP('Données projet'!$B$16,Paramètres!$A$1:$I$89,5,0)</f>
        <v>13.288548000000269</v>
      </c>
      <c r="FG186" s="13">
        <f t="shared" si="182"/>
        <v>4.531654695205642</v>
      </c>
      <c r="FH186" s="20">
        <f t="shared" si="183"/>
        <v>31.036853027483627</v>
      </c>
      <c r="FI186" s="59">
        <f t="shared" si="131"/>
        <v>320.64298066759659</v>
      </c>
      <c r="FJ186" s="59">
        <f ca="1">AVERAGE(OFFSET($FI$3,0,0,'Données projet'!$E$16+1,1))-AVERAGE(OFFSET($H$3,0,0,'Données projet'!$E$16+1,1))</f>
        <v>441.20130048888439</v>
      </c>
      <c r="FK186" s="59">
        <f t="shared" si="156"/>
        <v>237.47732532183946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90.409272308253094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90.409272308253094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204.00000000000017</v>
      </c>
      <c r="GA186" s="17">
        <f>FZ186*VLOOKUP('Données projet'!$B$17,Paramètres!$A$1:$I$89,3,0)*VLOOKUP('Données projet'!$B$17,Paramètres!$A$1:$I$89,5,0)</f>
        <v>133.66080000000011</v>
      </c>
      <c r="GB186" s="13">
        <f t="shared" si="185"/>
        <v>34.840890682716783</v>
      </c>
      <c r="GC186" s="20">
        <f t="shared" si="186"/>
        <v>293.4737779390652</v>
      </c>
      <c r="GD186" s="59">
        <f t="shared" si="134"/>
        <v>583.0799055791781</v>
      </c>
      <c r="GE186" s="59">
        <f ca="1">AVERAGE(OFFSET($GD$3,0,0,'Données projet'!$E$17+1,1))-AVERAGE(OFFSET($H$3,0,0,'Données projet'!$E$17+1,1))</f>
        <v>257.66104339896992</v>
      </c>
      <c r="GF186" s="59">
        <f t="shared" si="158"/>
        <v>254.79488636184996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6.2482454391786257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6.2482454391786257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234.00000000000003</v>
      </c>
      <c r="GV186" s="17">
        <f>GU186*VLOOKUP('Données projet'!$B$18,Paramètres!$A$1:$I$89,3,0)*VLOOKUP('Données projet'!$B$18,Paramètres!$A$1:$I$89,5,0)</f>
        <v>189.82080000000005</v>
      </c>
      <c r="GW186" s="13">
        <f t="shared" si="188"/>
        <v>47.500332100049796</v>
      </c>
      <c r="GX186" s="20">
        <f t="shared" si="189"/>
        <v>413.33430507425345</v>
      </c>
      <c r="GY186" s="59">
        <f t="shared" si="137"/>
        <v>702.94043271436635</v>
      </c>
      <c r="GZ186" s="59">
        <f ca="1">AVERAGE(OFFSET($GY$3,0,0,'Données projet'!$E$18+1,1))-AVERAGE(OFFSET($H$3,0,0,'Données projet'!$E$18+1,1))</f>
        <v>299.98377156721153</v>
      </c>
      <c r="HA186" s="59">
        <f t="shared" si="160"/>
        <v>241.36164657721102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6.0198060626199856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6.0198060626199856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19.8100000000004</v>
      </c>
      <c r="O187" s="13">
        <f>N187*VLOOKUP('Données projet'!$B$9,Paramètres!$A$1:$I$89,3,0)*VLOOKUP('Données projet'!$B$9,Paramètres!$A$1:$I$89,5,0)</f>
        <v>17.924088000000364</v>
      </c>
      <c r="P187" s="13">
        <f t="shared" si="141"/>
        <v>5.9032212091029486</v>
      </c>
      <c r="Q187" s="20">
        <f t="shared" si="162"/>
        <v>41.499230205854936</v>
      </c>
      <c r="R187" s="59">
        <f t="shared" si="109"/>
        <v>331.17001653196166</v>
      </c>
      <c r="S187" s="59">
        <f ca="1">AVERAGE(OFFSET($R$3,0,0,'Données projet'!$E$9+1,1))-AVERAGE(OFFSET($H$3,0,0,'Données projet'!$E$9+1,1))</f>
        <v>567.42635821507474</v>
      </c>
      <c r="T187" s="59">
        <f t="shared" si="142"/>
        <v>299.04735309930152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96.998326303867216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96.998326303867216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474.99999999999994</v>
      </c>
      <c r="AJ187" s="13">
        <f>AI187*VLOOKUP('Données projet'!$B$10,Paramètres!$A$1:$I$89,3,0)*VLOOKUP('Données projet'!$B$10,Paramètres!$A$1:$I$89,5,0)</f>
        <v>407.55</v>
      </c>
      <c r="AK187" s="13">
        <f t="shared" si="164"/>
        <v>93.305642095357683</v>
      </c>
      <c r="AL187" s="20">
        <f t="shared" si="165"/>
        <v>872.32357664941446</v>
      </c>
      <c r="AM187" s="59">
        <f t="shared" si="113"/>
        <v>1161.9943629755212</v>
      </c>
      <c r="AN187" s="59">
        <f ca="1">AVERAGE(OFFSET($AM$3,0,0,'Données projet'!$E$10+1,1))-AVERAGE(OFFSET($H$3,0,0,'Données projet'!$E$10+1,1))</f>
        <v>569.97793593332699</v>
      </c>
      <c r="AO187" s="59">
        <f t="shared" si="144"/>
        <v>331.25104323342907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34.410676672649373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34.410676672649373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277.99999999999994</v>
      </c>
      <c r="BE187" s="13">
        <f>BD187*VLOOKUP('Données projet'!$B$11,Paramètres!$A$1:$I$89,3,0)*VLOOKUP('Données projet'!$B$11,Paramètres!$A$1:$I$89,5,0)</f>
        <v>151.78799999999998</v>
      </c>
      <c r="BF187" s="13">
        <f t="shared" si="167"/>
        <v>38.984634390835623</v>
      </c>
      <c r="BG187" s="20">
        <f t="shared" si="168"/>
        <v>332.26233823070532</v>
      </c>
      <c r="BH187" s="59">
        <f t="shared" si="116"/>
        <v>621.93312455681212</v>
      </c>
      <c r="BI187" s="59">
        <f ca="1">AVERAGE(OFFSET($BH$3,0,0,'Données projet'!$E$11+1,1))-AVERAGE(OFFSET($H$3,0,0,'Données projet'!$E$11+1,1))</f>
        <v>215.37314197175104</v>
      </c>
      <c r="BJ187" s="59">
        <f t="shared" si="146"/>
        <v>361.17630426655978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1.7386280184277167</v>
      </c>
      <c r="BQ187" s="21">
        <f>EXP(-LN(2)/25)*BQ186+(1-EXP(-LN(2)/25))/(LN(2)/25)*Calculateur!BL187*Calculateur!BN187*VLOOKUP('Données projet'!$B$11,Paramètres!$A$1:$I$89,3,0)*0.475*44/12</f>
        <v>1.3431175597230014</v>
      </c>
      <c r="BR187" s="21">
        <f>EXP(-LN(2)/2)*BR186+(1-EXP(-LN(2)/2))/(LN(2)/2)*BL187*BO187*VLOOKUP('Données projet'!$B$11,Paramètres!$A$1:$I$89,3,0)*0.475*44/12</f>
        <v>1.6779068596482415E-25</v>
      </c>
      <c r="BS187" s="22">
        <f t="shared" si="169"/>
        <v>3.0817455781507181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0.8600000000003547</v>
      </c>
      <c r="BZ187" s="13">
        <f>BY187*VLOOKUP('Données projet'!$B$12,Paramètres!$A$1:$I$89,3,0)*VLOOKUP('Données projet'!$B$12,Paramètres!$A$1:$I$89,5,0)</f>
        <v>0.48074000000019829</v>
      </c>
      <c r="CA187" s="13">
        <f t="shared" si="170"/>
        <v>0.24126147010950588</v>
      </c>
      <c r="CB187" s="20">
        <f t="shared" si="171"/>
        <v>1.2574858937744013</v>
      </c>
      <c r="CC187" s="59">
        <f t="shared" si="119"/>
        <v>290.92827221988114</v>
      </c>
      <c r="CD187" s="59">
        <f ca="1">AVERAGE(OFFSET($CC$3,0,0,'Données projet'!$E$12+1,1))-AVERAGE(OFFSET($H$3,0,0,'Données projet'!$E$12+1,1))</f>
        <v>420.4890915162182</v>
      </c>
      <c r="CE187" s="59">
        <f t="shared" si="148"/>
        <v>553.48432338023565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28.89262200763725</v>
      </c>
      <c r="CL187" s="21">
        <f>EXP(-LN(2)/25)*CL186+(1-EXP(-LN(2)/25))/(LN(2)/25)*Calculateur!CG187*Calculateur!CI187*VLOOKUP('Données projet'!$B$12,Paramètres!$A$1:$I$89,3,0)*0.475*44/12</f>
        <v>0.70722743589285086</v>
      </c>
      <c r="CM187" s="21">
        <f>EXP(-LN(2)/2)*CM186+(1-EXP(-LN(2)/2))/(LN(2)/2)*CG187*CJ187*VLOOKUP('Données projet'!$B$12,Paramètres!$A$1:$I$89,3,0)*0.475*44/12</f>
        <v>4.8963833317658981E-24</v>
      </c>
      <c r="CN187" s="22">
        <f t="shared" si="172"/>
        <v>29.599849443530101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367.99999999999972</v>
      </c>
      <c r="CU187" s="17">
        <f>CT187*VLOOKUP('Données projet'!$B$13,Paramètres!$A$1:$I$89,3,0)*VLOOKUP('Données projet'!$B$13,Paramètres!$A$1:$I$89,5,0)</f>
        <v>269.8175999999998</v>
      </c>
      <c r="CV187" s="13">
        <f t="shared" si="173"/>
        <v>64.810557882019467</v>
      </c>
      <c r="CW187" s="20">
        <f t="shared" si="174"/>
        <v>582.81070831118348</v>
      </c>
      <c r="CX187" s="59">
        <f t="shared" si="122"/>
        <v>872.48149463729021</v>
      </c>
      <c r="CY187" s="59">
        <f ca="1">AVERAGE(OFFSET($CX$3,0,0,'Données projet'!$E$13+1,1))-AVERAGE(OFFSET($H$3,0,0,'Données projet'!$E$13+1,1))</f>
        <v>400.48995908576177</v>
      </c>
      <c r="CZ187" s="59">
        <f t="shared" si="150"/>
        <v>384.86917865380076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5.8754651560396169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5.8754651560396169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367.99999999999972</v>
      </c>
      <c r="DP187" s="17">
        <f>DO187*VLOOKUP('Données projet'!$B$14,Paramètres!$A$1:$I$89,3,0)*VLOOKUP('Données projet'!$B$14,Paramètres!$A$1:$I$89,5,0)</f>
        <v>292.78079999999977</v>
      </c>
      <c r="DQ187" s="13">
        <f t="shared" si="176"/>
        <v>69.660903052386217</v>
      </c>
      <c r="DR187" s="20">
        <f t="shared" si="177"/>
        <v>631.25263281623893</v>
      </c>
      <c r="DS187" s="59">
        <f t="shared" si="125"/>
        <v>920.92341914234567</v>
      </c>
      <c r="DT187" s="59">
        <f ca="1">AVERAGE(OFFSET($DS$3,0,0,'Données projet'!$E$14+1,1))-AVERAGE(OFFSET($H$3,0,0,'Données projet'!$E$14+1,1))</f>
        <v>429.30603040255431</v>
      </c>
      <c r="DU187" s="59">
        <f t="shared" si="152"/>
        <v>412.18613903804726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7.8581802655987545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7.8581802655987545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210.25641025641013</v>
      </c>
      <c r="EK187" s="17">
        <f>EJ187*VLOOKUP('Données projet'!$B$15,Paramètres!$A$1:$I$89,3,0)*VLOOKUP('Données projet'!$B$15,Paramètres!$A$1:$I$89,5,0)</f>
        <v>163.99999999999991</v>
      </c>
      <c r="EL187" s="13">
        <f t="shared" si="179"/>
        <v>41.743425908362248</v>
      </c>
      <c r="EM187" s="20">
        <f t="shared" si="180"/>
        <v>358.33646679039742</v>
      </c>
      <c r="EN187" s="59">
        <f t="shared" si="128"/>
        <v>648.00725311650422</v>
      </c>
      <c r="EO187" s="59">
        <f ca="1">AVERAGE(OFFSET($EN$3,0,0,'Données projet'!$E$15+1,1))-AVERAGE(OFFSET($H$3,0,0,'Données projet'!$E$15+1,1))</f>
        <v>217.53602321474159</v>
      </c>
      <c r="EP187" s="59">
        <f t="shared" si="154"/>
        <v>215.75909414893025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3.3115911207001774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3.3115911207001774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19.8100000000004</v>
      </c>
      <c r="FF187" s="17">
        <f>FE187*VLOOKUP('Données projet'!$B$16,Paramètres!$A$1:$I$89,3,0)*VLOOKUP('Données projet'!$B$16,Paramètres!$A$1:$I$89,5,0)</f>
        <v>13.288548000000269</v>
      </c>
      <c r="FG187" s="13">
        <f t="shared" si="182"/>
        <v>4.531654695205642</v>
      </c>
      <c r="FH187" s="20">
        <f t="shared" si="183"/>
        <v>31.036853027483627</v>
      </c>
      <c r="FI187" s="59">
        <f t="shared" si="131"/>
        <v>320.70763935359037</v>
      </c>
      <c r="FJ187" s="59">
        <f ca="1">AVERAGE(OFFSET($FI$3,0,0,'Données projet'!$E$16+1,1))-AVERAGE(OFFSET($H$3,0,0,'Données projet'!$E$16+1,1))</f>
        <v>441.20130048888439</v>
      </c>
      <c r="FK187" s="59">
        <f t="shared" si="156"/>
        <v>237.47732532183946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88.636401622499321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88.636401622499321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204.00000000000017</v>
      </c>
      <c r="GA187" s="17">
        <f>FZ187*VLOOKUP('Données projet'!$B$17,Paramètres!$A$1:$I$89,3,0)*VLOOKUP('Données projet'!$B$17,Paramètres!$A$1:$I$89,5,0)</f>
        <v>133.66080000000011</v>
      </c>
      <c r="GB187" s="13">
        <f t="shared" si="185"/>
        <v>34.840890682716783</v>
      </c>
      <c r="GC187" s="20">
        <f t="shared" si="186"/>
        <v>293.4737779390652</v>
      </c>
      <c r="GD187" s="59">
        <f t="shared" si="134"/>
        <v>583.14456426517199</v>
      </c>
      <c r="GE187" s="59">
        <f ca="1">AVERAGE(OFFSET($GD$3,0,0,'Données projet'!$E$17+1,1))-AVERAGE(OFFSET($H$3,0,0,'Données projet'!$E$17+1,1))</f>
        <v>257.66104339896992</v>
      </c>
      <c r="GF187" s="59">
        <f t="shared" si="158"/>
        <v>254.79488636184996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6.1257211571697407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6.1257211571697407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234.00000000000003</v>
      </c>
      <c r="GV187" s="17">
        <f>GU187*VLOOKUP('Données projet'!$B$18,Paramètres!$A$1:$I$89,3,0)*VLOOKUP('Données projet'!$B$18,Paramètres!$A$1:$I$89,5,0)</f>
        <v>189.82080000000005</v>
      </c>
      <c r="GW187" s="13">
        <f t="shared" si="188"/>
        <v>47.500332100049796</v>
      </c>
      <c r="GX187" s="20">
        <f t="shared" si="189"/>
        <v>413.33430507425345</v>
      </c>
      <c r="GY187" s="59">
        <f t="shared" si="137"/>
        <v>703.00509140036024</v>
      </c>
      <c r="GZ187" s="59">
        <f ca="1">AVERAGE(OFFSET($GY$3,0,0,'Données projet'!$E$18+1,1))-AVERAGE(OFFSET($H$3,0,0,'Données projet'!$E$18+1,1))</f>
        <v>299.98377156721153</v>
      </c>
      <c r="HA187" s="59">
        <f t="shared" si="160"/>
        <v>241.36164657721102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5.9017613374511537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5.9017613374511537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19.8100000000004</v>
      </c>
      <c r="O188" s="13">
        <f>N188*VLOOKUP('Données projet'!$B$9,Paramètres!$A$1:$I$89,3,0)*VLOOKUP('Données projet'!$B$9,Paramètres!$A$1:$I$89,5,0)</f>
        <v>17.924088000000364</v>
      </c>
      <c r="P188" s="13">
        <f t="shared" si="141"/>
        <v>5.9032212091029486</v>
      </c>
      <c r="Q188" s="20">
        <f t="shared" si="162"/>
        <v>41.499230205854936</v>
      </c>
      <c r="R188" s="59">
        <f t="shared" si="109"/>
        <v>331.23355353430867</v>
      </c>
      <c r="S188" s="59">
        <f ca="1">AVERAGE(OFFSET($R$3,0,0,'Données projet'!$E$9+1,1))-AVERAGE(OFFSET($H$3,0,0,'Données projet'!$E$9+1,1))</f>
        <v>567.42635821507474</v>
      </c>
      <c r="T188" s="59">
        <f t="shared" si="142"/>
        <v>299.04735309930152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95.096248288185549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95.096248288185549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474.99999999999994</v>
      </c>
      <c r="AJ188" s="13">
        <f>AI188*VLOOKUP('Données projet'!$B$10,Paramètres!$A$1:$I$89,3,0)*VLOOKUP('Données projet'!$B$10,Paramètres!$A$1:$I$89,5,0)</f>
        <v>407.55</v>
      </c>
      <c r="AK188" s="13">
        <f t="shared" si="164"/>
        <v>93.305642095357683</v>
      </c>
      <c r="AL188" s="20">
        <f t="shared" si="165"/>
        <v>872.32357664941446</v>
      </c>
      <c r="AM188" s="59">
        <f t="shared" si="113"/>
        <v>1162.0578999778681</v>
      </c>
      <c r="AN188" s="59">
        <f ca="1">AVERAGE(OFFSET($AM$3,0,0,'Données projet'!$E$10+1,1))-AVERAGE(OFFSET($H$3,0,0,'Données projet'!$E$10+1,1))</f>
        <v>569.97793593332699</v>
      </c>
      <c r="AO188" s="59">
        <f t="shared" si="144"/>
        <v>331.25104323342907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33.73590429153905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33.73590429153905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277.99999999999994</v>
      </c>
      <c r="BE188" s="13">
        <f>BD188*VLOOKUP('Données projet'!$B$11,Paramètres!$A$1:$I$89,3,0)*VLOOKUP('Données projet'!$B$11,Paramètres!$A$1:$I$89,5,0)</f>
        <v>151.78799999999998</v>
      </c>
      <c r="BF188" s="13">
        <f t="shared" si="167"/>
        <v>38.984634390835623</v>
      </c>
      <c r="BG188" s="20">
        <f t="shared" si="168"/>
        <v>332.26233823070532</v>
      </c>
      <c r="BH188" s="59">
        <f t="shared" si="116"/>
        <v>621.99666155915907</v>
      </c>
      <c r="BI188" s="59">
        <f ca="1">AVERAGE(OFFSET($BH$3,0,0,'Données projet'!$E$11+1,1))-AVERAGE(OFFSET($H$3,0,0,'Données projet'!$E$11+1,1))</f>
        <v>215.37314197175104</v>
      </c>
      <c r="BJ188" s="59">
        <f t="shared" si="146"/>
        <v>361.17630426655978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1.704534583444729</v>
      </c>
      <c r="BQ188" s="21">
        <f>EXP(-LN(2)/25)*BQ187+(1-EXP(-LN(2)/25))/(LN(2)/25)*Calculateur!BL188*Calculateur!BN188*VLOOKUP('Données projet'!$B$11,Paramètres!$A$1:$I$89,3,0)*0.475*44/12</f>
        <v>1.3063899394208931</v>
      </c>
      <c r="BR188" s="21">
        <f>EXP(-LN(2)/2)*BR187+(1-EXP(-LN(2)/2))/(LN(2)/2)*BL188*BO188*VLOOKUP('Données projet'!$B$11,Paramètres!$A$1:$I$89,3,0)*0.475*44/12</f>
        <v>1.1864593186566962E-25</v>
      </c>
      <c r="BS188" s="22">
        <f t="shared" si="169"/>
        <v>3.0109245228656221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0.8600000000003547</v>
      </c>
      <c r="BZ188" s="13">
        <f>BY188*VLOOKUP('Données projet'!$B$12,Paramètres!$A$1:$I$89,3,0)*VLOOKUP('Données projet'!$B$12,Paramètres!$A$1:$I$89,5,0)</f>
        <v>0.48074000000019829</v>
      </c>
      <c r="CA188" s="13">
        <f t="shared" si="170"/>
        <v>0.24126147010950588</v>
      </c>
      <c r="CB188" s="20">
        <f t="shared" si="171"/>
        <v>1.2574858937744013</v>
      </c>
      <c r="CC188" s="59">
        <f t="shared" si="119"/>
        <v>290.99180922222814</v>
      </c>
      <c r="CD188" s="59">
        <f ca="1">AVERAGE(OFFSET($CC$3,0,0,'Données projet'!$E$12+1,1))-AVERAGE(OFFSET($H$3,0,0,'Données projet'!$E$12+1,1))</f>
        <v>420.4890915162182</v>
      </c>
      <c r="CE188" s="59">
        <f t="shared" si="148"/>
        <v>553.48432338023565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28.326055312826806</v>
      </c>
      <c r="CL188" s="21">
        <f>EXP(-LN(2)/25)*CL187+(1-EXP(-LN(2)/25))/(LN(2)/25)*Calculateur!CG188*Calculateur!CI188*VLOOKUP('Données projet'!$B$12,Paramètres!$A$1:$I$89,3,0)*0.475*44/12</f>
        <v>0.68788826446688645</v>
      </c>
      <c r="CM188" s="21">
        <f>EXP(-LN(2)/2)*CM187+(1-EXP(-LN(2)/2))/(LN(2)/2)*CG188*CJ188*VLOOKUP('Données projet'!$B$12,Paramètres!$A$1:$I$89,3,0)*0.475*44/12</f>
        <v>3.4622658571804473E-24</v>
      </c>
      <c r="CN188" s="22">
        <f t="shared" si="172"/>
        <v>29.013943577293691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367.99999999999972</v>
      </c>
      <c r="CU188" s="17">
        <f>CT188*VLOOKUP('Données projet'!$B$13,Paramètres!$A$1:$I$89,3,0)*VLOOKUP('Données projet'!$B$13,Paramètres!$A$1:$I$89,5,0)</f>
        <v>269.8175999999998</v>
      </c>
      <c r="CV188" s="13">
        <f t="shared" si="173"/>
        <v>64.810557882019467</v>
      </c>
      <c r="CW188" s="20">
        <f t="shared" si="174"/>
        <v>582.81070831118348</v>
      </c>
      <c r="CX188" s="59">
        <f t="shared" si="122"/>
        <v>872.54503163963727</v>
      </c>
      <c r="CY188" s="59">
        <f ca="1">AVERAGE(OFFSET($CX$3,0,0,'Données projet'!$E$13+1,1))-AVERAGE(OFFSET($H$3,0,0,'Données projet'!$E$13+1,1))</f>
        <v>400.48995908576177</v>
      </c>
      <c r="CZ188" s="59">
        <f t="shared" si="150"/>
        <v>384.86917865380076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5.7602508680095665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5.7602508680095665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367.99999999999972</v>
      </c>
      <c r="DP188" s="17">
        <f>DO188*VLOOKUP('Données projet'!$B$14,Paramètres!$A$1:$I$89,3,0)*VLOOKUP('Données projet'!$B$14,Paramètres!$A$1:$I$89,5,0)</f>
        <v>292.78079999999977</v>
      </c>
      <c r="DQ188" s="13">
        <f t="shared" si="176"/>
        <v>69.660903052386217</v>
      </c>
      <c r="DR188" s="20">
        <f t="shared" si="177"/>
        <v>631.25263281623893</v>
      </c>
      <c r="DS188" s="59">
        <f t="shared" si="125"/>
        <v>920.98695614469261</v>
      </c>
      <c r="DT188" s="59">
        <f ca="1">AVERAGE(OFFSET($DS$3,0,0,'Données projet'!$E$14+1,1))-AVERAGE(OFFSET($H$3,0,0,'Données projet'!$E$14+1,1))</f>
        <v>429.30603040255431</v>
      </c>
      <c r="DU188" s="59">
        <f t="shared" si="152"/>
        <v>412.18613903804726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7.7040861436070536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7.7040861436070536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210.25641025641013</v>
      </c>
      <c r="EK188" s="17">
        <f>EJ188*VLOOKUP('Données projet'!$B$15,Paramètres!$A$1:$I$89,3,0)*VLOOKUP('Données projet'!$B$15,Paramètres!$A$1:$I$89,5,0)</f>
        <v>163.99999999999991</v>
      </c>
      <c r="EL188" s="13">
        <f t="shared" si="179"/>
        <v>41.743425908362248</v>
      </c>
      <c r="EM188" s="20">
        <f t="shared" si="180"/>
        <v>358.33646679039742</v>
      </c>
      <c r="EN188" s="59">
        <f t="shared" si="128"/>
        <v>648.07079011885116</v>
      </c>
      <c r="EO188" s="59">
        <f ca="1">AVERAGE(OFFSET($EN$3,0,0,'Données projet'!$E$15+1,1))-AVERAGE(OFFSET($H$3,0,0,'Données projet'!$E$15+1,1))</f>
        <v>217.53602321474159</v>
      </c>
      <c r="EP188" s="59">
        <f t="shared" si="154"/>
        <v>215.75909414893025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3.2466528386943847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3.2466528386943847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19.8100000000004</v>
      </c>
      <c r="FF188" s="17">
        <f>FE188*VLOOKUP('Données projet'!$B$16,Paramètres!$A$1:$I$89,3,0)*VLOOKUP('Données projet'!$B$16,Paramètres!$A$1:$I$89,5,0)</f>
        <v>13.288548000000269</v>
      </c>
      <c r="FG188" s="13">
        <f t="shared" si="182"/>
        <v>4.531654695205642</v>
      </c>
      <c r="FH188" s="20">
        <f t="shared" si="183"/>
        <v>31.036853027483627</v>
      </c>
      <c r="FI188" s="59">
        <f t="shared" si="131"/>
        <v>320.77117635593737</v>
      </c>
      <c r="FJ188" s="59">
        <f ca="1">AVERAGE(OFFSET($FI$3,0,0,'Données projet'!$E$16+1,1))-AVERAGE(OFFSET($H$3,0,0,'Données projet'!$E$16+1,1))</f>
        <v>441.20130048888439</v>
      </c>
      <c r="FK188" s="59">
        <f t="shared" si="156"/>
        <v>237.47732532183946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86.89829584954883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86.89829584954883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204.00000000000017</v>
      </c>
      <c r="GA188" s="17">
        <f>FZ188*VLOOKUP('Données projet'!$B$17,Paramètres!$A$1:$I$89,3,0)*VLOOKUP('Données projet'!$B$17,Paramètres!$A$1:$I$89,5,0)</f>
        <v>133.66080000000011</v>
      </c>
      <c r="GB188" s="13">
        <f t="shared" si="185"/>
        <v>34.840890682716783</v>
      </c>
      <c r="GC188" s="20">
        <f t="shared" si="186"/>
        <v>293.4737779390652</v>
      </c>
      <c r="GD188" s="59">
        <f t="shared" si="134"/>
        <v>583.20810126751894</v>
      </c>
      <c r="GE188" s="59">
        <f ca="1">AVERAGE(OFFSET($GD$3,0,0,'Données projet'!$E$17+1,1))-AVERAGE(OFFSET($H$3,0,0,'Données projet'!$E$17+1,1))</f>
        <v>257.66104339896992</v>
      </c>
      <c r="GF188" s="59">
        <f t="shared" si="158"/>
        <v>254.79488636184996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6.005599501598617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6.005599501598617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234.00000000000003</v>
      </c>
      <c r="GV188" s="17">
        <f>GU188*VLOOKUP('Données projet'!$B$18,Paramètres!$A$1:$I$89,3,0)*VLOOKUP('Données projet'!$B$18,Paramètres!$A$1:$I$89,5,0)</f>
        <v>189.82080000000005</v>
      </c>
      <c r="GW188" s="13">
        <f t="shared" si="188"/>
        <v>47.500332100049796</v>
      </c>
      <c r="GX188" s="20">
        <f t="shared" si="189"/>
        <v>413.33430507425345</v>
      </c>
      <c r="GY188" s="59">
        <f t="shared" si="137"/>
        <v>703.06862840270719</v>
      </c>
      <c r="GZ188" s="59">
        <f ca="1">AVERAGE(OFFSET($GY$3,0,0,'Données projet'!$E$18+1,1))-AVERAGE(OFFSET($H$3,0,0,'Données projet'!$E$18+1,1))</f>
        <v>299.98377156721153</v>
      </c>
      <c r="HA188" s="59">
        <f t="shared" si="160"/>
        <v>241.36164657721102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5.7860313973427093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5.7860313973427093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19.8100000000004</v>
      </c>
      <c r="O189" s="13">
        <f>N189*VLOOKUP('Données projet'!$B$9,Paramètres!$A$1:$I$89,3,0)*VLOOKUP('Données projet'!$B$9,Paramètres!$A$1:$I$89,5,0)</f>
        <v>17.924088000000364</v>
      </c>
      <c r="P189" s="13">
        <f t="shared" si="141"/>
        <v>5.9032212091029486</v>
      </c>
      <c r="Q189" s="20">
        <f t="shared" si="162"/>
        <v>41.499230205854936</v>
      </c>
      <c r="R189" s="59">
        <f t="shared" si="109"/>
        <v>331.29598831171234</v>
      </c>
      <c r="S189" s="59">
        <f ca="1">AVERAGE(OFFSET($R$3,0,0,'Données projet'!$E$9+1,1))-AVERAGE(OFFSET($H$3,0,0,'Données projet'!$E$9+1,1))</f>
        <v>567.42635821507474</v>
      </c>
      <c r="T189" s="59">
        <f t="shared" si="142"/>
        <v>299.04735309930152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93.231468862238373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93.231468862238373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474.99999999999994</v>
      </c>
      <c r="AJ189" s="13">
        <f>AI189*VLOOKUP('Données projet'!$B$10,Paramètres!$A$1:$I$89,3,0)*VLOOKUP('Données projet'!$B$10,Paramètres!$A$1:$I$89,5,0)</f>
        <v>407.55</v>
      </c>
      <c r="AK189" s="13">
        <f t="shared" si="164"/>
        <v>93.305642095357683</v>
      </c>
      <c r="AL189" s="20">
        <f t="shared" si="165"/>
        <v>872.32357664941446</v>
      </c>
      <c r="AM189" s="59">
        <f t="shared" si="113"/>
        <v>1162.1203347552719</v>
      </c>
      <c r="AN189" s="59">
        <f ca="1">AVERAGE(OFFSET($AM$3,0,0,'Données projet'!$E$10+1,1))-AVERAGE(OFFSET($H$3,0,0,'Données projet'!$E$10+1,1))</f>
        <v>569.97793593332699</v>
      </c>
      <c r="AO189" s="59">
        <f t="shared" si="144"/>
        <v>331.25104323342907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33.074363785251791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33.074363785251791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277.99999999999994</v>
      </c>
      <c r="BE189" s="13">
        <f>BD189*VLOOKUP('Données projet'!$B$11,Paramètres!$A$1:$I$89,3,0)*VLOOKUP('Données projet'!$B$11,Paramètres!$A$1:$I$89,5,0)</f>
        <v>151.78799999999998</v>
      </c>
      <c r="BF189" s="13">
        <f t="shared" si="167"/>
        <v>38.984634390835623</v>
      </c>
      <c r="BG189" s="20">
        <f t="shared" si="168"/>
        <v>332.26233823070532</v>
      </c>
      <c r="BH189" s="59">
        <f t="shared" si="116"/>
        <v>622.05909633656279</v>
      </c>
      <c r="BI189" s="59">
        <f ca="1">AVERAGE(OFFSET($BH$3,0,0,'Données projet'!$E$11+1,1))-AVERAGE(OFFSET($H$3,0,0,'Données projet'!$E$11+1,1))</f>
        <v>215.37314197175104</v>
      </c>
      <c r="BJ189" s="59">
        <f t="shared" si="146"/>
        <v>361.17630426655978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1.6711096999268156</v>
      </c>
      <c r="BQ189" s="21">
        <f>EXP(-LN(2)/25)*BQ188+(1-EXP(-LN(2)/25))/(LN(2)/25)*Calculateur!BL189*Calculateur!BN189*VLOOKUP('Données projet'!$B$11,Paramètres!$A$1:$I$89,3,0)*0.475*44/12</f>
        <v>1.2706666378273677</v>
      </c>
      <c r="BR189" s="21">
        <f>EXP(-LN(2)/2)*BR188+(1-EXP(-LN(2)/2))/(LN(2)/2)*BL189*BO189*VLOOKUP('Données projet'!$B$11,Paramètres!$A$1:$I$89,3,0)*0.475*44/12</f>
        <v>8.3895342982412073E-26</v>
      </c>
      <c r="BS189" s="22">
        <f t="shared" si="169"/>
        <v>2.9417763377541832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0.8600000000003547</v>
      </c>
      <c r="BZ189" s="13">
        <f>BY189*VLOOKUP('Données projet'!$B$12,Paramètres!$A$1:$I$89,3,0)*VLOOKUP('Données projet'!$B$12,Paramètres!$A$1:$I$89,5,0)</f>
        <v>0.48074000000019829</v>
      </c>
      <c r="CA189" s="13">
        <f t="shared" si="170"/>
        <v>0.24126147010950588</v>
      </c>
      <c r="CB189" s="20">
        <f t="shared" si="171"/>
        <v>1.2574858937744013</v>
      </c>
      <c r="CC189" s="59">
        <f t="shared" si="119"/>
        <v>291.05424399963181</v>
      </c>
      <c r="CD189" s="59">
        <f ca="1">AVERAGE(OFFSET($CC$3,0,0,'Données projet'!$E$12+1,1))-AVERAGE(OFFSET($H$3,0,0,'Données projet'!$E$12+1,1))</f>
        <v>420.4890915162182</v>
      </c>
      <c r="CE189" s="59">
        <f t="shared" si="148"/>
        <v>553.48432338023565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27.770598645330033</v>
      </c>
      <c r="CL189" s="21">
        <f>EXP(-LN(2)/25)*CL188+(1-EXP(-LN(2)/25))/(LN(2)/25)*Calculateur!CG189*Calculateur!CI189*VLOOKUP('Données projet'!$B$12,Paramètres!$A$1:$I$89,3,0)*0.475*44/12</f>
        <v>0.66907792370056784</v>
      </c>
      <c r="CM189" s="21">
        <f>EXP(-LN(2)/2)*CM188+(1-EXP(-LN(2)/2))/(LN(2)/2)*CG189*CJ189*VLOOKUP('Données projet'!$B$12,Paramètres!$A$1:$I$89,3,0)*0.475*44/12</f>
        <v>2.448191665882949E-24</v>
      </c>
      <c r="CN189" s="22">
        <f t="shared" si="172"/>
        <v>28.439676569030599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367.99999999999972</v>
      </c>
      <c r="CU189" s="17">
        <f>CT189*VLOOKUP('Données projet'!$B$13,Paramètres!$A$1:$I$89,3,0)*VLOOKUP('Données projet'!$B$13,Paramètres!$A$1:$I$89,5,0)</f>
        <v>269.8175999999998</v>
      </c>
      <c r="CV189" s="13">
        <f t="shared" si="173"/>
        <v>64.810557882019467</v>
      </c>
      <c r="CW189" s="20">
        <f t="shared" si="174"/>
        <v>582.81070831118348</v>
      </c>
      <c r="CX189" s="59">
        <f t="shared" si="122"/>
        <v>872.60746641704088</v>
      </c>
      <c r="CY189" s="59">
        <f ca="1">AVERAGE(OFFSET($CX$3,0,0,'Données projet'!$E$13+1,1))-AVERAGE(OFFSET($H$3,0,0,'Données projet'!$E$13+1,1))</f>
        <v>400.48995908576177</v>
      </c>
      <c r="CZ189" s="59">
        <f t="shared" si="150"/>
        <v>384.86917865380076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5.6472958618940083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5.6472958618940083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367.99999999999972</v>
      </c>
      <c r="DP189" s="17">
        <f>DO189*VLOOKUP('Données projet'!$B$14,Paramètres!$A$1:$I$89,3,0)*VLOOKUP('Données projet'!$B$14,Paramètres!$A$1:$I$89,5,0)</f>
        <v>292.78079999999977</v>
      </c>
      <c r="DQ189" s="13">
        <f t="shared" si="176"/>
        <v>69.660903052386217</v>
      </c>
      <c r="DR189" s="20">
        <f t="shared" si="177"/>
        <v>631.25263281623893</v>
      </c>
      <c r="DS189" s="59">
        <f t="shared" si="125"/>
        <v>921.04939092209634</v>
      </c>
      <c r="DT189" s="59">
        <f ca="1">AVERAGE(OFFSET($DS$3,0,0,'Données projet'!$E$14+1,1))-AVERAGE(OFFSET($H$3,0,0,'Données projet'!$E$14+1,1))</f>
        <v>429.30603040255431</v>
      </c>
      <c r="DU189" s="59">
        <f t="shared" si="152"/>
        <v>412.18613903804726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7.5530137133594764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7.5530137133594764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210.25641025641013</v>
      </c>
      <c r="EK189" s="17">
        <f>EJ189*VLOOKUP('Données projet'!$B$15,Paramètres!$A$1:$I$89,3,0)*VLOOKUP('Données projet'!$B$15,Paramètres!$A$1:$I$89,5,0)</f>
        <v>163.99999999999991</v>
      </c>
      <c r="EL189" s="13">
        <f t="shared" si="179"/>
        <v>41.743425908362248</v>
      </c>
      <c r="EM189" s="20">
        <f t="shared" si="180"/>
        <v>358.33646679039742</v>
      </c>
      <c r="EN189" s="59">
        <f t="shared" si="128"/>
        <v>648.13322489625489</v>
      </c>
      <c r="EO189" s="59">
        <f ca="1">AVERAGE(OFFSET($EN$3,0,0,'Données projet'!$E$15+1,1))-AVERAGE(OFFSET($H$3,0,0,'Données projet'!$E$15+1,1))</f>
        <v>217.53602321474159</v>
      </c>
      <c r="EP189" s="59">
        <f t="shared" si="154"/>
        <v>215.75909414893025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3.1829879567902846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3.1829879567902846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19.8100000000004</v>
      </c>
      <c r="FF189" s="17">
        <f>FE189*VLOOKUP('Données projet'!$B$16,Paramètres!$A$1:$I$89,3,0)*VLOOKUP('Données projet'!$B$16,Paramètres!$A$1:$I$89,5,0)</f>
        <v>13.288548000000269</v>
      </c>
      <c r="FG189" s="13">
        <f t="shared" si="182"/>
        <v>4.531654695205642</v>
      </c>
      <c r="FH189" s="20">
        <f t="shared" si="183"/>
        <v>31.036853027483627</v>
      </c>
      <c r="FI189" s="59">
        <f t="shared" si="131"/>
        <v>320.83361113334104</v>
      </c>
      <c r="FJ189" s="59">
        <f ca="1">AVERAGE(OFFSET($FI$3,0,0,'Données projet'!$E$16+1,1))-AVERAGE(OFFSET($H$3,0,0,'Données projet'!$E$16+1,1))</f>
        <v>441.20130048888439</v>
      </c>
      <c r="FK189" s="59">
        <f t="shared" si="156"/>
        <v>237.47732532183946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85.194273270666059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85.194273270666059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204.00000000000017</v>
      </c>
      <c r="GA189" s="17">
        <f>FZ189*VLOOKUP('Données projet'!$B$17,Paramètres!$A$1:$I$89,3,0)*VLOOKUP('Données projet'!$B$17,Paramètres!$A$1:$I$89,5,0)</f>
        <v>133.66080000000011</v>
      </c>
      <c r="GB189" s="13">
        <f t="shared" si="185"/>
        <v>34.840890682716783</v>
      </c>
      <c r="GC189" s="20">
        <f t="shared" si="186"/>
        <v>293.4737779390652</v>
      </c>
      <c r="GD189" s="59">
        <f t="shared" si="134"/>
        <v>583.27053604492266</v>
      </c>
      <c r="GE189" s="59">
        <f ca="1">AVERAGE(OFFSET($GD$3,0,0,'Données projet'!$E$17+1,1))-AVERAGE(OFFSET($H$3,0,0,'Données projet'!$E$17+1,1))</f>
        <v>257.66104339896992</v>
      </c>
      <c r="GF189" s="59">
        <f t="shared" si="158"/>
        <v>254.79488636184996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5.8878333584262679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5.8878333584262679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234.00000000000003</v>
      </c>
      <c r="GV189" s="17">
        <f>GU189*VLOOKUP('Données projet'!$B$18,Paramètres!$A$1:$I$89,3,0)*VLOOKUP('Données projet'!$B$18,Paramètres!$A$1:$I$89,5,0)</f>
        <v>189.82080000000005</v>
      </c>
      <c r="GW189" s="13">
        <f t="shared" si="188"/>
        <v>47.500332100049796</v>
      </c>
      <c r="GX189" s="20">
        <f t="shared" si="189"/>
        <v>413.33430507425345</v>
      </c>
      <c r="GY189" s="59">
        <f t="shared" si="137"/>
        <v>703.13106318011091</v>
      </c>
      <c r="GZ189" s="59">
        <f ca="1">AVERAGE(OFFSET($GY$3,0,0,'Données projet'!$E$18+1,1))-AVERAGE(OFFSET($H$3,0,0,'Données projet'!$E$18+1,1))</f>
        <v>299.98377156721153</v>
      </c>
      <c r="HA189" s="59">
        <f t="shared" si="160"/>
        <v>241.36164657721102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5.672570850771498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5.672570850771498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19.8100000000004</v>
      </c>
      <c r="O190" s="13">
        <f>N190*VLOOKUP('Données projet'!$B$9,Paramètres!$A$1:$I$89,3,0)*VLOOKUP('Données projet'!$B$9,Paramètres!$A$1:$I$89,5,0)</f>
        <v>17.924088000000364</v>
      </c>
      <c r="P190" s="13">
        <f t="shared" si="141"/>
        <v>5.9032212091029486</v>
      </c>
      <c r="Q190" s="20">
        <f t="shared" si="162"/>
        <v>41.499230205854936</v>
      </c>
      <c r="R190" s="59">
        <f t="shared" si="109"/>
        <v>331.35733998531134</v>
      </c>
      <c r="S190" s="59">
        <f ca="1">AVERAGE(OFFSET($R$3,0,0,'Données projet'!$E$9+1,1))-AVERAGE(OFFSET($H$3,0,0,'Données projet'!$E$9+1,1))</f>
        <v>567.42635821507474</v>
      </c>
      <c r="T190" s="59">
        <f t="shared" si="142"/>
        <v>299.04735309930152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91.403256623430877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91.403256623430877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474.99999999999994</v>
      </c>
      <c r="AJ190" s="13">
        <f>AI190*VLOOKUP('Données projet'!$B$10,Paramètres!$A$1:$I$89,3,0)*VLOOKUP('Données projet'!$B$10,Paramètres!$A$1:$I$89,5,0)</f>
        <v>407.55</v>
      </c>
      <c r="AK190" s="13">
        <f t="shared" si="164"/>
        <v>93.305642095357683</v>
      </c>
      <c r="AL190" s="20">
        <f t="shared" si="165"/>
        <v>872.32357664941446</v>
      </c>
      <c r="AM190" s="59">
        <f t="shared" si="113"/>
        <v>1162.1816864288708</v>
      </c>
      <c r="AN190" s="59">
        <f ca="1">AVERAGE(OFFSET($AM$3,0,0,'Données projet'!$E$10+1,1))-AVERAGE(OFFSET($H$3,0,0,'Données projet'!$E$10+1,1))</f>
        <v>569.97793593332699</v>
      </c>
      <c r="AO190" s="59">
        <f t="shared" si="144"/>
        <v>331.25104323342907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32.425795684792959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32.425795684792959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277.99999999999994</v>
      </c>
      <c r="BE190" s="13">
        <f>BD190*VLOOKUP('Données projet'!$B$11,Paramètres!$A$1:$I$89,3,0)*VLOOKUP('Données projet'!$B$11,Paramètres!$A$1:$I$89,5,0)</f>
        <v>151.78799999999998</v>
      </c>
      <c r="BF190" s="13">
        <f t="shared" si="167"/>
        <v>38.984634390835623</v>
      </c>
      <c r="BG190" s="20">
        <f t="shared" si="168"/>
        <v>332.26233823070532</v>
      </c>
      <c r="BH190" s="59">
        <f t="shared" si="116"/>
        <v>622.12044801016168</v>
      </c>
      <c r="BI190" s="59">
        <f ca="1">AVERAGE(OFFSET($BH$3,0,0,'Données projet'!$E$11+1,1))-AVERAGE(OFFSET($H$3,0,0,'Données projet'!$E$11+1,1))</f>
        <v>215.37314197175104</v>
      </c>
      <c r="BJ190" s="59">
        <f t="shared" si="146"/>
        <v>361.17630426655978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1.6383402579875226</v>
      </c>
      <c r="BQ190" s="21">
        <f>EXP(-LN(2)/25)*BQ189+(1-EXP(-LN(2)/25))/(LN(2)/25)*Calculateur!BL190*Calculateur!BN190*VLOOKUP('Données projet'!$B$11,Paramètres!$A$1:$I$89,3,0)*0.475*44/12</f>
        <v>1.2359201917945239</v>
      </c>
      <c r="BR190" s="21">
        <f>EXP(-LN(2)/2)*BR189+(1-EXP(-LN(2)/2))/(LN(2)/2)*BL190*BO190*VLOOKUP('Données projet'!$B$11,Paramètres!$A$1:$I$89,3,0)*0.475*44/12</f>
        <v>5.9322965932834808E-26</v>
      </c>
      <c r="BS190" s="22">
        <f t="shared" si="169"/>
        <v>2.8742604497820468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0.8600000000003547</v>
      </c>
      <c r="BZ190" s="13">
        <f>BY190*VLOOKUP('Données projet'!$B$12,Paramètres!$A$1:$I$89,3,0)*VLOOKUP('Données projet'!$B$12,Paramètres!$A$1:$I$89,5,0)</f>
        <v>0.48074000000019829</v>
      </c>
      <c r="CA190" s="13">
        <f t="shared" si="170"/>
        <v>0.24126147010950588</v>
      </c>
      <c r="CB190" s="20">
        <f t="shared" si="171"/>
        <v>1.2574858937744013</v>
      </c>
      <c r="CC190" s="59">
        <f t="shared" si="119"/>
        <v>291.11559567323081</v>
      </c>
      <c r="CD190" s="59">
        <f ca="1">AVERAGE(OFFSET($CC$3,0,0,'Données projet'!$E$12+1,1))-AVERAGE(OFFSET($H$3,0,0,'Données projet'!$E$12+1,1))</f>
        <v>420.4890915162182</v>
      </c>
      <c r="CE190" s="59">
        <f t="shared" si="148"/>
        <v>553.48432338023565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27.226034144287755</v>
      </c>
      <c r="CL190" s="21">
        <f>EXP(-LN(2)/25)*CL189+(1-EXP(-LN(2)/25))/(LN(2)/25)*Calculateur!CG190*Calculateur!CI190*VLOOKUP('Données projet'!$B$12,Paramètres!$A$1:$I$89,3,0)*0.475*44/12</f>
        <v>0.65078195269169703</v>
      </c>
      <c r="CM190" s="21">
        <f>EXP(-LN(2)/2)*CM189+(1-EXP(-LN(2)/2))/(LN(2)/2)*CG190*CJ190*VLOOKUP('Données projet'!$B$12,Paramètres!$A$1:$I$89,3,0)*0.475*44/12</f>
        <v>1.7311329285902237E-24</v>
      </c>
      <c r="CN190" s="22">
        <f t="shared" si="172"/>
        <v>27.876816096979454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367.99999999999972</v>
      </c>
      <c r="CU190" s="17">
        <f>CT190*VLOOKUP('Données projet'!$B$13,Paramètres!$A$1:$I$89,3,0)*VLOOKUP('Données projet'!$B$13,Paramètres!$A$1:$I$89,5,0)</f>
        <v>269.8175999999998</v>
      </c>
      <c r="CV190" s="13">
        <f t="shared" si="173"/>
        <v>64.810557882019467</v>
      </c>
      <c r="CW190" s="20">
        <f t="shared" si="174"/>
        <v>582.81070831118348</v>
      </c>
      <c r="CX190" s="59">
        <f t="shared" si="122"/>
        <v>872.66881809063989</v>
      </c>
      <c r="CY190" s="59">
        <f ca="1">AVERAGE(OFFSET($CX$3,0,0,'Données projet'!$E$13+1,1))-AVERAGE(OFFSET($H$3,0,0,'Données projet'!$E$13+1,1))</f>
        <v>400.48995908576177</v>
      </c>
      <c r="CZ190" s="59">
        <f t="shared" si="150"/>
        <v>384.86917865380076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5.5365558345526251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5.5365558345526251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367.99999999999972</v>
      </c>
      <c r="DP190" s="17">
        <f>DO190*VLOOKUP('Données projet'!$B$14,Paramètres!$A$1:$I$89,3,0)*VLOOKUP('Données projet'!$B$14,Paramètres!$A$1:$I$89,5,0)</f>
        <v>292.78079999999977</v>
      </c>
      <c r="DQ190" s="13">
        <f t="shared" si="176"/>
        <v>69.660903052386217</v>
      </c>
      <c r="DR190" s="20">
        <f t="shared" si="177"/>
        <v>631.25263281623893</v>
      </c>
      <c r="DS190" s="59">
        <f t="shared" si="125"/>
        <v>921.11074259569534</v>
      </c>
      <c r="DT190" s="59">
        <f ca="1">AVERAGE(OFFSET($DS$3,0,0,'Données projet'!$E$14+1,1))-AVERAGE(OFFSET($H$3,0,0,'Données projet'!$E$14+1,1))</f>
        <v>429.30603040255431</v>
      </c>
      <c r="DU190" s="59">
        <f t="shared" si="152"/>
        <v>412.18613903804726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7.4049037213239703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7.4049037213239703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210.25641025641013</v>
      </c>
      <c r="EK190" s="17">
        <f>EJ190*VLOOKUP('Données projet'!$B$15,Paramètres!$A$1:$I$89,3,0)*VLOOKUP('Données projet'!$B$15,Paramètres!$A$1:$I$89,5,0)</f>
        <v>163.99999999999991</v>
      </c>
      <c r="EL190" s="13">
        <f t="shared" si="179"/>
        <v>41.743425908362248</v>
      </c>
      <c r="EM190" s="20">
        <f t="shared" si="180"/>
        <v>358.33646679039742</v>
      </c>
      <c r="EN190" s="59">
        <f t="shared" si="128"/>
        <v>648.19457656985378</v>
      </c>
      <c r="EO190" s="59">
        <f ca="1">AVERAGE(OFFSET($EN$3,0,0,'Données projet'!$E$15+1,1))-AVERAGE(OFFSET($H$3,0,0,'Données projet'!$E$15+1,1))</f>
        <v>217.53602321474159</v>
      </c>
      <c r="EP190" s="59">
        <f t="shared" si="154"/>
        <v>215.75909414893025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3.1205715043885802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3.1205715043885802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19.8100000000004</v>
      </c>
      <c r="FF190" s="17">
        <f>FE190*VLOOKUP('Données projet'!$B$16,Paramètres!$A$1:$I$89,3,0)*VLOOKUP('Données projet'!$B$16,Paramètres!$A$1:$I$89,5,0)</f>
        <v>13.288548000000269</v>
      </c>
      <c r="FG190" s="13">
        <f t="shared" si="182"/>
        <v>4.531654695205642</v>
      </c>
      <c r="FH190" s="20">
        <f t="shared" si="183"/>
        <v>31.036853027483627</v>
      </c>
      <c r="FI190" s="59">
        <f t="shared" si="131"/>
        <v>320.89496280694004</v>
      </c>
      <c r="FJ190" s="59">
        <f ca="1">AVERAGE(OFFSET($FI$3,0,0,'Données projet'!$E$16+1,1))-AVERAGE(OFFSET($H$3,0,0,'Données projet'!$E$16+1,1))</f>
        <v>441.20130048888439</v>
      </c>
      <c r="FK190" s="59">
        <f t="shared" si="156"/>
        <v>237.47732532183946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83.523665535204032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83.523665535204032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204.00000000000017</v>
      </c>
      <c r="GA190" s="17">
        <f>FZ190*VLOOKUP('Données projet'!$B$17,Paramètres!$A$1:$I$89,3,0)*VLOOKUP('Données projet'!$B$17,Paramètres!$A$1:$I$89,5,0)</f>
        <v>133.66080000000011</v>
      </c>
      <c r="GB190" s="13">
        <f t="shared" si="185"/>
        <v>34.840890682716783</v>
      </c>
      <c r="GC190" s="20">
        <f t="shared" si="186"/>
        <v>293.4737779390652</v>
      </c>
      <c r="GD190" s="59">
        <f t="shared" si="134"/>
        <v>583.33188771852156</v>
      </c>
      <c r="GE190" s="59">
        <f ca="1">AVERAGE(OFFSET($GD$3,0,0,'Données projet'!$E$17+1,1))-AVERAGE(OFFSET($H$3,0,0,'Données projet'!$E$17+1,1))</f>
        <v>257.66104339896992</v>
      </c>
      <c r="GF190" s="59">
        <f t="shared" si="158"/>
        <v>254.79488636184996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5.7723765374912732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5.7723765374912732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234.00000000000003</v>
      </c>
      <c r="GV190" s="17">
        <f>GU190*VLOOKUP('Données projet'!$B$18,Paramètres!$A$1:$I$89,3,0)*VLOOKUP('Données projet'!$B$18,Paramètres!$A$1:$I$89,5,0)</f>
        <v>189.82080000000005</v>
      </c>
      <c r="GW190" s="13">
        <f t="shared" si="188"/>
        <v>47.500332100049796</v>
      </c>
      <c r="GX190" s="20">
        <f t="shared" si="189"/>
        <v>413.33430507425345</v>
      </c>
      <c r="GY190" s="59">
        <f t="shared" si="137"/>
        <v>703.19241485370981</v>
      </c>
      <c r="GZ190" s="59">
        <f ca="1">AVERAGE(OFFSET($GY$3,0,0,'Données projet'!$E$18+1,1))-AVERAGE(OFFSET($H$3,0,0,'Données projet'!$E$18+1,1))</f>
        <v>299.98377156721153</v>
      </c>
      <c r="HA190" s="59">
        <f t="shared" si="160"/>
        <v>241.36164657721102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5.5613351963144488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5.5613351963144488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19.8100000000004</v>
      </c>
      <c r="O191" s="13">
        <f>N191*VLOOKUP('Données projet'!$B$9,Paramètres!$A$1:$I$89,3,0)*VLOOKUP('Données projet'!$B$9,Paramètres!$A$1:$I$89,5,0)</f>
        <v>17.924088000000364</v>
      </c>
      <c r="P191" s="13">
        <f t="shared" si="141"/>
        <v>5.9032212091029486</v>
      </c>
      <c r="Q191" s="20">
        <f t="shared" si="162"/>
        <v>41.499230205854936</v>
      </c>
      <c r="R191" s="59">
        <f t="shared" si="109"/>
        <v>331.41762734453516</v>
      </c>
      <c r="S191" s="59">
        <f ca="1">AVERAGE(OFFSET($R$3,0,0,'Données projet'!$E$9+1,1))-AVERAGE(OFFSET($H$3,0,0,'Données projet'!$E$9+1,1))</f>
        <v>567.42635821507474</v>
      </c>
      <c r="T191" s="59">
        <f t="shared" si="142"/>
        <v>299.04735309930152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89.610894511527036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89.610894511527036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474.99999999999994</v>
      </c>
      <c r="AJ191" s="13">
        <f>AI191*VLOOKUP('Données projet'!$B$10,Paramètres!$A$1:$I$89,3,0)*VLOOKUP('Données projet'!$B$10,Paramètres!$A$1:$I$89,5,0)</f>
        <v>407.55</v>
      </c>
      <c r="AK191" s="13">
        <f t="shared" si="164"/>
        <v>93.305642095357683</v>
      </c>
      <c r="AL191" s="20">
        <f t="shared" si="165"/>
        <v>872.32357664941446</v>
      </c>
      <c r="AM191" s="59">
        <f t="shared" si="113"/>
        <v>1162.2419737880946</v>
      </c>
      <c r="AN191" s="59">
        <f ca="1">AVERAGE(OFFSET($AM$3,0,0,'Données projet'!$E$10+1,1))-AVERAGE(OFFSET($H$3,0,0,'Données projet'!$E$10+1,1))</f>
        <v>569.97793593332699</v>
      </c>
      <c r="AO191" s="59">
        <f t="shared" si="144"/>
        <v>331.25104323342907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31.789945609196643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31.789945609196643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277.99999999999994</v>
      </c>
      <c r="BE191" s="13">
        <f>BD191*VLOOKUP('Données projet'!$B$11,Paramètres!$A$1:$I$89,3,0)*VLOOKUP('Données projet'!$B$11,Paramètres!$A$1:$I$89,5,0)</f>
        <v>151.78799999999998</v>
      </c>
      <c r="BF191" s="13">
        <f t="shared" si="167"/>
        <v>38.984634390835623</v>
      </c>
      <c r="BG191" s="20">
        <f t="shared" si="168"/>
        <v>332.26233823070532</v>
      </c>
      <c r="BH191" s="59">
        <f t="shared" si="116"/>
        <v>622.1807353693855</v>
      </c>
      <c r="BI191" s="59">
        <f ca="1">AVERAGE(OFFSET($BH$3,0,0,'Données projet'!$E$11+1,1))-AVERAGE(OFFSET($H$3,0,0,'Données projet'!$E$11+1,1))</f>
        <v>215.37314197175104</v>
      </c>
      <c r="BJ191" s="59">
        <f t="shared" si="146"/>
        <v>361.17630426655978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1.6062134048172731</v>
      </c>
      <c r="BQ191" s="21">
        <f>EXP(-LN(2)/25)*BQ190+(1-EXP(-LN(2)/25))/(LN(2)/25)*Calculateur!BL191*Calculateur!BN191*VLOOKUP('Données projet'!$B$11,Paramètres!$A$1:$I$89,3,0)*0.475*44/12</f>
        <v>1.2021238891556845</v>
      </c>
      <c r="BR191" s="21">
        <f>EXP(-LN(2)/2)*BR190+(1-EXP(-LN(2)/2))/(LN(2)/2)*BL191*BO191*VLOOKUP('Données projet'!$B$11,Paramètres!$A$1:$I$89,3,0)*0.475*44/12</f>
        <v>4.1947671491206037E-26</v>
      </c>
      <c r="BS191" s="22">
        <f t="shared" si="169"/>
        <v>2.8083372939729578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0.8600000000003547</v>
      </c>
      <c r="BZ191" s="13">
        <f>BY191*VLOOKUP('Données projet'!$B$12,Paramètres!$A$1:$I$89,3,0)*VLOOKUP('Données projet'!$B$12,Paramètres!$A$1:$I$89,5,0)</f>
        <v>0.48074000000019829</v>
      </c>
      <c r="CA191" s="13">
        <f t="shared" si="170"/>
        <v>0.24126147010950588</v>
      </c>
      <c r="CB191" s="20">
        <f t="shared" si="171"/>
        <v>1.2574858937744013</v>
      </c>
      <c r="CC191" s="59">
        <f t="shared" si="119"/>
        <v>291.17588303245464</v>
      </c>
      <c r="CD191" s="59">
        <f ca="1">AVERAGE(OFFSET($CC$3,0,0,'Données projet'!$E$12+1,1))-AVERAGE(OFFSET($H$3,0,0,'Données projet'!$E$12+1,1))</f>
        <v>420.4890915162182</v>
      </c>
      <c r="CE191" s="59">
        <f t="shared" si="148"/>
        <v>553.48432338023565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26.692148220959371</v>
      </c>
      <c r="CL191" s="21">
        <f>EXP(-LN(2)/25)*CL190+(1-EXP(-LN(2)/25))/(LN(2)/25)*Calculateur!CG191*Calculateur!CI191*VLOOKUP('Données projet'!$B$12,Paramètres!$A$1:$I$89,3,0)*0.475*44/12</f>
        <v>0.63298628597220707</v>
      </c>
      <c r="CM191" s="21">
        <f>EXP(-LN(2)/2)*CM190+(1-EXP(-LN(2)/2))/(LN(2)/2)*CG191*CJ191*VLOOKUP('Données projet'!$B$12,Paramètres!$A$1:$I$89,3,0)*0.475*44/12</f>
        <v>1.2240958329414745E-24</v>
      </c>
      <c r="CN191" s="22">
        <f t="shared" si="172"/>
        <v>27.32513450693158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367.99999999999972</v>
      </c>
      <c r="CU191" s="17">
        <f>CT191*VLOOKUP('Données projet'!$B$13,Paramètres!$A$1:$I$89,3,0)*VLOOKUP('Données projet'!$B$13,Paramètres!$A$1:$I$89,5,0)</f>
        <v>269.8175999999998</v>
      </c>
      <c r="CV191" s="13">
        <f t="shared" si="173"/>
        <v>64.810557882019467</v>
      </c>
      <c r="CW191" s="20">
        <f t="shared" si="174"/>
        <v>582.81070831118348</v>
      </c>
      <c r="CX191" s="59">
        <f t="shared" si="122"/>
        <v>872.72910544986371</v>
      </c>
      <c r="CY191" s="59">
        <f ca="1">AVERAGE(OFFSET($CX$3,0,0,'Données projet'!$E$13+1,1))-AVERAGE(OFFSET($H$3,0,0,'Données projet'!$E$13+1,1))</f>
        <v>400.48995908576177</v>
      </c>
      <c r="CZ191" s="59">
        <f t="shared" si="150"/>
        <v>384.86917865380076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5.4279873516026598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5.4279873516026598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367.99999999999972</v>
      </c>
      <c r="DP191" s="17">
        <f>DO191*VLOOKUP('Données projet'!$B$14,Paramètres!$A$1:$I$89,3,0)*VLOOKUP('Données projet'!$B$14,Paramètres!$A$1:$I$89,5,0)</f>
        <v>292.78079999999977</v>
      </c>
      <c r="DQ191" s="13">
        <f t="shared" si="176"/>
        <v>69.660903052386217</v>
      </c>
      <c r="DR191" s="20">
        <f t="shared" si="177"/>
        <v>631.25263281623893</v>
      </c>
      <c r="DS191" s="59">
        <f t="shared" si="125"/>
        <v>921.17102995491916</v>
      </c>
      <c r="DT191" s="59">
        <f ca="1">AVERAGE(OFFSET($DS$3,0,0,'Données projet'!$E$14+1,1))-AVERAGE(OFFSET($H$3,0,0,'Données projet'!$E$14+1,1))</f>
        <v>429.30603040255431</v>
      </c>
      <c r="DU191" s="59">
        <f t="shared" si="152"/>
        <v>412.18613903804726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7.2596980758941054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7.2596980758941054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210.25641025641013</v>
      </c>
      <c r="EK191" s="17">
        <f>EJ191*VLOOKUP('Données projet'!$B$15,Paramètres!$A$1:$I$89,3,0)*VLOOKUP('Données projet'!$B$15,Paramètres!$A$1:$I$89,5,0)</f>
        <v>163.99999999999991</v>
      </c>
      <c r="EL191" s="13">
        <f t="shared" si="179"/>
        <v>41.743425908362248</v>
      </c>
      <c r="EM191" s="20">
        <f t="shared" si="180"/>
        <v>358.33646679039742</v>
      </c>
      <c r="EN191" s="59">
        <f t="shared" si="128"/>
        <v>648.2548639290776</v>
      </c>
      <c r="EO191" s="59">
        <f ca="1">AVERAGE(OFFSET($EN$3,0,0,'Données projet'!$E$15+1,1))-AVERAGE(OFFSET($H$3,0,0,'Données projet'!$E$15+1,1))</f>
        <v>217.53602321474159</v>
      </c>
      <c r="EP191" s="59">
        <f t="shared" si="154"/>
        <v>215.75909414893025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3.0593790005481964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3.0593790005481964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19.8100000000004</v>
      </c>
      <c r="FF191" s="17">
        <f>FE191*VLOOKUP('Données projet'!$B$16,Paramètres!$A$1:$I$89,3,0)*VLOOKUP('Données projet'!$B$16,Paramètres!$A$1:$I$89,5,0)</f>
        <v>13.288548000000269</v>
      </c>
      <c r="FG191" s="13">
        <f t="shared" si="182"/>
        <v>4.531654695205642</v>
      </c>
      <c r="FH191" s="20">
        <f t="shared" si="183"/>
        <v>31.036853027483627</v>
      </c>
      <c r="FI191" s="59">
        <f t="shared" si="131"/>
        <v>320.95525016616386</v>
      </c>
      <c r="FJ191" s="59">
        <f ca="1">AVERAGE(OFFSET($FI$3,0,0,'Données projet'!$E$16+1,1))-AVERAGE(OFFSET($H$3,0,0,'Données projet'!$E$16+1,1))</f>
        <v>441.20130048888439</v>
      </c>
      <c r="FK191" s="59">
        <f t="shared" si="156"/>
        <v>237.47732532183946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81.885817398464312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81.885817398464312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204.00000000000017</v>
      </c>
      <c r="GA191" s="17">
        <f>FZ191*VLOOKUP('Données projet'!$B$17,Paramètres!$A$1:$I$89,3,0)*VLOOKUP('Données projet'!$B$17,Paramètres!$A$1:$I$89,5,0)</f>
        <v>133.66080000000011</v>
      </c>
      <c r="GB191" s="13">
        <f t="shared" si="185"/>
        <v>34.840890682716783</v>
      </c>
      <c r="GC191" s="20">
        <f t="shared" si="186"/>
        <v>293.4737779390652</v>
      </c>
      <c r="GD191" s="59">
        <f t="shared" si="134"/>
        <v>583.39217507774538</v>
      </c>
      <c r="GE191" s="59">
        <f ca="1">AVERAGE(OFFSET($GD$3,0,0,'Données projet'!$E$17+1,1))-AVERAGE(OFFSET($H$3,0,0,'Données projet'!$E$17+1,1))</f>
        <v>257.66104339896992</v>
      </c>
      <c r="GF191" s="59">
        <f t="shared" si="158"/>
        <v>254.79488636184996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5.6591837543931067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5.6591837543931067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234.00000000000003</v>
      </c>
      <c r="GV191" s="17">
        <f>GU191*VLOOKUP('Données projet'!$B$18,Paramètres!$A$1:$I$89,3,0)*VLOOKUP('Données projet'!$B$18,Paramètres!$A$1:$I$89,5,0)</f>
        <v>189.82080000000005</v>
      </c>
      <c r="GW191" s="13">
        <f t="shared" si="188"/>
        <v>47.500332100049796</v>
      </c>
      <c r="GX191" s="20">
        <f t="shared" si="189"/>
        <v>413.33430507425345</v>
      </c>
      <c r="GY191" s="59">
        <f t="shared" si="137"/>
        <v>703.25270221293363</v>
      </c>
      <c r="GZ191" s="59">
        <f ca="1">AVERAGE(OFFSET($GY$3,0,0,'Données projet'!$E$18+1,1))-AVERAGE(OFFSET($H$3,0,0,'Données projet'!$E$18+1,1))</f>
        <v>299.98377156721153</v>
      </c>
      <c r="HA191" s="59">
        <f t="shared" si="160"/>
        <v>241.36164657721102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5.4522808051942526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5.4522808051942526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19.8100000000004</v>
      </c>
      <c r="O192" s="13">
        <f>N192*VLOOKUP('Données projet'!$B$9,Paramètres!$A$1:$I$89,3,0)*VLOOKUP('Données projet'!$B$9,Paramètres!$A$1:$I$89,5,0)</f>
        <v>17.924088000000364</v>
      </c>
      <c r="P192" s="13">
        <f t="shared" si="141"/>
        <v>5.9032212091029486</v>
      </c>
      <c r="Q192" s="20">
        <f t="shared" si="162"/>
        <v>41.499230205854936</v>
      </c>
      <c r="R192" s="59">
        <f t="shared" si="109"/>
        <v>331.47686885285879</v>
      </c>
      <c r="S192" s="59">
        <f ca="1">AVERAGE(OFFSET($R$3,0,0,'Données projet'!$E$9+1,1))-AVERAGE(OFFSET($H$3,0,0,'Données projet'!$E$9+1,1))</f>
        <v>567.42635821507474</v>
      </c>
      <c r="T192" s="59">
        <f t="shared" si="142"/>
        <v>299.04735309930152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87.853679527404694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87.853679527404694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474.99999999999994</v>
      </c>
      <c r="AJ192" s="13">
        <f>AI192*VLOOKUP('Données projet'!$B$10,Paramètres!$A$1:$I$89,3,0)*VLOOKUP('Données projet'!$B$10,Paramètres!$A$1:$I$89,5,0)</f>
        <v>407.55</v>
      </c>
      <c r="AK192" s="13">
        <f t="shared" si="164"/>
        <v>93.305642095357683</v>
      </c>
      <c r="AL192" s="20">
        <f t="shared" si="165"/>
        <v>872.32357664941446</v>
      </c>
      <c r="AM192" s="59">
        <f t="shared" si="113"/>
        <v>1162.3012152964184</v>
      </c>
      <c r="AN192" s="59">
        <f ca="1">AVERAGE(OFFSET($AM$3,0,0,'Données projet'!$E$10+1,1))-AVERAGE(OFFSET($H$3,0,0,'Données projet'!$E$10+1,1))</f>
        <v>569.97793593332699</v>
      </c>
      <c r="AO192" s="59">
        <f t="shared" si="144"/>
        <v>331.25104323342907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31.166564165752519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31.166564165752519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277.99999999999994</v>
      </c>
      <c r="BE192" s="13">
        <f>BD192*VLOOKUP('Données projet'!$B$11,Paramètres!$A$1:$I$89,3,0)*VLOOKUP('Données projet'!$B$11,Paramètres!$A$1:$I$89,5,0)</f>
        <v>151.78799999999998</v>
      </c>
      <c r="BF192" s="13">
        <f t="shared" si="167"/>
        <v>38.984634390835623</v>
      </c>
      <c r="BG192" s="20">
        <f t="shared" si="168"/>
        <v>332.26233823070532</v>
      </c>
      <c r="BH192" s="59">
        <f t="shared" si="116"/>
        <v>622.23997687770918</v>
      </c>
      <c r="BI192" s="59">
        <f ca="1">AVERAGE(OFFSET($BH$3,0,0,'Données projet'!$E$11+1,1))-AVERAGE(OFFSET($H$3,0,0,'Données projet'!$E$11+1,1))</f>
        <v>215.37314197175104</v>
      </c>
      <c r="BJ192" s="59">
        <f t="shared" si="146"/>
        <v>361.17630426655978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1.5747165396422467</v>
      </c>
      <c r="BQ192" s="21">
        <f>EXP(-LN(2)/25)*BQ191+(1-EXP(-LN(2)/25))/(LN(2)/25)*Calculateur!BL192*Calculateur!BN192*VLOOKUP('Données projet'!$B$11,Paramètres!$A$1:$I$89,3,0)*0.475*44/12</f>
        <v>1.1692517481897744</v>
      </c>
      <c r="BR192" s="21">
        <f>EXP(-LN(2)/2)*BR191+(1-EXP(-LN(2)/2))/(LN(2)/2)*BL192*BO192*VLOOKUP('Données projet'!$B$11,Paramètres!$A$1:$I$89,3,0)*0.475*44/12</f>
        <v>2.9661482966417404E-26</v>
      </c>
      <c r="BS192" s="22">
        <f t="shared" si="169"/>
        <v>2.7439682878320211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0.8600000000003547</v>
      </c>
      <c r="BZ192" s="13">
        <f>BY192*VLOOKUP('Données projet'!$B$12,Paramètres!$A$1:$I$89,3,0)*VLOOKUP('Données projet'!$B$12,Paramètres!$A$1:$I$89,5,0)</f>
        <v>0.48074000000019829</v>
      </c>
      <c r="CA192" s="13">
        <f t="shared" si="170"/>
        <v>0.24126147010950588</v>
      </c>
      <c r="CB192" s="20">
        <f t="shared" si="171"/>
        <v>1.2574858937744013</v>
      </c>
      <c r="CC192" s="59">
        <f t="shared" si="119"/>
        <v>291.23512454077826</v>
      </c>
      <c r="CD192" s="59">
        <f ca="1">AVERAGE(OFFSET($CC$3,0,0,'Données projet'!$E$12+1,1))-AVERAGE(OFFSET($H$3,0,0,'Données projet'!$E$12+1,1))</f>
        <v>420.4890915162182</v>
      </c>
      <c r="CE192" s="59">
        <f t="shared" si="148"/>
        <v>553.48432338023565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26.168731474949197</v>
      </c>
      <c r="CL192" s="21">
        <f>EXP(-LN(2)/25)*CL191+(1-EXP(-LN(2)/25))/(LN(2)/25)*Calculateur!CG192*Calculateur!CI192*VLOOKUP('Données projet'!$B$12,Paramètres!$A$1:$I$89,3,0)*0.475*44/12</f>
        <v>0.61567724269499502</v>
      </c>
      <c r="CM192" s="21">
        <f>EXP(-LN(2)/2)*CM191+(1-EXP(-LN(2)/2))/(LN(2)/2)*CG192*CJ192*VLOOKUP('Données projet'!$B$12,Paramètres!$A$1:$I$89,3,0)*0.475*44/12</f>
        <v>8.6556646429511183E-25</v>
      </c>
      <c r="CN192" s="22">
        <f t="shared" si="172"/>
        <v>26.784408717644194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367.99999999999972</v>
      </c>
      <c r="CU192" s="17">
        <f>CT192*VLOOKUP('Données projet'!$B$13,Paramètres!$A$1:$I$89,3,0)*VLOOKUP('Données projet'!$B$13,Paramètres!$A$1:$I$89,5,0)</f>
        <v>269.8175999999998</v>
      </c>
      <c r="CV192" s="13">
        <f t="shared" si="173"/>
        <v>64.810557882019467</v>
      </c>
      <c r="CW192" s="20">
        <f t="shared" si="174"/>
        <v>582.81070831118348</v>
      </c>
      <c r="CX192" s="59">
        <f t="shared" si="122"/>
        <v>872.78834695818728</v>
      </c>
      <c r="CY192" s="59">
        <f ca="1">AVERAGE(OFFSET($CX$3,0,0,'Données projet'!$E$13+1,1))-AVERAGE(OFFSET($H$3,0,0,'Données projet'!$E$13+1,1))</f>
        <v>400.48995908576177</v>
      </c>
      <c r="CZ192" s="59">
        <f t="shared" si="150"/>
        <v>384.86917865380076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5.321547830383107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5.321547830383107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367.99999999999972</v>
      </c>
      <c r="DP192" s="17">
        <f>DO192*VLOOKUP('Données projet'!$B$14,Paramètres!$A$1:$I$89,3,0)*VLOOKUP('Données projet'!$B$14,Paramètres!$A$1:$I$89,5,0)</f>
        <v>292.78079999999977</v>
      </c>
      <c r="DQ192" s="13">
        <f t="shared" si="176"/>
        <v>69.660903052386217</v>
      </c>
      <c r="DR192" s="20">
        <f t="shared" si="177"/>
        <v>631.25263281623893</v>
      </c>
      <c r="DS192" s="59">
        <f t="shared" si="125"/>
        <v>921.23027146324284</v>
      </c>
      <c r="DT192" s="59">
        <f ca="1">AVERAGE(OFFSET($DS$3,0,0,'Données projet'!$E$14+1,1))-AVERAGE(OFFSET($H$3,0,0,'Données projet'!$E$14+1,1))</f>
        <v>429.30603040255431</v>
      </c>
      <c r="DU192" s="59">
        <f t="shared" si="152"/>
        <v>412.18613903804726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7.1173398246044215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7.1173398246044215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210.25641025641013</v>
      </c>
      <c r="EK192" s="17">
        <f>EJ192*VLOOKUP('Données projet'!$B$15,Paramètres!$A$1:$I$89,3,0)*VLOOKUP('Données projet'!$B$15,Paramètres!$A$1:$I$89,5,0)</f>
        <v>163.99999999999991</v>
      </c>
      <c r="EL192" s="13">
        <f t="shared" si="179"/>
        <v>41.743425908362248</v>
      </c>
      <c r="EM192" s="20">
        <f t="shared" si="180"/>
        <v>358.33646679039742</v>
      </c>
      <c r="EN192" s="59">
        <f t="shared" si="128"/>
        <v>648.31410543740128</v>
      </c>
      <c r="EO192" s="59">
        <f ca="1">AVERAGE(OFFSET($EN$3,0,0,'Données projet'!$E$15+1,1))-AVERAGE(OFFSET($H$3,0,0,'Données projet'!$E$15+1,1))</f>
        <v>217.53602321474159</v>
      </c>
      <c r="EP192" s="59">
        <f t="shared" si="154"/>
        <v>215.75909414893025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2.9993864443843807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2.9993864443843807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19.8100000000004</v>
      </c>
      <c r="FF192" s="17">
        <f>FE192*VLOOKUP('Données projet'!$B$16,Paramètres!$A$1:$I$89,3,0)*VLOOKUP('Données projet'!$B$16,Paramètres!$A$1:$I$89,5,0)</f>
        <v>13.288548000000269</v>
      </c>
      <c r="FG192" s="13">
        <f t="shared" si="182"/>
        <v>4.531654695205642</v>
      </c>
      <c r="FH192" s="20">
        <f t="shared" si="183"/>
        <v>31.036853027483627</v>
      </c>
      <c r="FI192" s="59">
        <f t="shared" si="131"/>
        <v>321.01449167448749</v>
      </c>
      <c r="FJ192" s="59">
        <f ca="1">AVERAGE(OFFSET($FI$3,0,0,'Données projet'!$E$16+1,1))-AVERAGE(OFFSET($H$3,0,0,'Données projet'!$E$16+1,1))</f>
        <v>441.20130048888439</v>
      </c>
      <c r="FK192" s="59">
        <f t="shared" si="156"/>
        <v>237.47732532183946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80.280086464697334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80.280086464697334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204.00000000000017</v>
      </c>
      <c r="GA192" s="17">
        <f>FZ192*VLOOKUP('Données projet'!$B$17,Paramètres!$A$1:$I$89,3,0)*VLOOKUP('Données projet'!$B$17,Paramètres!$A$1:$I$89,5,0)</f>
        <v>133.66080000000011</v>
      </c>
      <c r="GB192" s="13">
        <f t="shared" si="185"/>
        <v>34.840890682716783</v>
      </c>
      <c r="GC192" s="20">
        <f t="shared" si="186"/>
        <v>293.4737779390652</v>
      </c>
      <c r="GD192" s="59">
        <f t="shared" si="134"/>
        <v>583.45141658606906</v>
      </c>
      <c r="GE192" s="59">
        <f ca="1">AVERAGE(OFFSET($GD$3,0,0,'Données projet'!$E$17+1,1))-AVERAGE(OFFSET($H$3,0,0,'Données projet'!$E$17+1,1))</f>
        <v>257.66104339896992</v>
      </c>
      <c r="GF192" s="59">
        <f t="shared" si="158"/>
        <v>254.79488636184996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5.5482106127307151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5.5482106127307151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234.00000000000003</v>
      </c>
      <c r="GV192" s="17">
        <f>GU192*VLOOKUP('Données projet'!$B$18,Paramètres!$A$1:$I$89,3,0)*VLOOKUP('Données projet'!$B$18,Paramètres!$A$1:$I$89,5,0)</f>
        <v>189.82080000000005</v>
      </c>
      <c r="GW192" s="13">
        <f t="shared" si="188"/>
        <v>47.500332100049796</v>
      </c>
      <c r="GX192" s="20">
        <f t="shared" si="189"/>
        <v>413.33430507425345</v>
      </c>
      <c r="GY192" s="59">
        <f t="shared" si="137"/>
        <v>703.31194372125731</v>
      </c>
      <c r="GZ192" s="59">
        <f ca="1">AVERAGE(OFFSET($GY$3,0,0,'Données projet'!$E$18+1,1))-AVERAGE(OFFSET($H$3,0,0,'Données projet'!$E$18+1,1))</f>
        <v>299.98377156721153</v>
      </c>
      <c r="HA192" s="59">
        <f t="shared" si="160"/>
        <v>241.36164657721102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5.3453649041673126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5.3453649041673126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19.8100000000004</v>
      </c>
      <c r="O193" s="13">
        <f>N193*VLOOKUP('Données projet'!$B$9,Paramètres!$A$1:$I$89,3,0)*VLOOKUP('Données projet'!$B$9,Paramètres!$A$1:$I$89,5,0)</f>
        <v>17.924088000000364</v>
      </c>
      <c r="P193" s="13">
        <f t="shared" si="141"/>
        <v>5.9032212091029486</v>
      </c>
      <c r="Q193" s="20">
        <f t="shared" si="162"/>
        <v>41.499230205854936</v>
      </c>
      <c r="R193" s="59">
        <f t="shared" si="109"/>
        <v>331.53508265345721</v>
      </c>
      <c r="S193" s="59">
        <f ca="1">AVERAGE(OFFSET($R$3,0,0,'Données projet'!$E$9+1,1))-AVERAGE(OFFSET($H$3,0,0,'Données projet'!$E$9+1,1))</f>
        <v>567.42635821507474</v>
      </c>
      <c r="T193" s="59">
        <f t="shared" si="142"/>
        <v>299.04735309930152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86.130922457325681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86.130922457325681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474.99999999999994</v>
      </c>
      <c r="AJ193" s="13">
        <f>AI193*VLOOKUP('Données projet'!$B$10,Paramètres!$A$1:$I$89,3,0)*VLOOKUP('Données projet'!$B$10,Paramètres!$A$1:$I$89,5,0)</f>
        <v>407.55</v>
      </c>
      <c r="AK193" s="13">
        <f t="shared" si="164"/>
        <v>93.305642095357683</v>
      </c>
      <c r="AL193" s="20">
        <f t="shared" si="165"/>
        <v>872.32357664941446</v>
      </c>
      <c r="AM193" s="59">
        <f t="shared" si="113"/>
        <v>1162.3594290970168</v>
      </c>
      <c r="AN193" s="59">
        <f ca="1">AVERAGE(OFFSET($AM$3,0,0,'Données projet'!$E$10+1,1))-AVERAGE(OFFSET($H$3,0,0,'Données projet'!$E$10+1,1))</f>
        <v>569.97793593332699</v>
      </c>
      <c r="AO193" s="59">
        <f t="shared" si="144"/>
        <v>331.25104323342907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30.555406852189197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30.555406852189197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277.99999999999994</v>
      </c>
      <c r="BE193" s="13">
        <f>BD193*VLOOKUP('Données projet'!$B$11,Paramètres!$A$1:$I$89,3,0)*VLOOKUP('Données projet'!$B$11,Paramètres!$A$1:$I$89,5,0)</f>
        <v>151.78799999999998</v>
      </c>
      <c r="BF193" s="13">
        <f t="shared" si="167"/>
        <v>38.984634390835623</v>
      </c>
      <c r="BG193" s="20">
        <f t="shared" si="168"/>
        <v>332.26233823070532</v>
      </c>
      <c r="BH193" s="59">
        <f t="shared" si="116"/>
        <v>622.29819067830761</v>
      </c>
      <c r="BI193" s="59">
        <f ca="1">AVERAGE(OFFSET($BH$3,0,0,'Données projet'!$E$11+1,1))-AVERAGE(OFFSET($H$3,0,0,'Données projet'!$E$11+1,1))</f>
        <v>215.37314197175104</v>
      </c>
      <c r="BJ193" s="59">
        <f t="shared" si="146"/>
        <v>361.17630426655978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1.5438373087821116</v>
      </c>
      <c r="BQ193" s="21">
        <f>EXP(-LN(2)/25)*BQ192+(1-EXP(-LN(2)/25))/(LN(2)/25)*Calculateur!BL193*Calculateur!BN193*VLOOKUP('Données projet'!$B$11,Paramètres!$A$1:$I$89,3,0)*0.475*44/12</f>
        <v>1.1372784976472479</v>
      </c>
      <c r="BR193" s="21">
        <f>EXP(-LN(2)/2)*BR192+(1-EXP(-LN(2)/2))/(LN(2)/2)*BL193*BO193*VLOOKUP('Données projet'!$B$11,Paramètres!$A$1:$I$89,3,0)*0.475*44/12</f>
        <v>2.0973835745603018E-26</v>
      </c>
      <c r="BS193" s="22">
        <f t="shared" si="169"/>
        <v>2.6811158064293594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0.8600000000003547</v>
      </c>
      <c r="BZ193" s="13">
        <f>BY193*VLOOKUP('Données projet'!$B$12,Paramètres!$A$1:$I$89,3,0)*VLOOKUP('Données projet'!$B$12,Paramètres!$A$1:$I$89,5,0)</f>
        <v>0.48074000000019829</v>
      </c>
      <c r="CA193" s="13">
        <f t="shared" si="170"/>
        <v>0.24126147010950588</v>
      </c>
      <c r="CB193" s="20">
        <f t="shared" si="171"/>
        <v>1.2574858937744013</v>
      </c>
      <c r="CC193" s="59">
        <f t="shared" si="119"/>
        <v>291.29333834137668</v>
      </c>
      <c r="CD193" s="59">
        <f ca="1">AVERAGE(OFFSET($CC$3,0,0,'Données projet'!$E$12+1,1))-AVERAGE(OFFSET($H$3,0,0,'Données projet'!$E$12+1,1))</f>
        <v>420.4890915162182</v>
      </c>
      <c r="CE193" s="59">
        <f t="shared" si="148"/>
        <v>553.48432338023565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25.65557861207559</v>
      </c>
      <c r="CL193" s="21">
        <f>EXP(-LN(2)/25)*CL192+(1-EXP(-LN(2)/25))/(LN(2)/25)*Calculateur!CG193*Calculateur!CI193*VLOOKUP('Données projet'!$B$12,Paramètres!$A$1:$I$89,3,0)*0.475*44/12</f>
        <v>0.59884151611644132</v>
      </c>
      <c r="CM193" s="21">
        <f>EXP(-LN(2)/2)*CM192+(1-EXP(-LN(2)/2))/(LN(2)/2)*CG193*CJ193*VLOOKUP('Données projet'!$B$12,Paramètres!$A$1:$I$89,3,0)*0.475*44/12</f>
        <v>6.1204791647073726E-25</v>
      </c>
      <c r="CN193" s="22">
        <f t="shared" si="172"/>
        <v>26.254420128192031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367.99999999999972</v>
      </c>
      <c r="CU193" s="17">
        <f>CT193*VLOOKUP('Données projet'!$B$13,Paramètres!$A$1:$I$89,3,0)*VLOOKUP('Données projet'!$B$13,Paramètres!$A$1:$I$89,5,0)</f>
        <v>269.8175999999998</v>
      </c>
      <c r="CV193" s="13">
        <f t="shared" si="173"/>
        <v>64.810557882019467</v>
      </c>
      <c r="CW193" s="20">
        <f t="shared" si="174"/>
        <v>582.81070831118348</v>
      </c>
      <c r="CX193" s="59">
        <f t="shared" si="122"/>
        <v>872.8465607587857</v>
      </c>
      <c r="CY193" s="59">
        <f ca="1">AVERAGE(OFFSET($CX$3,0,0,'Données projet'!$E$13+1,1))-AVERAGE(OFFSET($H$3,0,0,'Données projet'!$E$13+1,1))</f>
        <v>400.48995908576177</v>
      </c>
      <c r="CZ193" s="59">
        <f t="shared" si="150"/>
        <v>384.86917865380076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5.2171955232529719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5.2171955232529719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367.99999999999972</v>
      </c>
      <c r="DP193" s="17">
        <f>DO193*VLOOKUP('Données projet'!$B$14,Paramètres!$A$1:$I$89,3,0)*VLOOKUP('Données projet'!$B$14,Paramètres!$A$1:$I$89,5,0)</f>
        <v>292.78079999999977</v>
      </c>
      <c r="DQ193" s="13">
        <f t="shared" si="176"/>
        <v>69.660903052386217</v>
      </c>
      <c r="DR193" s="20">
        <f t="shared" si="177"/>
        <v>631.25263281623893</v>
      </c>
      <c r="DS193" s="59">
        <f t="shared" si="125"/>
        <v>921.28848526384127</v>
      </c>
      <c r="DT193" s="59">
        <f ca="1">AVERAGE(OFFSET($DS$3,0,0,'Données projet'!$E$14+1,1))-AVERAGE(OFFSET($H$3,0,0,'Données projet'!$E$14+1,1))</f>
        <v>429.30603040255431</v>
      </c>
      <c r="DU193" s="59">
        <f t="shared" si="152"/>
        <v>412.18613903804726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6.9777731317925689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6.9777731317925689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210.25641025641013</v>
      </c>
      <c r="EK193" s="17">
        <f>EJ193*VLOOKUP('Données projet'!$B$15,Paramètres!$A$1:$I$89,3,0)*VLOOKUP('Données projet'!$B$15,Paramètres!$A$1:$I$89,5,0)</f>
        <v>163.99999999999991</v>
      </c>
      <c r="EL193" s="13">
        <f t="shared" si="179"/>
        <v>41.743425908362248</v>
      </c>
      <c r="EM193" s="20">
        <f t="shared" si="180"/>
        <v>358.33646679039742</v>
      </c>
      <c r="EN193" s="59">
        <f t="shared" si="128"/>
        <v>648.3723192379997</v>
      </c>
      <c r="EO193" s="59">
        <f ca="1">AVERAGE(OFFSET($EN$3,0,0,'Données projet'!$E$15+1,1))-AVERAGE(OFFSET($H$3,0,0,'Données projet'!$E$15+1,1))</f>
        <v>217.53602321474159</v>
      </c>
      <c r="EP193" s="59">
        <f t="shared" si="154"/>
        <v>215.75909414893025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2.9405703056550916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2.9405703056550916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19.8100000000004</v>
      </c>
      <c r="FF193" s="17">
        <f>FE193*VLOOKUP('Données projet'!$B$16,Paramètres!$A$1:$I$89,3,0)*VLOOKUP('Données projet'!$B$16,Paramètres!$A$1:$I$89,5,0)</f>
        <v>13.288548000000269</v>
      </c>
      <c r="FG193" s="13">
        <f t="shared" si="182"/>
        <v>4.531654695205642</v>
      </c>
      <c r="FH193" s="20">
        <f t="shared" si="183"/>
        <v>31.036853027483627</v>
      </c>
      <c r="FI193" s="59">
        <f t="shared" si="131"/>
        <v>321.07270547508591</v>
      </c>
      <c r="FJ193" s="59">
        <f ca="1">AVERAGE(OFFSET($FI$3,0,0,'Données projet'!$E$16+1,1))-AVERAGE(OFFSET($H$3,0,0,'Données projet'!$E$16+1,1))</f>
        <v>441.20130048888439</v>
      </c>
      <c r="FK193" s="59">
        <f t="shared" si="156"/>
        <v>237.47732532183946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78.705842935142371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78.705842935142371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204.00000000000017</v>
      </c>
      <c r="GA193" s="17">
        <f>FZ193*VLOOKUP('Données projet'!$B$17,Paramètres!$A$1:$I$89,3,0)*VLOOKUP('Données projet'!$B$17,Paramètres!$A$1:$I$89,5,0)</f>
        <v>133.66080000000011</v>
      </c>
      <c r="GB193" s="13">
        <f t="shared" si="185"/>
        <v>34.840890682716783</v>
      </c>
      <c r="GC193" s="20">
        <f t="shared" si="186"/>
        <v>293.4737779390652</v>
      </c>
      <c r="GD193" s="59">
        <f t="shared" si="134"/>
        <v>583.50963038666748</v>
      </c>
      <c r="GE193" s="59">
        <f ca="1">AVERAGE(OFFSET($GD$3,0,0,'Données projet'!$E$17+1,1))-AVERAGE(OFFSET($H$3,0,0,'Données projet'!$E$17+1,1))</f>
        <v>257.66104339896992</v>
      </c>
      <c r="GF193" s="59">
        <f t="shared" si="158"/>
        <v>254.79488636184996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5.4394135866893896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5.4394135866893896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234.00000000000003</v>
      </c>
      <c r="GV193" s="17">
        <f>GU193*VLOOKUP('Données projet'!$B$18,Paramètres!$A$1:$I$89,3,0)*VLOOKUP('Données projet'!$B$18,Paramètres!$A$1:$I$89,5,0)</f>
        <v>189.82080000000005</v>
      </c>
      <c r="GW193" s="13">
        <f t="shared" si="188"/>
        <v>47.500332100049796</v>
      </c>
      <c r="GX193" s="20">
        <f t="shared" si="189"/>
        <v>413.33430507425345</v>
      </c>
      <c r="GY193" s="59">
        <f t="shared" si="137"/>
        <v>703.37015752185573</v>
      </c>
      <c r="GZ193" s="59">
        <f ca="1">AVERAGE(OFFSET($GY$3,0,0,'Données projet'!$E$18+1,1))-AVERAGE(OFFSET($H$3,0,0,'Données projet'!$E$18+1,1))</f>
        <v>299.98377156721153</v>
      </c>
      <c r="HA193" s="59">
        <f t="shared" si="160"/>
        <v>241.36164657721102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5.2405455587472503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5.2405455587472503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19.8100000000004</v>
      </c>
      <c r="O194" s="13">
        <f>N194*VLOOKUP('Données projet'!$B$9,Paramètres!$A$1:$I$89,3,0)*VLOOKUP('Données projet'!$B$9,Paramètres!$A$1:$I$89,5,0)</f>
        <v>17.924088000000364</v>
      </c>
      <c r="P194" s="13">
        <f t="shared" si="141"/>
        <v>5.9032212091029486</v>
      </c>
      <c r="Q194" s="20">
        <f t="shared" si="162"/>
        <v>41.499230205854936</v>
      </c>
      <c r="R194" s="59">
        <f t="shared" si="109"/>
        <v>331.59228657476177</v>
      </c>
      <c r="S194" s="59">
        <f ca="1">AVERAGE(OFFSET($R$3,0,0,'Données projet'!$E$9+1,1))-AVERAGE(OFFSET($H$3,0,0,'Données projet'!$E$9+1,1))</f>
        <v>567.42635821507474</v>
      </c>
      <c r="T194" s="59">
        <f t="shared" si="142"/>
        <v>299.04735309930152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84.441947602612856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84.441947602612856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474.99999999999994</v>
      </c>
      <c r="AJ194" s="13">
        <f>AI194*VLOOKUP('Données projet'!$B$10,Paramètres!$A$1:$I$89,3,0)*VLOOKUP('Données projet'!$B$10,Paramètres!$A$1:$I$89,5,0)</f>
        <v>407.55</v>
      </c>
      <c r="AK194" s="13">
        <f t="shared" si="164"/>
        <v>93.305642095357683</v>
      </c>
      <c r="AL194" s="20">
        <f t="shared" si="165"/>
        <v>872.32357664941446</v>
      </c>
      <c r="AM194" s="59">
        <f t="shared" si="113"/>
        <v>1162.4166330183214</v>
      </c>
      <c r="AN194" s="59">
        <f ca="1">AVERAGE(OFFSET($AM$3,0,0,'Données projet'!$E$10+1,1))-AVERAGE(OFFSET($H$3,0,0,'Données projet'!$E$10+1,1))</f>
        <v>569.97793593332699</v>
      </c>
      <c r="AO194" s="59">
        <f t="shared" si="144"/>
        <v>331.25104323342907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29.956233960775698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29.956233960775698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277.99999999999994</v>
      </c>
      <c r="BE194" s="13">
        <f>BD194*VLOOKUP('Données projet'!$B$11,Paramètres!$A$1:$I$89,3,0)*VLOOKUP('Données projet'!$B$11,Paramètres!$A$1:$I$89,5,0)</f>
        <v>151.78799999999998</v>
      </c>
      <c r="BF194" s="13">
        <f t="shared" si="167"/>
        <v>38.984634390835623</v>
      </c>
      <c r="BG194" s="20">
        <f t="shared" si="168"/>
        <v>332.26233823070532</v>
      </c>
      <c r="BH194" s="59">
        <f t="shared" si="116"/>
        <v>622.35539459961217</v>
      </c>
      <c r="BI194" s="59">
        <f ca="1">AVERAGE(OFFSET($BH$3,0,0,'Données projet'!$E$11+1,1))-AVERAGE(OFFSET($H$3,0,0,'Données projet'!$E$11+1,1))</f>
        <v>215.37314197175104</v>
      </c>
      <c r="BJ194" s="59">
        <f t="shared" si="146"/>
        <v>361.17630426655978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1.5135636008046727</v>
      </c>
      <c r="BQ194" s="21">
        <f>EXP(-LN(2)/25)*BQ193+(1-EXP(-LN(2)/25))/(LN(2)/25)*Calculateur!BL194*Calculateur!BN194*VLOOKUP('Données projet'!$B$11,Paramètres!$A$1:$I$89,3,0)*0.475*44/12</f>
        <v>1.1061795573222071</v>
      </c>
      <c r="BR194" s="21">
        <f>EXP(-LN(2)/2)*BR193+(1-EXP(-LN(2)/2))/(LN(2)/2)*BL194*BO194*VLOOKUP('Données projet'!$B$11,Paramètres!$A$1:$I$89,3,0)*0.475*44/12</f>
        <v>1.4830741483208702E-26</v>
      </c>
      <c r="BS194" s="22">
        <f t="shared" si="169"/>
        <v>2.6197431581268797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0.8600000000003547</v>
      </c>
      <c r="BZ194" s="13">
        <f>BY194*VLOOKUP('Données projet'!$B$12,Paramètres!$A$1:$I$89,3,0)*VLOOKUP('Données projet'!$B$12,Paramètres!$A$1:$I$89,5,0)</f>
        <v>0.48074000000019829</v>
      </c>
      <c r="CA194" s="13">
        <f t="shared" si="170"/>
        <v>0.24126147010950588</v>
      </c>
      <c r="CB194" s="20">
        <f t="shared" si="171"/>
        <v>1.2574858937744013</v>
      </c>
      <c r="CC194" s="59">
        <f t="shared" si="119"/>
        <v>291.35054226268124</v>
      </c>
      <c r="CD194" s="59">
        <f ca="1">AVERAGE(OFFSET($CC$3,0,0,'Données projet'!$E$12+1,1))-AVERAGE(OFFSET($H$3,0,0,'Données projet'!$E$12+1,1))</f>
        <v>420.4890915162182</v>
      </c>
      <c r="CE194" s="59">
        <f t="shared" si="148"/>
        <v>553.48432338023565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25.152488363850594</v>
      </c>
      <c r="CL194" s="21">
        <f>EXP(-LN(2)/25)*CL193+(1-EXP(-LN(2)/25))/(LN(2)/25)*Calculateur!CG194*Calculateur!CI194*VLOOKUP('Données projet'!$B$12,Paramètres!$A$1:$I$89,3,0)*0.475*44/12</f>
        <v>0.58246616336653056</v>
      </c>
      <c r="CM194" s="21">
        <f>EXP(-LN(2)/2)*CM193+(1-EXP(-LN(2)/2))/(LN(2)/2)*CG194*CJ194*VLOOKUP('Données projet'!$B$12,Paramètres!$A$1:$I$89,3,0)*0.475*44/12</f>
        <v>4.3278323214755591E-25</v>
      </c>
      <c r="CN194" s="22">
        <f t="shared" si="172"/>
        <v>25.734954527217123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367.99999999999972</v>
      </c>
      <c r="CU194" s="17">
        <f>CT194*VLOOKUP('Données projet'!$B$13,Paramètres!$A$1:$I$89,3,0)*VLOOKUP('Données projet'!$B$13,Paramètres!$A$1:$I$89,5,0)</f>
        <v>269.8175999999998</v>
      </c>
      <c r="CV194" s="13">
        <f t="shared" si="173"/>
        <v>64.810557882019467</v>
      </c>
      <c r="CW194" s="20">
        <f t="shared" si="174"/>
        <v>582.81070831118348</v>
      </c>
      <c r="CX194" s="59">
        <f t="shared" si="122"/>
        <v>872.90376468009026</v>
      </c>
      <c r="CY194" s="59">
        <f ca="1">AVERAGE(OFFSET($CX$3,0,0,'Données projet'!$E$13+1,1))-AVERAGE(OFFSET($H$3,0,0,'Données projet'!$E$13+1,1))</f>
        <v>400.48995908576177</v>
      </c>
      <c r="CZ194" s="59">
        <f t="shared" si="150"/>
        <v>384.86917865380076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5.1148895012170366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5.1148895012170366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367.99999999999972</v>
      </c>
      <c r="DP194" s="17">
        <f>DO194*VLOOKUP('Données projet'!$B$14,Paramètres!$A$1:$I$89,3,0)*VLOOKUP('Données projet'!$B$14,Paramètres!$A$1:$I$89,5,0)</f>
        <v>292.78079999999977</v>
      </c>
      <c r="DQ194" s="13">
        <f t="shared" si="176"/>
        <v>69.660903052386217</v>
      </c>
      <c r="DR194" s="20">
        <f t="shared" si="177"/>
        <v>631.25263281623893</v>
      </c>
      <c r="DS194" s="59">
        <f t="shared" si="125"/>
        <v>921.34568918514583</v>
      </c>
      <c r="DT194" s="59">
        <f ca="1">AVERAGE(OFFSET($DS$3,0,0,'Données projet'!$E$14+1,1))-AVERAGE(OFFSET($H$3,0,0,'Données projet'!$E$14+1,1))</f>
        <v>429.30603040255431</v>
      </c>
      <c r="DU194" s="59">
        <f t="shared" si="152"/>
        <v>412.18613903804726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6.8409432566994797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6.8409432566994797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210.25641025641013</v>
      </c>
      <c r="EK194" s="17">
        <f>EJ194*VLOOKUP('Données projet'!$B$15,Paramètres!$A$1:$I$89,3,0)*VLOOKUP('Données projet'!$B$15,Paramètres!$A$1:$I$89,5,0)</f>
        <v>163.99999999999991</v>
      </c>
      <c r="EL194" s="13">
        <f t="shared" si="179"/>
        <v>41.743425908362248</v>
      </c>
      <c r="EM194" s="20">
        <f t="shared" si="180"/>
        <v>358.33646679039742</v>
      </c>
      <c r="EN194" s="59">
        <f t="shared" si="128"/>
        <v>648.42952315930427</v>
      </c>
      <c r="EO194" s="59">
        <f ca="1">AVERAGE(OFFSET($EN$3,0,0,'Données projet'!$E$15+1,1))-AVERAGE(OFFSET($H$3,0,0,'Données projet'!$E$15+1,1))</f>
        <v>217.53602321474159</v>
      </c>
      <c r="EP194" s="59">
        <f t="shared" si="154"/>
        <v>215.75909414893025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2.8829075155319814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2.8829075155319814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19.8100000000004</v>
      </c>
      <c r="FF194" s="17">
        <f>FE194*VLOOKUP('Données projet'!$B$16,Paramètres!$A$1:$I$89,3,0)*VLOOKUP('Données projet'!$B$16,Paramètres!$A$1:$I$89,5,0)</f>
        <v>13.288548000000269</v>
      </c>
      <c r="FG194" s="13">
        <f t="shared" si="182"/>
        <v>4.531654695205642</v>
      </c>
      <c r="FH194" s="20">
        <f t="shared" si="183"/>
        <v>31.036853027483627</v>
      </c>
      <c r="FI194" s="59">
        <f t="shared" si="131"/>
        <v>321.12990939639047</v>
      </c>
      <c r="FJ194" s="59">
        <f ca="1">AVERAGE(OFFSET($FI$3,0,0,'Données projet'!$E$16+1,1))-AVERAGE(OFFSET($H$3,0,0,'Données projet'!$E$16+1,1))</f>
        <v>441.20130048888439</v>
      </c>
      <c r="FK194" s="59">
        <f t="shared" si="156"/>
        <v>237.47732532183946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77.162469361008235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77.162469361008235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204.00000000000017</v>
      </c>
      <c r="GA194" s="17">
        <f>FZ194*VLOOKUP('Données projet'!$B$17,Paramètres!$A$1:$I$89,3,0)*VLOOKUP('Données projet'!$B$17,Paramètres!$A$1:$I$89,5,0)</f>
        <v>133.66080000000011</v>
      </c>
      <c r="GB194" s="13">
        <f t="shared" si="185"/>
        <v>34.840890682716783</v>
      </c>
      <c r="GC194" s="20">
        <f t="shared" si="186"/>
        <v>293.4737779390652</v>
      </c>
      <c r="GD194" s="59">
        <f t="shared" si="134"/>
        <v>583.56683430797204</v>
      </c>
      <c r="GE194" s="59">
        <f ca="1">AVERAGE(OFFSET($GD$3,0,0,'Données projet'!$E$17+1,1))-AVERAGE(OFFSET($H$3,0,0,'Données projet'!$E$17+1,1))</f>
        <v>257.66104339896992</v>
      </c>
      <c r="GF194" s="59">
        <f t="shared" si="158"/>
        <v>254.79488636184996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5.3327500039691014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5.3327500039691014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234.00000000000003</v>
      </c>
      <c r="GV194" s="17">
        <f>GU194*VLOOKUP('Données projet'!$B$18,Paramètres!$A$1:$I$89,3,0)*VLOOKUP('Données projet'!$B$18,Paramètres!$A$1:$I$89,5,0)</f>
        <v>189.82080000000005</v>
      </c>
      <c r="GW194" s="13">
        <f t="shared" si="188"/>
        <v>47.500332100049796</v>
      </c>
      <c r="GX194" s="20">
        <f t="shared" si="189"/>
        <v>413.33430507425345</v>
      </c>
      <c r="GY194" s="59">
        <f t="shared" si="137"/>
        <v>703.42736144316029</v>
      </c>
      <c r="GZ194" s="59">
        <f ca="1">AVERAGE(OFFSET($GY$3,0,0,'Données projet'!$E$18+1,1))-AVERAGE(OFFSET($H$3,0,0,'Données projet'!$E$18+1,1))</f>
        <v>299.98377156721153</v>
      </c>
      <c r="HA194" s="59">
        <f t="shared" si="160"/>
        <v>241.36164657721102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5.1377816567573875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5.1377816567573875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19.8100000000004</v>
      </c>
      <c r="O195" s="13">
        <f>N195*VLOOKUP('Données projet'!$B$9,Paramètres!$A$1:$I$89,3,0)*VLOOKUP('Données projet'!$B$9,Paramètres!$A$1:$I$89,5,0)</f>
        <v>17.924088000000364</v>
      </c>
      <c r="P195" s="13">
        <f t="shared" si="141"/>
        <v>5.9032212091029486</v>
      </c>
      <c r="Q195" s="20">
        <f t="shared" si="162"/>
        <v>41.499230205854936</v>
      </c>
      <c r="R195" s="59">
        <f t="shared" ref="R195:R203" si="191">Q195+(I195+J195)*44/12</f>
        <v>331.64849813592059</v>
      </c>
      <c r="S195" s="59">
        <f ca="1">AVERAGE(OFFSET($R$3,0,0,'Données projet'!$E$9+1,1))-AVERAGE(OFFSET($H$3,0,0,'Données projet'!$E$9+1,1))</f>
        <v>567.42635821507474</v>
      </c>
      <c r="T195" s="59">
        <f t="shared" si="142"/>
        <v>299.04735309930152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82.78609251462801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82.78609251462801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474.99999999999994</v>
      </c>
      <c r="AJ195" s="13">
        <f>AI195*VLOOKUP('Données projet'!$B$10,Paramètres!$A$1:$I$89,3,0)*VLOOKUP('Données projet'!$B$10,Paramètres!$A$1:$I$89,5,0)</f>
        <v>407.55</v>
      </c>
      <c r="AK195" s="13">
        <f t="shared" si="164"/>
        <v>93.305642095357683</v>
      </c>
      <c r="AL195" s="20">
        <f t="shared" si="165"/>
        <v>872.32357664941446</v>
      </c>
      <c r="AM195" s="59">
        <f t="shared" si="113"/>
        <v>1162.4728445794801</v>
      </c>
      <c r="AN195" s="59">
        <f ca="1">AVERAGE(OFFSET($AM$3,0,0,'Données projet'!$E$10+1,1))-AVERAGE(OFFSET($H$3,0,0,'Données projet'!$E$10+1,1))</f>
        <v>569.97793593332699</v>
      </c>
      <c r="AO195" s="59">
        <f t="shared" si="144"/>
        <v>331.25104323342907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29.368810484303442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29.368810484303442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277.99999999999994</v>
      </c>
      <c r="BE195" s="13">
        <f>BD195*VLOOKUP('Données projet'!$B$11,Paramètres!$A$1:$I$89,3,0)*VLOOKUP('Données projet'!$B$11,Paramètres!$A$1:$I$89,5,0)</f>
        <v>151.78799999999998</v>
      </c>
      <c r="BF195" s="13">
        <f t="shared" si="167"/>
        <v>38.984634390835623</v>
      </c>
      <c r="BG195" s="20">
        <f t="shared" si="168"/>
        <v>332.26233823070532</v>
      </c>
      <c r="BH195" s="59">
        <f t="shared" si="116"/>
        <v>622.41160616077104</v>
      </c>
      <c r="BI195" s="59">
        <f ca="1">AVERAGE(OFFSET($BH$3,0,0,'Données projet'!$E$11+1,1))-AVERAGE(OFFSET($H$3,0,0,'Données projet'!$E$11+1,1))</f>
        <v>215.37314197175104</v>
      </c>
      <c r="BJ195" s="59">
        <f t="shared" si="146"/>
        <v>361.17630426655978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1.4838835417755327</v>
      </c>
      <c r="BQ195" s="21">
        <f>EXP(-LN(2)/25)*BQ194+(1-EXP(-LN(2)/25))/(LN(2)/25)*Calculateur!BL195*Calculateur!BN195*VLOOKUP('Données projet'!$B$11,Paramètres!$A$1:$I$89,3,0)*0.475*44/12</f>
        <v>1.0759310191557767</v>
      </c>
      <c r="BR195" s="21">
        <f>EXP(-LN(2)/2)*BR194+(1-EXP(-LN(2)/2))/(LN(2)/2)*BL195*BO195*VLOOKUP('Données projet'!$B$11,Paramètres!$A$1:$I$89,3,0)*0.475*44/12</f>
        <v>1.0486917872801509E-26</v>
      </c>
      <c r="BS195" s="22">
        <f t="shared" si="169"/>
        <v>2.5598145609313097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0.8600000000003547</v>
      </c>
      <c r="BZ195" s="13">
        <f>BY195*VLOOKUP('Données projet'!$B$12,Paramètres!$A$1:$I$89,3,0)*VLOOKUP('Données projet'!$B$12,Paramètres!$A$1:$I$89,5,0)</f>
        <v>0.48074000000019829</v>
      </c>
      <c r="CA195" s="13">
        <f t="shared" si="170"/>
        <v>0.24126147010950588</v>
      </c>
      <c r="CB195" s="20">
        <f t="shared" si="171"/>
        <v>1.2574858937744013</v>
      </c>
      <c r="CC195" s="59">
        <f t="shared" si="119"/>
        <v>291.40675382384006</v>
      </c>
      <c r="CD195" s="59">
        <f ca="1">AVERAGE(OFFSET($CC$3,0,0,'Données projet'!$E$12+1,1))-AVERAGE(OFFSET($H$3,0,0,'Données projet'!$E$12+1,1))</f>
        <v>420.4890915162182</v>
      </c>
      <c r="CE195" s="59">
        <f t="shared" si="148"/>
        <v>553.48432338023565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24.659263408538539</v>
      </c>
      <c r="CL195" s="21">
        <f>EXP(-LN(2)/25)*CL194+(1-EXP(-LN(2)/25))/(LN(2)/25)*Calculateur!CG195*Calculateur!CI195*VLOOKUP('Données projet'!$B$12,Paramètres!$A$1:$I$89,3,0)*0.475*44/12</f>
        <v>0.56653859549870855</v>
      </c>
      <c r="CM195" s="21">
        <f>EXP(-LN(2)/2)*CM194+(1-EXP(-LN(2)/2))/(LN(2)/2)*CG195*CJ195*VLOOKUP('Données projet'!$B$12,Paramètres!$A$1:$I$89,3,0)*0.475*44/12</f>
        <v>3.0602395823536863E-25</v>
      </c>
      <c r="CN195" s="22">
        <f t="shared" si="172"/>
        <v>25.225802004037249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367.99999999999972</v>
      </c>
      <c r="CU195" s="17">
        <f>CT195*VLOOKUP('Données projet'!$B$13,Paramètres!$A$1:$I$89,3,0)*VLOOKUP('Données projet'!$B$13,Paramètres!$A$1:$I$89,5,0)</f>
        <v>269.8175999999998</v>
      </c>
      <c r="CV195" s="13">
        <f t="shared" si="173"/>
        <v>64.810557882019467</v>
      </c>
      <c r="CW195" s="20">
        <f t="shared" si="174"/>
        <v>582.81070831118348</v>
      </c>
      <c r="CX195" s="59">
        <f t="shared" si="122"/>
        <v>872.95997624124914</v>
      </c>
      <c r="CY195" s="59">
        <f ca="1">AVERAGE(OFFSET($CX$3,0,0,'Données projet'!$E$13+1,1))-AVERAGE(OFFSET($H$3,0,0,'Données projet'!$E$13+1,1))</f>
        <v>400.48995908576177</v>
      </c>
      <c r="CZ195" s="59">
        <f t="shared" si="150"/>
        <v>384.86917865380076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5.0145896378727137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5.0145896378727137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367.99999999999972</v>
      </c>
      <c r="DP195" s="17">
        <f>DO195*VLOOKUP('Données projet'!$B$14,Paramètres!$A$1:$I$89,3,0)*VLOOKUP('Données projet'!$B$14,Paramètres!$A$1:$I$89,5,0)</f>
        <v>292.78079999999977</v>
      </c>
      <c r="DQ195" s="13">
        <f t="shared" si="176"/>
        <v>69.660903052386217</v>
      </c>
      <c r="DR195" s="20">
        <f t="shared" si="177"/>
        <v>631.25263281623893</v>
      </c>
      <c r="DS195" s="59">
        <f t="shared" si="125"/>
        <v>921.40190074630459</v>
      </c>
      <c r="DT195" s="59">
        <f ca="1">AVERAGE(OFFSET($DS$3,0,0,'Données projet'!$E$14+1,1))-AVERAGE(OFFSET($H$3,0,0,'Données projet'!$E$14+1,1))</f>
        <v>429.30603040255431</v>
      </c>
      <c r="DU195" s="59">
        <f t="shared" si="152"/>
        <v>412.18613903804726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6.7067965319989833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6.7067965319989833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210.25641025641013</v>
      </c>
      <c r="EK195" s="17">
        <f>EJ195*VLOOKUP('Données projet'!$B$15,Paramètres!$A$1:$I$89,3,0)*VLOOKUP('Données projet'!$B$15,Paramètres!$A$1:$I$89,5,0)</f>
        <v>163.99999999999991</v>
      </c>
      <c r="EL195" s="13">
        <f t="shared" si="179"/>
        <v>41.743425908362248</v>
      </c>
      <c r="EM195" s="20">
        <f t="shared" si="180"/>
        <v>358.33646679039742</v>
      </c>
      <c r="EN195" s="59">
        <f t="shared" si="128"/>
        <v>648.48573472046314</v>
      </c>
      <c r="EO195" s="59">
        <f ca="1">AVERAGE(OFFSET($EN$3,0,0,'Données projet'!$E$15+1,1))-AVERAGE(OFFSET($H$3,0,0,'Données projet'!$E$15+1,1))</f>
        <v>217.53602321474159</v>
      </c>
      <c r="EP195" s="59">
        <f t="shared" si="154"/>
        <v>215.75909414893025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2.8263754575523561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2.8263754575523561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19.8100000000004</v>
      </c>
      <c r="FF195" s="17">
        <f>FE195*VLOOKUP('Données projet'!$B$16,Paramètres!$A$1:$I$89,3,0)*VLOOKUP('Données projet'!$B$16,Paramètres!$A$1:$I$89,5,0)</f>
        <v>13.288548000000269</v>
      </c>
      <c r="FG195" s="13">
        <f t="shared" si="182"/>
        <v>4.531654695205642</v>
      </c>
      <c r="FH195" s="20">
        <f t="shared" si="183"/>
        <v>31.036853027483627</v>
      </c>
      <c r="FI195" s="59">
        <f t="shared" si="131"/>
        <v>321.18612095754929</v>
      </c>
      <c r="FJ195" s="59">
        <f ca="1">AVERAGE(OFFSET($FI$3,0,0,'Données projet'!$E$16+1,1))-AVERAGE(OFFSET($H$3,0,0,'Données projet'!$E$16+1,1))</f>
        <v>441.20130048888439</v>
      </c>
      <c r="FK195" s="59">
        <f t="shared" si="156"/>
        <v>237.47732532183946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75.64936040129794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75.64936040129794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204.00000000000017</v>
      </c>
      <c r="GA195" s="17">
        <f>FZ195*VLOOKUP('Données projet'!$B$17,Paramètres!$A$1:$I$89,3,0)*VLOOKUP('Données projet'!$B$17,Paramètres!$A$1:$I$89,5,0)</f>
        <v>133.66080000000011</v>
      </c>
      <c r="GB195" s="13">
        <f t="shared" si="185"/>
        <v>34.840890682716783</v>
      </c>
      <c r="GC195" s="20">
        <f t="shared" si="186"/>
        <v>293.4737779390652</v>
      </c>
      <c r="GD195" s="59">
        <f t="shared" si="134"/>
        <v>583.62304586913092</v>
      </c>
      <c r="GE195" s="59">
        <f ca="1">AVERAGE(OFFSET($GD$3,0,0,'Données projet'!$E$17+1,1))-AVERAGE(OFFSET($H$3,0,0,'Données projet'!$E$17+1,1))</f>
        <v>257.66104339896992</v>
      </c>
      <c r="GF195" s="59">
        <f t="shared" si="158"/>
        <v>254.79488636184996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5.228178029047597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5.228178029047597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234.00000000000003</v>
      </c>
      <c r="GV195" s="17">
        <f>GU195*VLOOKUP('Données projet'!$B$18,Paramètres!$A$1:$I$89,3,0)*VLOOKUP('Données projet'!$B$18,Paramètres!$A$1:$I$89,5,0)</f>
        <v>189.82080000000005</v>
      </c>
      <c r="GW195" s="13">
        <f t="shared" si="188"/>
        <v>47.500332100049796</v>
      </c>
      <c r="GX195" s="20">
        <f t="shared" si="189"/>
        <v>413.33430507425345</v>
      </c>
      <c r="GY195" s="59">
        <f t="shared" si="137"/>
        <v>703.48357300431917</v>
      </c>
      <c r="GZ195" s="59">
        <f ca="1">AVERAGE(OFFSET($GY$3,0,0,'Données projet'!$E$18+1,1))-AVERAGE(OFFSET($H$3,0,0,'Données projet'!$E$18+1,1))</f>
        <v>299.98377156721153</v>
      </c>
      <c r="HA195" s="59">
        <f t="shared" si="160"/>
        <v>241.36164657721102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5.0370328922057546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5.0370328922057546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19.8100000000004</v>
      </c>
      <c r="O196" s="13">
        <f>N196*VLOOKUP('Données projet'!$B$9,Paramètres!$A$1:$I$89,3,0)*VLOOKUP('Données projet'!$B$9,Paramètres!$A$1:$I$89,5,0)</f>
        <v>17.924088000000364</v>
      </c>
      <c r="P196" s="13">
        <f t="shared" si="141"/>
        <v>5.9032212091029486</v>
      </c>
      <c r="Q196" s="20">
        <f t="shared" si="162"/>
        <v>41.499230205854936</v>
      </c>
      <c r="R196" s="59">
        <f t="shared" si="191"/>
        <v>331.70373455216344</v>
      </c>
      <c r="S196" s="59">
        <f ca="1">AVERAGE(OFFSET($R$3,0,0,'Données projet'!$E$9+1,1))-AVERAGE(OFFSET($H$3,0,0,'Données projet'!$E$9+1,1))</f>
        <v>567.42635821507474</v>
      </c>
      <c r="T196" s="59">
        <f t="shared" si="142"/>
        <v>299.04735309930152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81.162707734946665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81.162707734946665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474.99999999999994</v>
      </c>
      <c r="AJ196" s="13">
        <f>AI196*VLOOKUP('Données projet'!$B$10,Paramètres!$A$1:$I$89,3,0)*VLOOKUP('Données projet'!$B$10,Paramètres!$A$1:$I$89,5,0)</f>
        <v>407.55</v>
      </c>
      <c r="AK196" s="13">
        <f t="shared" si="164"/>
        <v>93.305642095357683</v>
      </c>
      <c r="AL196" s="20">
        <f t="shared" si="165"/>
        <v>872.32357664941446</v>
      </c>
      <c r="AM196" s="59">
        <f t="shared" ref="AM196:AM203" si="193">AL196+(AD196+AE196)*44/12</f>
        <v>1162.528080995723</v>
      </c>
      <c r="AN196" s="59">
        <f ca="1">AVERAGE(OFFSET($AM$3,0,0,'Données projet'!$E$10+1,1))-AVERAGE(OFFSET($H$3,0,0,'Données projet'!$E$10+1,1))</f>
        <v>569.97793593332699</v>
      </c>
      <c r="AO196" s="59">
        <f t="shared" si="144"/>
        <v>331.25104323342907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28.792906023911865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28.792906023911865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277.99999999999994</v>
      </c>
      <c r="BE196" s="13">
        <f>BD196*VLOOKUP('Données projet'!$B$11,Paramètres!$A$1:$I$89,3,0)*VLOOKUP('Données projet'!$B$11,Paramètres!$A$1:$I$89,5,0)</f>
        <v>151.78799999999998</v>
      </c>
      <c r="BF196" s="13">
        <f t="shared" si="167"/>
        <v>38.984634390835623</v>
      </c>
      <c r="BG196" s="20">
        <f t="shared" si="168"/>
        <v>332.26233823070532</v>
      </c>
      <c r="BH196" s="59">
        <f t="shared" ref="BH196:BH203" si="194">BG196+(AY196+AZ196)*44/12</f>
        <v>622.46684257701384</v>
      </c>
      <c r="BI196" s="59">
        <f ca="1">AVERAGE(OFFSET($BH$3,0,0,'Données projet'!$E$11+1,1))-AVERAGE(OFFSET($H$3,0,0,'Données projet'!$E$11+1,1))</f>
        <v>215.37314197175104</v>
      </c>
      <c r="BJ196" s="59">
        <f t="shared" si="146"/>
        <v>361.17630426655978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1.4547854906009059</v>
      </c>
      <c r="BQ196" s="21">
        <f>EXP(-LN(2)/25)*BQ195+(1-EXP(-LN(2)/25))/(LN(2)/25)*Calculateur!BL196*Calculateur!BN196*VLOOKUP('Données projet'!$B$11,Paramètres!$A$1:$I$89,3,0)*0.475*44/12</f>
        <v>1.0465096288562088</v>
      </c>
      <c r="BR196" s="21">
        <f>EXP(-LN(2)/2)*BR195+(1-EXP(-LN(2)/2))/(LN(2)/2)*BL196*BO196*VLOOKUP('Données projet'!$B$11,Paramètres!$A$1:$I$89,3,0)*0.475*44/12</f>
        <v>7.415370741604351E-27</v>
      </c>
      <c r="BS196" s="22">
        <f t="shared" si="169"/>
        <v>2.5012951194571147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0.8600000000003547</v>
      </c>
      <c r="BZ196" s="13">
        <f>BY196*VLOOKUP('Données projet'!$B$12,Paramètres!$A$1:$I$89,3,0)*VLOOKUP('Données projet'!$B$12,Paramètres!$A$1:$I$89,5,0)</f>
        <v>0.48074000000019829</v>
      </c>
      <c r="CA196" s="13">
        <f t="shared" si="170"/>
        <v>0.24126147010950588</v>
      </c>
      <c r="CB196" s="20">
        <f t="shared" si="171"/>
        <v>1.2574858937744013</v>
      </c>
      <c r="CC196" s="59">
        <f t="shared" ref="CC196:CC203" si="195">CB196+(BT196+BU196)*44/12</f>
        <v>291.46199024008291</v>
      </c>
      <c r="CD196" s="59">
        <f ca="1">AVERAGE(OFFSET($CC$3,0,0,'Données projet'!$E$12+1,1))-AVERAGE(OFFSET($H$3,0,0,'Données projet'!$E$12+1,1))</f>
        <v>420.4890915162182</v>
      </c>
      <c r="CE196" s="59">
        <f t="shared" si="148"/>
        <v>553.48432338023565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24.175710293762634</v>
      </c>
      <c r="CL196" s="21">
        <f>EXP(-LN(2)/25)*CL195+(1-EXP(-LN(2)/25))/(LN(2)/25)*Calculateur!CG196*Calculateur!CI196*VLOOKUP('Données projet'!$B$12,Paramètres!$A$1:$I$89,3,0)*0.475*44/12</f>
        <v>0.55104656781182648</v>
      </c>
      <c r="CM196" s="21">
        <f>EXP(-LN(2)/2)*CM195+(1-EXP(-LN(2)/2))/(LN(2)/2)*CG196*CJ196*VLOOKUP('Données projet'!$B$12,Paramètres!$A$1:$I$89,3,0)*0.475*44/12</f>
        <v>2.1639161607377796E-25</v>
      </c>
      <c r="CN196" s="22">
        <f t="shared" si="172"/>
        <v>24.726756861574462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367.99999999999972</v>
      </c>
      <c r="CU196" s="17">
        <f>CT196*VLOOKUP('Données projet'!$B$13,Paramètres!$A$1:$I$89,3,0)*VLOOKUP('Données projet'!$B$13,Paramètres!$A$1:$I$89,5,0)</f>
        <v>269.8175999999998</v>
      </c>
      <c r="CV196" s="13">
        <f t="shared" si="173"/>
        <v>64.810557882019467</v>
      </c>
      <c r="CW196" s="20">
        <f t="shared" si="174"/>
        <v>582.81070831118348</v>
      </c>
      <c r="CX196" s="59">
        <f t="shared" ref="CX196:CX203" si="196">CW196+(CO196+CP196)*44/12</f>
        <v>873.01521265749193</v>
      </c>
      <c r="CY196" s="59">
        <f ca="1">AVERAGE(OFFSET($CX$3,0,0,'Données projet'!$E$13+1,1))-AVERAGE(OFFSET($H$3,0,0,'Données projet'!$E$13+1,1))</f>
        <v>400.48995908576177</v>
      </c>
      <c r="CZ196" s="59">
        <f t="shared" si="150"/>
        <v>384.86917865380076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4.9162565936716973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4.9162565936716973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367.99999999999972</v>
      </c>
      <c r="DP196" s="17">
        <f>DO196*VLOOKUP('Données projet'!$B$14,Paramètres!$A$1:$I$89,3,0)*VLOOKUP('Données projet'!$B$14,Paramètres!$A$1:$I$89,5,0)</f>
        <v>292.78079999999977</v>
      </c>
      <c r="DQ196" s="13">
        <f t="shared" si="176"/>
        <v>69.660903052386217</v>
      </c>
      <c r="DR196" s="20">
        <f t="shared" si="177"/>
        <v>631.25263281623893</v>
      </c>
      <c r="DS196" s="59">
        <f t="shared" ref="DS196:DS203" si="197">DR196+(DJ196+DK196)*44/12</f>
        <v>921.4571371625475</v>
      </c>
      <c r="DT196" s="59">
        <f ca="1">AVERAGE(OFFSET($DS$3,0,0,'Données projet'!$E$14+1,1))-AVERAGE(OFFSET($H$3,0,0,'Données projet'!$E$14+1,1))</f>
        <v>429.30603040255431</v>
      </c>
      <c r="DU196" s="59">
        <f t="shared" si="152"/>
        <v>412.18613903804726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6.5752803427484405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6.5752803427484405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210.25641025641013</v>
      </c>
      <c r="EK196" s="17">
        <f>EJ196*VLOOKUP('Données projet'!$B$15,Paramètres!$A$1:$I$89,3,0)*VLOOKUP('Données projet'!$B$15,Paramètres!$A$1:$I$89,5,0)</f>
        <v>163.99999999999991</v>
      </c>
      <c r="EL196" s="13">
        <f t="shared" si="179"/>
        <v>41.743425908362248</v>
      </c>
      <c r="EM196" s="20">
        <f t="shared" si="180"/>
        <v>358.33646679039742</v>
      </c>
      <c r="EN196" s="59">
        <f t="shared" ref="EN196:EN203" si="198">EM196+(EE196+EF196)*44/12</f>
        <v>648.54097113670593</v>
      </c>
      <c r="EO196" s="59">
        <f ca="1">AVERAGE(OFFSET($EN$3,0,0,'Données projet'!$E$15+1,1))-AVERAGE(OFFSET($H$3,0,0,'Données projet'!$E$15+1,1))</f>
        <v>217.53602321474159</v>
      </c>
      <c r="EP196" s="59">
        <f t="shared" si="154"/>
        <v>215.75909414893025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2.7709519587485607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2.7709519587485607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19.8100000000004</v>
      </c>
      <c r="FF196" s="17">
        <f>FE196*VLOOKUP('Données projet'!$B$16,Paramètres!$A$1:$I$89,3,0)*VLOOKUP('Données projet'!$B$16,Paramètres!$A$1:$I$89,5,0)</f>
        <v>13.288548000000269</v>
      </c>
      <c r="FG196" s="13">
        <f t="shared" si="182"/>
        <v>4.531654695205642</v>
      </c>
      <c r="FH196" s="20">
        <f t="shared" si="183"/>
        <v>31.036853027483627</v>
      </c>
      <c r="FI196" s="59">
        <f t="shared" ref="FI196:FI203" si="199">FH196+(EZ196+FA196)*44/12</f>
        <v>321.24135737379214</v>
      </c>
      <c r="FJ196" s="59">
        <f ca="1">AVERAGE(OFFSET($FI$3,0,0,'Données projet'!$E$16+1,1))-AVERAGE(OFFSET($H$3,0,0,'Données projet'!$E$16+1,1))</f>
        <v>441.20130048888439</v>
      </c>
      <c r="FK196" s="59">
        <f t="shared" si="156"/>
        <v>237.47732532183946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74.165922585382233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74.165922585382233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204.00000000000017</v>
      </c>
      <c r="GA196" s="17">
        <f>FZ196*VLOOKUP('Données projet'!$B$17,Paramètres!$A$1:$I$89,3,0)*VLOOKUP('Données projet'!$B$17,Paramètres!$A$1:$I$89,5,0)</f>
        <v>133.66080000000011</v>
      </c>
      <c r="GB196" s="13">
        <f t="shared" si="185"/>
        <v>34.840890682716783</v>
      </c>
      <c r="GC196" s="20">
        <f t="shared" si="186"/>
        <v>293.4737779390652</v>
      </c>
      <c r="GD196" s="59">
        <f t="shared" ref="GD196:GD203" si="200">GC196+(FU196+FV196)*44/12</f>
        <v>583.67828228537371</v>
      </c>
      <c r="GE196" s="59">
        <f ca="1">AVERAGE(OFFSET($GD$3,0,0,'Données projet'!$E$17+1,1))-AVERAGE(OFFSET($H$3,0,0,'Données projet'!$E$17+1,1))</f>
        <v>257.66104339896992</v>
      </c>
      <c r="GF196" s="59">
        <f t="shared" si="158"/>
        <v>254.79488636184996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5.125656646771696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5.125656646771696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234.00000000000003</v>
      </c>
      <c r="GV196" s="17">
        <f>GU196*VLOOKUP('Données projet'!$B$18,Paramètres!$A$1:$I$89,3,0)*VLOOKUP('Données projet'!$B$18,Paramètres!$A$1:$I$89,5,0)</f>
        <v>189.82080000000005</v>
      </c>
      <c r="GW196" s="13">
        <f t="shared" si="188"/>
        <v>47.500332100049796</v>
      </c>
      <c r="GX196" s="20">
        <f t="shared" si="189"/>
        <v>413.33430507425345</v>
      </c>
      <c r="GY196" s="59">
        <f t="shared" ref="GY196:GY203" si="201">GX196+(GP196+GQ196)*44/12</f>
        <v>703.53880942056196</v>
      </c>
      <c r="GZ196" s="59">
        <f ca="1">AVERAGE(OFFSET($GY$3,0,0,'Données projet'!$E$18+1,1))-AVERAGE(OFFSET($H$3,0,0,'Données projet'!$E$18+1,1))</f>
        <v>299.98377156721153</v>
      </c>
      <c r="HA196" s="59">
        <f t="shared" si="160"/>
        <v>241.36164657721102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4.938259749476301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4.938259749476301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19.8100000000004</v>
      </c>
      <c r="O197" s="13">
        <f>N197*VLOOKUP('Données projet'!$B$9,Paramètres!$A$1:$I$89,3,0)*VLOOKUP('Données projet'!$B$9,Paramètres!$A$1:$I$89,5,0)</f>
        <v>17.924088000000364</v>
      </c>
      <c r="P197" s="13">
        <f t="shared" ref="P197:P203" si="203">EXP(-1.0587+0.8836*LN(O197)+0.284)</f>
        <v>5.9032212091029486</v>
      </c>
      <c r="Q197" s="20">
        <f t="shared" si="162"/>
        <v>41.499230205854936</v>
      </c>
      <c r="R197" s="59">
        <f t="shared" si="191"/>
        <v>331.75801274007466</v>
      </c>
      <c r="S197" s="59">
        <f ca="1">AVERAGE(OFFSET($R$3,0,0,'Données projet'!$E$9+1,1))-AVERAGE(OFFSET($H$3,0,0,'Données projet'!$E$9+1,1))</f>
        <v>567.42635821507474</v>
      </c>
      <c r="T197" s="59">
        <f t="shared" ref="T197:T203" si="204">$T$3</f>
        <v>299.04735309930152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79.571156540627925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79.571156540627925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474.99999999999994</v>
      </c>
      <c r="AJ197" s="13">
        <f>AI197*VLOOKUP('Données projet'!$B$10,Paramètres!$A$1:$I$89,3,0)*VLOOKUP('Données projet'!$B$10,Paramètres!$A$1:$I$89,5,0)</f>
        <v>407.55</v>
      </c>
      <c r="AK197" s="13">
        <f t="shared" si="164"/>
        <v>93.305642095357683</v>
      </c>
      <c r="AL197" s="20">
        <f t="shared" si="165"/>
        <v>872.32357664941446</v>
      </c>
      <c r="AM197" s="59">
        <f t="shared" si="193"/>
        <v>1162.5823591836343</v>
      </c>
      <c r="AN197" s="59">
        <f ca="1">AVERAGE(OFFSET($AM$3,0,0,'Données projet'!$E$10+1,1))-AVERAGE(OFFSET($H$3,0,0,'Données projet'!$E$10+1,1))</f>
        <v>569.97793593332699</v>
      </c>
      <c r="AO197" s="59">
        <f t="shared" ref="AO197:AO203" si="205">$AO$3</f>
        <v>331.25104323342907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28.22829469872153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28.22829469872153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277.99999999999994</v>
      </c>
      <c r="BE197" s="13">
        <f>BD197*VLOOKUP('Données projet'!$B$11,Paramètres!$A$1:$I$89,3,0)*VLOOKUP('Données projet'!$B$11,Paramètres!$A$1:$I$89,5,0)</f>
        <v>151.78799999999998</v>
      </c>
      <c r="BF197" s="13">
        <f t="shared" si="167"/>
        <v>38.984634390835623</v>
      </c>
      <c r="BG197" s="20">
        <f t="shared" si="168"/>
        <v>332.26233823070532</v>
      </c>
      <c r="BH197" s="59">
        <f t="shared" si="194"/>
        <v>622.52112076492506</v>
      </c>
      <c r="BI197" s="59">
        <f ca="1">AVERAGE(OFFSET($BH$3,0,0,'Données projet'!$E$11+1,1))-AVERAGE(OFFSET($H$3,0,0,'Données projet'!$E$11+1,1))</f>
        <v>215.37314197175104</v>
      </c>
      <c r="BJ197" s="59">
        <f t="shared" ref="BJ197:BJ203" si="206">$BJ$3</f>
        <v>361.17630426655978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1.4262580344617546</v>
      </c>
      <c r="BQ197" s="21">
        <f>EXP(-LN(2)/25)*BQ196+(1-EXP(-LN(2)/25))/(LN(2)/25)*Calculateur!BL197*Calculateur!BN197*VLOOKUP('Données projet'!$B$11,Paramètres!$A$1:$I$89,3,0)*0.475*44/12</f>
        <v>1.0178927680215861</v>
      </c>
      <c r="BR197" s="21">
        <f>EXP(-LN(2)/2)*BR196+(1-EXP(-LN(2)/2))/(LN(2)/2)*BL197*BO197*VLOOKUP('Données projet'!$B$11,Paramètres!$A$1:$I$89,3,0)*0.475*44/12</f>
        <v>5.2434589364007546E-27</v>
      </c>
      <c r="BS197" s="22">
        <f t="shared" si="169"/>
        <v>2.4441508024833407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0.8600000000003547</v>
      </c>
      <c r="BZ197" s="13">
        <f>BY197*VLOOKUP('Données projet'!$B$12,Paramètres!$A$1:$I$89,3,0)*VLOOKUP('Données projet'!$B$12,Paramètres!$A$1:$I$89,5,0)</f>
        <v>0.48074000000019829</v>
      </c>
      <c r="CA197" s="13">
        <f t="shared" si="170"/>
        <v>0.24126147010950588</v>
      </c>
      <c r="CB197" s="20">
        <f t="shared" si="171"/>
        <v>1.2574858937744013</v>
      </c>
      <c r="CC197" s="59">
        <f t="shared" si="195"/>
        <v>291.51626842799413</v>
      </c>
      <c r="CD197" s="59">
        <f ca="1">AVERAGE(OFFSET($CC$3,0,0,'Données projet'!$E$12+1,1))-AVERAGE(OFFSET($H$3,0,0,'Données projet'!$E$12+1,1))</f>
        <v>420.4890915162182</v>
      </c>
      <c r="CE197" s="59">
        <f t="shared" ref="CE197:CE203" si="207">$CE$3</f>
        <v>553.48432338023565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23.701639360629208</v>
      </c>
      <c r="CL197" s="21">
        <f>EXP(-LN(2)/25)*CL196+(1-EXP(-LN(2)/25))/(LN(2)/25)*Calculateur!CG197*Calculateur!CI197*VLOOKUP('Données projet'!$B$12,Paramètres!$A$1:$I$89,3,0)*0.475*44/12</f>
        <v>0.53597817043673257</v>
      </c>
      <c r="CM197" s="21">
        <f>EXP(-LN(2)/2)*CM196+(1-EXP(-LN(2)/2))/(LN(2)/2)*CG197*CJ197*VLOOKUP('Données projet'!$B$12,Paramètres!$A$1:$I$89,3,0)*0.475*44/12</f>
        <v>1.5301197911768432E-25</v>
      </c>
      <c r="CN197" s="22">
        <f t="shared" si="172"/>
        <v>24.23761753106594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367.99999999999972</v>
      </c>
      <c r="CU197" s="17">
        <f>CT197*VLOOKUP('Données projet'!$B$13,Paramètres!$A$1:$I$89,3,0)*VLOOKUP('Données projet'!$B$13,Paramètres!$A$1:$I$89,5,0)</f>
        <v>269.8175999999998</v>
      </c>
      <c r="CV197" s="13">
        <f t="shared" si="173"/>
        <v>64.810557882019467</v>
      </c>
      <c r="CW197" s="20">
        <f t="shared" si="174"/>
        <v>582.81070831118348</v>
      </c>
      <c r="CX197" s="59">
        <f t="shared" si="196"/>
        <v>873.06949084540315</v>
      </c>
      <c r="CY197" s="59">
        <f ca="1">AVERAGE(OFFSET($CX$3,0,0,'Données projet'!$E$13+1,1))-AVERAGE(OFFSET($H$3,0,0,'Données projet'!$E$13+1,1))</f>
        <v>400.48995908576177</v>
      </c>
      <c r="CZ197" s="59">
        <f t="shared" ref="CZ197:CZ203" si="208">$CZ$3</f>
        <v>384.86917865380076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4.8198518004902287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4.8198518004902287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367.99999999999972</v>
      </c>
      <c r="DP197" s="17">
        <f>DO197*VLOOKUP('Données projet'!$B$14,Paramètres!$A$1:$I$89,3,0)*VLOOKUP('Données projet'!$B$14,Paramètres!$A$1:$I$89,5,0)</f>
        <v>292.78079999999977</v>
      </c>
      <c r="DQ197" s="13">
        <f t="shared" si="176"/>
        <v>69.660903052386217</v>
      </c>
      <c r="DR197" s="20">
        <f t="shared" si="177"/>
        <v>631.25263281623893</v>
      </c>
      <c r="DS197" s="59">
        <f t="shared" si="197"/>
        <v>921.51141535045872</v>
      </c>
      <c r="DT197" s="59">
        <f ca="1">AVERAGE(OFFSET($DS$3,0,0,'Données projet'!$E$14+1,1))-AVERAGE(OFFSET($H$3,0,0,'Données projet'!$E$14+1,1))</f>
        <v>429.30603040255431</v>
      </c>
      <c r="DU197" s="59">
        <f t="shared" ref="DU197:DU203" si="209">$DU$3</f>
        <v>412.18613903804726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6.4463431057521463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6.4463431057521463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210.25641025641013</v>
      </c>
      <c r="EK197" s="17">
        <f>EJ197*VLOOKUP('Données projet'!$B$15,Paramètres!$A$1:$I$89,3,0)*VLOOKUP('Données projet'!$B$15,Paramètres!$A$1:$I$89,5,0)</f>
        <v>163.99999999999991</v>
      </c>
      <c r="EL197" s="13">
        <f t="shared" si="179"/>
        <v>41.743425908362248</v>
      </c>
      <c r="EM197" s="20">
        <f t="shared" si="180"/>
        <v>358.33646679039742</v>
      </c>
      <c r="EN197" s="59">
        <f t="shared" si="198"/>
        <v>648.59524932461716</v>
      </c>
      <c r="EO197" s="59">
        <f ca="1">AVERAGE(OFFSET($EN$3,0,0,'Données projet'!$E$15+1,1))-AVERAGE(OFFSET($H$3,0,0,'Données projet'!$E$15+1,1))</f>
        <v>217.53602321474159</v>
      </c>
      <c r="EP197" s="59">
        <f t="shared" ref="EP197:EP203" si="210">$EP$3</f>
        <v>215.75909414893025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2.7166152809513116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2.7166152809513116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19.8100000000004</v>
      </c>
      <c r="FF197" s="17">
        <f>FE197*VLOOKUP('Données projet'!$B$16,Paramètres!$A$1:$I$89,3,0)*VLOOKUP('Données projet'!$B$16,Paramètres!$A$1:$I$89,5,0)</f>
        <v>13.288548000000269</v>
      </c>
      <c r="FG197" s="13">
        <f t="shared" si="182"/>
        <v>4.531654695205642</v>
      </c>
      <c r="FH197" s="20">
        <f t="shared" si="183"/>
        <v>31.036853027483627</v>
      </c>
      <c r="FI197" s="59">
        <f t="shared" si="199"/>
        <v>321.29563556170336</v>
      </c>
      <c r="FJ197" s="59">
        <f ca="1">AVERAGE(OFFSET($FI$3,0,0,'Données projet'!$E$16+1,1))-AVERAGE(OFFSET($H$3,0,0,'Données projet'!$E$16+1,1))</f>
        <v>441.20130048888439</v>
      </c>
      <c r="FK197" s="59">
        <f t="shared" ref="FK197:FK203" si="211">$FK$3</f>
        <v>237.47732532183946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72.711574080228914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72.711574080228914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204.00000000000017</v>
      </c>
      <c r="GA197" s="17">
        <f>FZ197*VLOOKUP('Données projet'!$B$17,Paramètres!$A$1:$I$89,3,0)*VLOOKUP('Données projet'!$B$17,Paramètres!$A$1:$I$89,5,0)</f>
        <v>133.66080000000011</v>
      </c>
      <c r="GB197" s="13">
        <f t="shared" si="185"/>
        <v>34.840890682716783</v>
      </c>
      <c r="GC197" s="20">
        <f t="shared" si="186"/>
        <v>293.4737779390652</v>
      </c>
      <c r="GD197" s="59">
        <f t="shared" si="200"/>
        <v>583.73256047328493</v>
      </c>
      <c r="GE197" s="59">
        <f ca="1">AVERAGE(OFFSET($GD$3,0,0,'Données projet'!$E$17+1,1))-AVERAGE(OFFSET($H$3,0,0,'Données projet'!$E$17+1,1))</f>
        <v>257.66104339896992</v>
      </c>
      <c r="GF197" s="59">
        <f t="shared" ref="GF197:GF203" si="212">$GF$3</f>
        <v>254.79488636184996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5.0251456462703565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5.0251456462703565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234.00000000000003</v>
      </c>
      <c r="GV197" s="17">
        <f>GU197*VLOOKUP('Données projet'!$B$18,Paramètres!$A$1:$I$89,3,0)*VLOOKUP('Données projet'!$B$18,Paramètres!$A$1:$I$89,5,0)</f>
        <v>189.82080000000005</v>
      </c>
      <c r="GW197" s="13">
        <f t="shared" si="188"/>
        <v>47.500332100049796</v>
      </c>
      <c r="GX197" s="20">
        <f t="shared" si="189"/>
        <v>413.33430507425345</v>
      </c>
      <c r="GY197" s="59">
        <f t="shared" si="201"/>
        <v>703.59308760847318</v>
      </c>
      <c r="GZ197" s="59">
        <f ca="1">AVERAGE(OFFSET($GY$3,0,0,'Données projet'!$E$18+1,1))-AVERAGE(OFFSET($H$3,0,0,'Données projet'!$E$18+1,1))</f>
        <v>299.98377156721153</v>
      </c>
      <c r="HA197" s="59">
        <f t="shared" ref="HA197:HA203" si="213">$HA$3</f>
        <v>241.36164657721102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4.8414234878301032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4.8414234878301032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19.8100000000004</v>
      </c>
      <c r="O198" s="13">
        <f>N198*VLOOKUP('Données projet'!$B$9,Paramètres!$A$1:$I$89,3,0)*VLOOKUP('Données projet'!$B$9,Paramètres!$A$1:$I$89,5,0)</f>
        <v>17.924088000000364</v>
      </c>
      <c r="P198" s="13">
        <f t="shared" si="203"/>
        <v>5.9032212091029486</v>
      </c>
      <c r="Q198" s="20">
        <f t="shared" si="162"/>
        <v>41.499230205854936</v>
      </c>
      <c r="R198" s="59">
        <f t="shared" si="191"/>
        <v>331.81134932277342</v>
      </c>
      <c r="S198" s="59">
        <f ca="1">AVERAGE(OFFSET($R$3,0,0,'Données projet'!$E$9+1,1))-AVERAGE(OFFSET($H$3,0,0,'Données projet'!$E$9+1,1))</f>
        <v>567.42635821507474</v>
      </c>
      <c r="T198" s="59">
        <f t="shared" si="204"/>
        <v>299.04735309930152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78.010814694479407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78.010814694479407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474.99999999999994</v>
      </c>
      <c r="AJ198" s="13">
        <f>AI198*VLOOKUP('Données projet'!$B$10,Paramètres!$A$1:$I$89,3,0)*VLOOKUP('Données projet'!$B$10,Paramètres!$A$1:$I$89,5,0)</f>
        <v>407.55</v>
      </c>
      <c r="AK198" s="13">
        <f t="shared" si="164"/>
        <v>93.305642095357683</v>
      </c>
      <c r="AL198" s="20">
        <f t="shared" si="165"/>
        <v>872.32357664941446</v>
      </c>
      <c r="AM198" s="59">
        <f t="shared" si="193"/>
        <v>1162.6356957663329</v>
      </c>
      <c r="AN198" s="59">
        <f ca="1">AVERAGE(OFFSET($AM$3,0,0,'Données projet'!$E$10+1,1))-AVERAGE(OFFSET($H$3,0,0,'Données projet'!$E$10+1,1))</f>
        <v>569.97793593332699</v>
      </c>
      <c r="AO198" s="59">
        <f t="shared" si="205"/>
        <v>331.25104323342907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27.674755057239274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27.674755057239274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277.99999999999994</v>
      </c>
      <c r="BE198" s="13">
        <f>BD198*VLOOKUP('Données projet'!$B$11,Paramètres!$A$1:$I$89,3,0)*VLOOKUP('Données projet'!$B$11,Paramètres!$A$1:$I$89,5,0)</f>
        <v>151.78799999999998</v>
      </c>
      <c r="BF198" s="13">
        <f t="shared" si="167"/>
        <v>38.984634390835623</v>
      </c>
      <c r="BG198" s="20">
        <f t="shared" si="168"/>
        <v>332.26233823070532</v>
      </c>
      <c r="BH198" s="59">
        <f t="shared" si="194"/>
        <v>622.57445734762382</v>
      </c>
      <c r="BI198" s="59">
        <f ca="1">AVERAGE(OFFSET($BH$3,0,0,'Données projet'!$E$11+1,1))-AVERAGE(OFFSET($H$3,0,0,'Données projet'!$E$11+1,1))</f>
        <v>215.37314197175104</v>
      </c>
      <c r="BJ198" s="59">
        <f t="shared" si="206"/>
        <v>361.17630426655978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1.3982899843374621</v>
      </c>
      <c r="BQ198" s="21">
        <f>EXP(-LN(2)/25)*BQ197+(1-EXP(-LN(2)/25))/(LN(2)/25)*Calculateur!BL198*Calculateur!BN198*VLOOKUP('Données projet'!$B$11,Paramètres!$A$1:$I$89,3,0)*0.475*44/12</f>
        <v>0.99005843675138161</v>
      </c>
      <c r="BR198" s="21">
        <f>EXP(-LN(2)/2)*BR197+(1-EXP(-LN(2)/2))/(LN(2)/2)*BL198*BO198*VLOOKUP('Données projet'!$B$11,Paramètres!$A$1:$I$89,3,0)*0.475*44/12</f>
        <v>3.7076853708021755E-27</v>
      </c>
      <c r="BS198" s="22">
        <f t="shared" si="169"/>
        <v>2.3883484210888435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0.8600000000003547</v>
      </c>
      <c r="BZ198" s="13">
        <f>BY198*VLOOKUP('Données projet'!$B$12,Paramètres!$A$1:$I$89,3,0)*VLOOKUP('Données projet'!$B$12,Paramètres!$A$1:$I$89,5,0)</f>
        <v>0.48074000000019829</v>
      </c>
      <c r="CA198" s="13">
        <f t="shared" si="170"/>
        <v>0.24126147010950588</v>
      </c>
      <c r="CB198" s="20">
        <f t="shared" si="171"/>
        <v>1.2574858937744013</v>
      </c>
      <c r="CC198" s="59">
        <f t="shared" si="195"/>
        <v>291.5696050106929</v>
      </c>
      <c r="CD198" s="59">
        <f ca="1">AVERAGE(OFFSET($CC$3,0,0,'Données projet'!$E$12+1,1))-AVERAGE(OFFSET($H$3,0,0,'Données projet'!$E$12+1,1))</f>
        <v>420.4890915162182</v>
      </c>
      <c r="CE198" s="59">
        <f t="shared" si="207"/>
        <v>553.48432338023565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23.236864669339813</v>
      </c>
      <c r="CL198" s="21">
        <f>EXP(-LN(2)/25)*CL197+(1-EXP(-LN(2)/25))/(LN(2)/25)*Calculateur!CG198*Calculateur!CI198*VLOOKUP('Données projet'!$B$12,Paramètres!$A$1:$I$89,3,0)*0.475*44/12</f>
        <v>0.52132181918027309</v>
      </c>
      <c r="CM198" s="21">
        <f>EXP(-LN(2)/2)*CM197+(1-EXP(-LN(2)/2))/(LN(2)/2)*CG198*CJ198*VLOOKUP('Données projet'!$B$12,Paramètres!$A$1:$I$89,3,0)*0.475*44/12</f>
        <v>1.0819580803688898E-25</v>
      </c>
      <c r="CN198" s="22">
        <f t="shared" si="172"/>
        <v>23.758186488520085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367.99999999999972</v>
      </c>
      <c r="CU198" s="17">
        <f>CT198*VLOOKUP('Données projet'!$B$13,Paramètres!$A$1:$I$89,3,0)*VLOOKUP('Données projet'!$B$13,Paramètres!$A$1:$I$89,5,0)</f>
        <v>269.8175999999998</v>
      </c>
      <c r="CV198" s="13">
        <f t="shared" si="173"/>
        <v>64.810557882019467</v>
      </c>
      <c r="CW198" s="20">
        <f t="shared" si="174"/>
        <v>582.81070831118348</v>
      </c>
      <c r="CX198" s="59">
        <f t="shared" si="196"/>
        <v>873.12282742810203</v>
      </c>
      <c r="CY198" s="59">
        <f ca="1">AVERAGE(OFFSET($CX$3,0,0,'Données projet'!$E$13+1,1))-AVERAGE(OFFSET($H$3,0,0,'Données projet'!$E$13+1,1))</f>
        <v>400.48995908576177</v>
      </c>
      <c r="CZ198" s="59">
        <f t="shared" si="208"/>
        <v>384.86917865380076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4.7253374465019302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4.7253374465019302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367.99999999999972</v>
      </c>
      <c r="DP198" s="17">
        <f>DO198*VLOOKUP('Données projet'!$B$14,Paramètres!$A$1:$I$89,3,0)*VLOOKUP('Données projet'!$B$14,Paramètres!$A$1:$I$89,5,0)</f>
        <v>292.78079999999977</v>
      </c>
      <c r="DQ198" s="13">
        <f t="shared" si="176"/>
        <v>69.660903052386217</v>
      </c>
      <c r="DR198" s="20">
        <f t="shared" si="177"/>
        <v>631.25263281623893</v>
      </c>
      <c r="DS198" s="59">
        <f t="shared" si="197"/>
        <v>921.56475193315737</v>
      </c>
      <c r="DT198" s="59">
        <f ca="1">AVERAGE(OFFSET($DS$3,0,0,'Données projet'!$E$14+1,1))-AVERAGE(OFFSET($H$3,0,0,'Données projet'!$E$14+1,1))</f>
        <v>429.30603040255431</v>
      </c>
      <c r="DU198" s="59">
        <f t="shared" si="209"/>
        <v>412.18613903804726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6.3199342493294006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6.3199342493294006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210.25641025641013</v>
      </c>
      <c r="EK198" s="17">
        <f>EJ198*VLOOKUP('Données projet'!$B$15,Paramètres!$A$1:$I$89,3,0)*VLOOKUP('Données projet'!$B$15,Paramètres!$A$1:$I$89,5,0)</f>
        <v>163.99999999999991</v>
      </c>
      <c r="EL198" s="13">
        <f t="shared" si="179"/>
        <v>41.743425908362248</v>
      </c>
      <c r="EM198" s="20">
        <f t="shared" si="180"/>
        <v>358.33646679039742</v>
      </c>
      <c r="EN198" s="59">
        <f t="shared" si="198"/>
        <v>648.64858590731592</v>
      </c>
      <c r="EO198" s="59">
        <f ca="1">AVERAGE(OFFSET($EN$3,0,0,'Données projet'!$E$15+1,1))-AVERAGE(OFFSET($H$3,0,0,'Données projet'!$E$15+1,1))</f>
        <v>217.53602321474159</v>
      </c>
      <c r="EP198" s="59">
        <f t="shared" si="210"/>
        <v>215.75909414893025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2.6633441122635655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2.6633441122635655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19.8100000000004</v>
      </c>
      <c r="FF198" s="17">
        <f>FE198*VLOOKUP('Données projet'!$B$16,Paramètres!$A$1:$I$89,3,0)*VLOOKUP('Données projet'!$B$16,Paramètres!$A$1:$I$89,5,0)</f>
        <v>13.288548000000269</v>
      </c>
      <c r="FG198" s="13">
        <f t="shared" si="182"/>
        <v>4.531654695205642</v>
      </c>
      <c r="FH198" s="20">
        <f t="shared" si="183"/>
        <v>31.036853027483627</v>
      </c>
      <c r="FI198" s="59">
        <f t="shared" si="199"/>
        <v>321.34897214440213</v>
      </c>
      <c r="FJ198" s="59">
        <f ca="1">AVERAGE(OFFSET($FI$3,0,0,'Données projet'!$E$16+1,1))-AVERAGE(OFFSET($H$3,0,0,'Données projet'!$E$16+1,1))</f>
        <v>441.20130048888439</v>
      </c>
      <c r="FK198" s="59">
        <f t="shared" si="211"/>
        <v>237.47732532183946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71.285744462196647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71.285744462196647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204.00000000000017</v>
      </c>
      <c r="GA198" s="17">
        <f>FZ198*VLOOKUP('Données projet'!$B$17,Paramètres!$A$1:$I$89,3,0)*VLOOKUP('Données projet'!$B$17,Paramètres!$A$1:$I$89,5,0)</f>
        <v>133.66080000000011</v>
      </c>
      <c r="GB198" s="13">
        <f t="shared" si="185"/>
        <v>34.840890682716783</v>
      </c>
      <c r="GC198" s="20">
        <f t="shared" si="186"/>
        <v>293.4737779390652</v>
      </c>
      <c r="GD198" s="59">
        <f t="shared" si="200"/>
        <v>583.7858970559837</v>
      </c>
      <c r="GE198" s="59">
        <f ca="1">AVERAGE(OFFSET($GD$3,0,0,'Données projet'!$E$17+1,1))-AVERAGE(OFFSET($H$3,0,0,'Données projet'!$E$17+1,1))</f>
        <v>257.66104339896992</v>
      </c>
      <c r="GF198" s="59">
        <f t="shared" si="212"/>
        <v>254.79488636184996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4.9266056051831919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4.9266056051831919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234.00000000000003</v>
      </c>
      <c r="GV198" s="17">
        <f>GU198*VLOOKUP('Données projet'!$B$18,Paramètres!$A$1:$I$89,3,0)*VLOOKUP('Données projet'!$B$18,Paramètres!$A$1:$I$89,5,0)</f>
        <v>189.82080000000005</v>
      </c>
      <c r="GW198" s="13">
        <f t="shared" si="188"/>
        <v>47.500332100049796</v>
      </c>
      <c r="GX198" s="20">
        <f t="shared" si="189"/>
        <v>413.33430507425345</v>
      </c>
      <c r="GY198" s="59">
        <f t="shared" si="201"/>
        <v>703.64642419117195</v>
      </c>
      <c r="GZ198" s="59">
        <f ca="1">AVERAGE(OFFSET($GY$3,0,0,'Données projet'!$E$18+1,1))-AVERAGE(OFFSET($H$3,0,0,'Données projet'!$E$18+1,1))</f>
        <v>299.98377156721153</v>
      </c>
      <c r="HA198" s="59">
        <f t="shared" si="213"/>
        <v>241.36164657721102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4.7464861262104998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4.7464861262104998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19.8100000000004</v>
      </c>
      <c r="O199" s="13">
        <f>N199*VLOOKUP('Données projet'!$B$9,Paramètres!$A$1:$I$89,3,0)*VLOOKUP('Données projet'!$B$9,Paramètres!$A$1:$I$89,5,0)</f>
        <v>17.924088000000364</v>
      </c>
      <c r="P199" s="13">
        <f t="shared" si="203"/>
        <v>5.9032212091029486</v>
      </c>
      <c r="Q199" s="20">
        <f t="shared" si="162"/>
        <v>41.499230205854936</v>
      </c>
      <c r="R199" s="59">
        <f t="shared" si="191"/>
        <v>331.86376063500512</v>
      </c>
      <c r="S199" s="59">
        <f ca="1">AVERAGE(OFFSET($R$3,0,0,'Données projet'!$E$9+1,1))-AVERAGE(OFFSET($H$3,0,0,'Données projet'!$E$9+1,1))</f>
        <v>567.42635821507474</v>
      </c>
      <c r="T199" s="59">
        <f t="shared" si="204"/>
        <v>299.04735309930152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76.481070200219307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76.481070200219307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474.99999999999994</v>
      </c>
      <c r="AJ199" s="13">
        <f>AI199*VLOOKUP('Données projet'!$B$10,Paramètres!$A$1:$I$89,3,0)*VLOOKUP('Données projet'!$B$10,Paramètres!$A$1:$I$89,5,0)</f>
        <v>407.55</v>
      </c>
      <c r="AK199" s="13">
        <f t="shared" si="164"/>
        <v>93.305642095357683</v>
      </c>
      <c r="AL199" s="20">
        <f t="shared" si="165"/>
        <v>872.32357664941446</v>
      </c>
      <c r="AM199" s="59">
        <f t="shared" si="193"/>
        <v>1162.6881070785646</v>
      </c>
      <c r="AN199" s="59">
        <f ca="1">AVERAGE(OFFSET($AM$3,0,0,'Données projet'!$E$10+1,1))-AVERAGE(OFFSET($H$3,0,0,'Données projet'!$E$10+1,1))</f>
        <v>569.97793593332699</v>
      </c>
      <c r="AO199" s="59">
        <f t="shared" si="205"/>
        <v>331.25104323342907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27.132069990500643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27.132069990500643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277.99999999999994</v>
      </c>
      <c r="BE199" s="13">
        <f>BD199*VLOOKUP('Données projet'!$B$11,Paramètres!$A$1:$I$89,3,0)*VLOOKUP('Données projet'!$B$11,Paramètres!$A$1:$I$89,5,0)</f>
        <v>151.78799999999998</v>
      </c>
      <c r="BF199" s="13">
        <f t="shared" si="167"/>
        <v>38.984634390835623</v>
      </c>
      <c r="BG199" s="20">
        <f t="shared" si="168"/>
        <v>332.26233823070532</v>
      </c>
      <c r="BH199" s="59">
        <f t="shared" si="194"/>
        <v>622.62686865985552</v>
      </c>
      <c r="BI199" s="59">
        <f ca="1">AVERAGE(OFFSET($BH$3,0,0,'Données projet'!$E$11+1,1))-AVERAGE(OFFSET($H$3,0,0,'Données projet'!$E$11+1,1))</f>
        <v>215.37314197175104</v>
      </c>
      <c r="BJ199" s="59">
        <f t="shared" si="206"/>
        <v>361.17630426655978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1.3708703706172807</v>
      </c>
      <c r="BQ199" s="21">
        <f>EXP(-LN(2)/25)*BQ198+(1-EXP(-LN(2)/25))/(LN(2)/25)*Calculateur!BL199*Calculateur!BN199*VLOOKUP('Données projet'!$B$11,Paramètres!$A$1:$I$89,3,0)*0.475*44/12</f>
        <v>0.96298523673350467</v>
      </c>
      <c r="BR199" s="21">
        <f>EXP(-LN(2)/2)*BR198+(1-EXP(-LN(2)/2))/(LN(2)/2)*BL199*BO199*VLOOKUP('Données projet'!$B$11,Paramètres!$A$1:$I$89,3,0)*0.475*44/12</f>
        <v>2.6217294682003773E-27</v>
      </c>
      <c r="BS199" s="22">
        <f t="shared" si="169"/>
        <v>2.3338556073507855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0.8600000000003547</v>
      </c>
      <c r="BZ199" s="13">
        <f>BY199*VLOOKUP('Données projet'!$B$12,Paramètres!$A$1:$I$89,3,0)*VLOOKUP('Données projet'!$B$12,Paramètres!$A$1:$I$89,5,0)</f>
        <v>0.48074000000019829</v>
      </c>
      <c r="CA199" s="13">
        <f t="shared" si="170"/>
        <v>0.24126147010950588</v>
      </c>
      <c r="CB199" s="20">
        <f t="shared" si="171"/>
        <v>1.2574858937744013</v>
      </c>
      <c r="CC199" s="59">
        <f t="shared" si="195"/>
        <v>291.62201632292459</v>
      </c>
      <c r="CD199" s="59">
        <f ca="1">AVERAGE(OFFSET($CC$3,0,0,'Données projet'!$E$12+1,1))-AVERAGE(OFFSET($H$3,0,0,'Données projet'!$E$12+1,1))</f>
        <v>420.4890915162182</v>
      </c>
      <c r="CE199" s="59">
        <f t="shared" si="207"/>
        <v>553.48432338023565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22.78120392626203</v>
      </c>
      <c r="CL199" s="21">
        <f>EXP(-LN(2)/25)*CL198+(1-EXP(-LN(2)/25))/(LN(2)/25)*Calculateur!CG199*Calculateur!CI199*VLOOKUP('Données projet'!$B$12,Paramètres!$A$1:$I$89,3,0)*0.475*44/12</f>
        <v>0.50706624661966559</v>
      </c>
      <c r="CM199" s="21">
        <f>EXP(-LN(2)/2)*CM198+(1-EXP(-LN(2)/2))/(LN(2)/2)*CG199*CJ199*VLOOKUP('Données projet'!$B$12,Paramètres!$A$1:$I$89,3,0)*0.475*44/12</f>
        <v>7.6505989558842158E-26</v>
      </c>
      <c r="CN199" s="22">
        <f t="shared" si="172"/>
        <v>23.288270172881695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367.99999999999972</v>
      </c>
      <c r="CU199" s="17">
        <f>CT199*VLOOKUP('Données projet'!$B$13,Paramètres!$A$1:$I$89,3,0)*VLOOKUP('Données projet'!$B$13,Paramètres!$A$1:$I$89,5,0)</f>
        <v>269.8175999999998</v>
      </c>
      <c r="CV199" s="13">
        <f t="shared" si="173"/>
        <v>64.810557882019467</v>
      </c>
      <c r="CW199" s="20">
        <f t="shared" si="174"/>
        <v>582.81070831118348</v>
      </c>
      <c r="CX199" s="59">
        <f t="shared" si="196"/>
        <v>873.17523874033373</v>
      </c>
      <c r="CY199" s="59">
        <f ca="1">AVERAGE(OFFSET($CX$3,0,0,'Données projet'!$E$13+1,1))-AVERAGE(OFFSET($H$3,0,0,'Données projet'!$E$13+1,1))</f>
        <v>400.48995908576177</v>
      </c>
      <c r="CZ199" s="59">
        <f t="shared" si="208"/>
        <v>384.86917865380076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4.6326764613472786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4.6326764613472786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367.99999999999972</v>
      </c>
      <c r="DP199" s="17">
        <f>DO199*VLOOKUP('Données projet'!$B$14,Paramètres!$A$1:$I$89,3,0)*VLOOKUP('Données projet'!$B$14,Paramètres!$A$1:$I$89,5,0)</f>
        <v>292.78079999999977</v>
      </c>
      <c r="DQ199" s="13">
        <f t="shared" si="176"/>
        <v>69.660903052386217</v>
      </c>
      <c r="DR199" s="20">
        <f t="shared" si="177"/>
        <v>631.25263281623893</v>
      </c>
      <c r="DS199" s="59">
        <f t="shared" si="197"/>
        <v>921.61716324538907</v>
      </c>
      <c r="DT199" s="59">
        <f ca="1">AVERAGE(OFFSET($DS$3,0,0,'Données projet'!$E$14+1,1))-AVERAGE(OFFSET($H$3,0,0,'Données projet'!$E$14+1,1))</f>
        <v>429.30603040255431</v>
      </c>
      <c r="DU199" s="59">
        <f t="shared" si="209"/>
        <v>412.18613903804726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6.1960041934793155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6.1960041934793155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210.25641025641013</v>
      </c>
      <c r="EK199" s="17">
        <f>EJ199*VLOOKUP('Données projet'!$B$15,Paramètres!$A$1:$I$89,3,0)*VLOOKUP('Données projet'!$B$15,Paramètres!$A$1:$I$89,5,0)</f>
        <v>163.99999999999991</v>
      </c>
      <c r="EL199" s="13">
        <f t="shared" si="179"/>
        <v>41.743425908362248</v>
      </c>
      <c r="EM199" s="20">
        <f t="shared" si="180"/>
        <v>358.33646679039742</v>
      </c>
      <c r="EN199" s="59">
        <f t="shared" si="198"/>
        <v>648.70099721954762</v>
      </c>
      <c r="EO199" s="59">
        <f ca="1">AVERAGE(OFFSET($EN$3,0,0,'Données projet'!$E$15+1,1))-AVERAGE(OFFSET($H$3,0,0,'Données projet'!$E$15+1,1))</f>
        <v>217.53602321474159</v>
      </c>
      <c r="EP199" s="59">
        <f t="shared" si="210"/>
        <v>215.75909414893025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2.6111175587015816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2.6111175587015816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19.8100000000004</v>
      </c>
      <c r="FF199" s="17">
        <f>FE199*VLOOKUP('Données projet'!$B$16,Paramètres!$A$1:$I$89,3,0)*VLOOKUP('Données projet'!$B$16,Paramètres!$A$1:$I$89,5,0)</f>
        <v>13.288548000000269</v>
      </c>
      <c r="FG199" s="13">
        <f t="shared" si="182"/>
        <v>4.531654695205642</v>
      </c>
      <c r="FH199" s="20">
        <f t="shared" si="183"/>
        <v>31.036853027483627</v>
      </c>
      <c r="FI199" s="59">
        <f t="shared" si="199"/>
        <v>321.40138345663382</v>
      </c>
      <c r="FJ199" s="59">
        <f ca="1">AVERAGE(OFFSET($FI$3,0,0,'Données projet'!$E$16+1,1))-AVERAGE(OFFSET($H$3,0,0,'Données projet'!$E$16+1,1))</f>
        <v>441.20130048888439</v>
      </c>
      <c r="FK199" s="59">
        <f t="shared" si="211"/>
        <v>237.47732532183946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69.887874493303798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69.887874493303798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204.00000000000017</v>
      </c>
      <c r="GA199" s="17">
        <f>FZ199*VLOOKUP('Données projet'!$B$17,Paramètres!$A$1:$I$89,3,0)*VLOOKUP('Données projet'!$B$17,Paramètres!$A$1:$I$89,5,0)</f>
        <v>133.66080000000011</v>
      </c>
      <c r="GB199" s="13">
        <f t="shared" si="185"/>
        <v>34.840890682716783</v>
      </c>
      <c r="GC199" s="20">
        <f t="shared" si="186"/>
        <v>293.4737779390652</v>
      </c>
      <c r="GD199" s="59">
        <f t="shared" si="200"/>
        <v>583.83830836821539</v>
      </c>
      <c r="GE199" s="59">
        <f ca="1">AVERAGE(OFFSET($GD$3,0,0,'Données projet'!$E$17+1,1))-AVERAGE(OFFSET($H$3,0,0,'Données projet'!$E$17+1,1))</f>
        <v>257.66104339896992</v>
      </c>
      <c r="GF199" s="59">
        <f t="shared" si="212"/>
        <v>254.79488636184996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4.8299978741982565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4.8299978741982565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234.00000000000003</v>
      </c>
      <c r="GV199" s="17">
        <f>GU199*VLOOKUP('Données projet'!$B$18,Paramètres!$A$1:$I$89,3,0)*VLOOKUP('Données projet'!$B$18,Paramètres!$A$1:$I$89,5,0)</f>
        <v>189.82080000000005</v>
      </c>
      <c r="GW199" s="13">
        <f t="shared" si="188"/>
        <v>47.500332100049796</v>
      </c>
      <c r="GX199" s="20">
        <f t="shared" si="189"/>
        <v>413.33430507425345</v>
      </c>
      <c r="GY199" s="59">
        <f t="shared" si="201"/>
        <v>703.69883550340364</v>
      </c>
      <c r="GZ199" s="59">
        <f ca="1">AVERAGE(OFFSET($GY$3,0,0,'Données projet'!$E$18+1,1))-AVERAGE(OFFSET($H$3,0,0,'Données projet'!$E$18+1,1))</f>
        <v>299.98377156721153</v>
      </c>
      <c r="HA199" s="59">
        <f t="shared" si="213"/>
        <v>241.36164657721102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4.6534104283461843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4.6534104283461843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19.8100000000004</v>
      </c>
      <c r="O200" s="13">
        <f>N200*VLOOKUP('Données projet'!$B$9,Paramètres!$A$1:$I$89,3,0)*VLOOKUP('Données projet'!$B$9,Paramètres!$A$1:$I$89,5,0)</f>
        <v>17.924088000000364</v>
      </c>
      <c r="P200" s="13">
        <f t="shared" si="203"/>
        <v>5.9032212091029486</v>
      </c>
      <c r="Q200" s="20">
        <f t="shared" si="162"/>
        <v>41.499230205854936</v>
      </c>
      <c r="R200" s="59">
        <f t="shared" si="191"/>
        <v>331.91526272814372</v>
      </c>
      <c r="S200" s="59">
        <f ca="1">AVERAGE(OFFSET($R$3,0,0,'Données projet'!$E$9+1,1))-AVERAGE(OFFSET($H$3,0,0,'Données projet'!$E$9+1,1))</f>
        <v>567.42635821507474</v>
      </c>
      <c r="T200" s="59">
        <f t="shared" si="204"/>
        <v>299.04735309930152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74.981323062439643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74.981323062439643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474.99999999999994</v>
      </c>
      <c r="AJ200" s="13">
        <f>AI200*VLOOKUP('Données projet'!$B$10,Paramètres!$A$1:$I$89,3,0)*VLOOKUP('Données projet'!$B$10,Paramètres!$A$1:$I$89,5,0)</f>
        <v>407.55</v>
      </c>
      <c r="AK200" s="13">
        <f t="shared" si="164"/>
        <v>93.305642095357683</v>
      </c>
      <c r="AL200" s="20">
        <f t="shared" si="165"/>
        <v>872.32357664941446</v>
      </c>
      <c r="AM200" s="59">
        <f t="shared" si="193"/>
        <v>1162.7396091717033</v>
      </c>
      <c r="AN200" s="59">
        <f ca="1">AVERAGE(OFFSET($AM$3,0,0,'Données projet'!$E$10+1,1))-AVERAGE(OFFSET($H$3,0,0,'Données projet'!$E$10+1,1))</f>
        <v>569.97793593332699</v>
      </c>
      <c r="AO200" s="59">
        <f t="shared" si="205"/>
        <v>331.25104323342907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26.600026646915548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26.600026646915548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277.99999999999994</v>
      </c>
      <c r="BE200" s="13">
        <f>BD200*VLOOKUP('Données projet'!$B$11,Paramètres!$A$1:$I$89,3,0)*VLOOKUP('Données projet'!$B$11,Paramètres!$A$1:$I$89,5,0)</f>
        <v>151.78799999999998</v>
      </c>
      <c r="BF200" s="13">
        <f t="shared" si="167"/>
        <v>38.984634390835623</v>
      </c>
      <c r="BG200" s="20">
        <f t="shared" si="168"/>
        <v>332.26233823070532</v>
      </c>
      <c r="BH200" s="59">
        <f t="shared" si="194"/>
        <v>622.67837075299417</v>
      </c>
      <c r="BI200" s="59">
        <f ca="1">AVERAGE(OFFSET($BH$3,0,0,'Données projet'!$E$11+1,1))-AVERAGE(OFFSET($H$3,0,0,'Données projet'!$E$11+1,1))</f>
        <v>215.37314197175104</v>
      </c>
      <c r="BJ200" s="59">
        <f t="shared" si="206"/>
        <v>361.17630426655978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1.3439884387978391</v>
      </c>
      <c r="BQ200" s="21">
        <f>EXP(-LN(2)/25)*BQ199+(1-EXP(-LN(2)/25))/(LN(2)/25)*Calculateur!BL200*Calculateur!BN200*VLOOKUP('Données projet'!$B$11,Paramètres!$A$1:$I$89,3,0)*0.475*44/12</f>
        <v>0.93665235479383435</v>
      </c>
      <c r="BR200" s="21">
        <f>EXP(-LN(2)/2)*BR199+(1-EXP(-LN(2)/2))/(LN(2)/2)*BL200*BO200*VLOOKUP('Données projet'!$B$11,Paramètres!$A$1:$I$89,3,0)*0.475*44/12</f>
        <v>1.8538426854010877E-27</v>
      </c>
      <c r="BS200" s="22">
        <f t="shared" si="169"/>
        <v>2.2806407935916733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0.8600000000003547</v>
      </c>
      <c r="BZ200" s="13">
        <f>BY200*VLOOKUP('Données projet'!$B$12,Paramètres!$A$1:$I$89,3,0)*VLOOKUP('Données projet'!$B$12,Paramètres!$A$1:$I$89,5,0)</f>
        <v>0.48074000000019829</v>
      </c>
      <c r="CA200" s="13">
        <f t="shared" si="170"/>
        <v>0.24126147010950588</v>
      </c>
      <c r="CB200" s="20">
        <f t="shared" si="171"/>
        <v>1.2574858937744013</v>
      </c>
      <c r="CC200" s="59">
        <f t="shared" si="195"/>
        <v>291.67351841606319</v>
      </c>
      <c r="CD200" s="59">
        <f ca="1">AVERAGE(OFFSET($CC$3,0,0,'Données projet'!$E$12+1,1))-AVERAGE(OFFSET($H$3,0,0,'Données projet'!$E$12+1,1))</f>
        <v>420.4890915162182</v>
      </c>
      <c r="CE200" s="59">
        <f t="shared" si="207"/>
        <v>553.48432338023565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22.334478412430393</v>
      </c>
      <c r="CL200" s="21">
        <f>EXP(-LN(2)/25)*CL199+(1-EXP(-LN(2)/25))/(LN(2)/25)*Calculateur!CG200*Calculateur!CI200*VLOOKUP('Données projet'!$B$12,Paramètres!$A$1:$I$89,3,0)*0.475*44/12</f>
        <v>0.49320049344039585</v>
      </c>
      <c r="CM200" s="21">
        <f>EXP(-LN(2)/2)*CM199+(1-EXP(-LN(2)/2))/(LN(2)/2)*CG200*CJ200*VLOOKUP('Données projet'!$B$12,Paramètres!$A$1:$I$89,3,0)*0.475*44/12</f>
        <v>5.4097904018444489E-26</v>
      </c>
      <c r="CN200" s="22">
        <f t="shared" si="172"/>
        <v>22.827678905870787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367.99999999999972</v>
      </c>
      <c r="CU200" s="17">
        <f>CT200*VLOOKUP('Données projet'!$B$13,Paramètres!$A$1:$I$89,3,0)*VLOOKUP('Données projet'!$B$13,Paramètres!$A$1:$I$89,5,0)</f>
        <v>269.8175999999998</v>
      </c>
      <c r="CV200" s="13">
        <f t="shared" si="173"/>
        <v>64.810557882019467</v>
      </c>
      <c r="CW200" s="20">
        <f t="shared" si="174"/>
        <v>582.81070831118348</v>
      </c>
      <c r="CX200" s="59">
        <f t="shared" si="196"/>
        <v>873.22674083347226</v>
      </c>
      <c r="CY200" s="59">
        <f ca="1">AVERAGE(OFFSET($CX$3,0,0,'Données projet'!$E$13+1,1))-AVERAGE(OFFSET($H$3,0,0,'Données projet'!$E$13+1,1))</f>
        <v>400.48995908576177</v>
      </c>
      <c r="CZ200" s="59">
        <f t="shared" si="208"/>
        <v>384.86917865380076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4.5418325015938894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4.5418325015938894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367.99999999999972</v>
      </c>
      <c r="DP200" s="17">
        <f>DO200*VLOOKUP('Données projet'!$B$14,Paramètres!$A$1:$I$89,3,0)*VLOOKUP('Données projet'!$B$14,Paramètres!$A$1:$I$89,5,0)</f>
        <v>292.78079999999977</v>
      </c>
      <c r="DQ200" s="13">
        <f t="shared" si="176"/>
        <v>69.660903052386217</v>
      </c>
      <c r="DR200" s="20">
        <f t="shared" si="177"/>
        <v>631.25263281623893</v>
      </c>
      <c r="DS200" s="59">
        <f t="shared" si="197"/>
        <v>921.66866533852772</v>
      </c>
      <c r="DT200" s="59">
        <f ca="1">AVERAGE(OFFSET($DS$3,0,0,'Données projet'!$E$14+1,1))-AVERAGE(OFFSET($H$3,0,0,'Données projet'!$E$14+1,1))</f>
        <v>429.30603040255431</v>
      </c>
      <c r="DU200" s="59">
        <f t="shared" si="209"/>
        <v>412.18613903804726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6.0745043304345803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6.0745043304345803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210.25641025641013</v>
      </c>
      <c r="EK200" s="17">
        <f>EJ200*VLOOKUP('Données projet'!$B$15,Paramètres!$A$1:$I$89,3,0)*VLOOKUP('Données projet'!$B$15,Paramètres!$A$1:$I$89,5,0)</f>
        <v>163.99999999999991</v>
      </c>
      <c r="EL200" s="13">
        <f t="shared" si="179"/>
        <v>41.743425908362248</v>
      </c>
      <c r="EM200" s="20">
        <f t="shared" si="180"/>
        <v>358.33646679039742</v>
      </c>
      <c r="EN200" s="59">
        <f t="shared" si="198"/>
        <v>648.75249931268627</v>
      </c>
      <c r="EO200" s="59">
        <f ca="1">AVERAGE(OFFSET($EN$3,0,0,'Données projet'!$E$15+1,1))-AVERAGE(OFFSET($H$3,0,0,'Données projet'!$E$15+1,1))</f>
        <v>217.53602321474159</v>
      </c>
      <c r="EP200" s="59">
        <f t="shared" si="210"/>
        <v>215.75909414893025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2.559915135999896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2.559915135999896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19.8100000000004</v>
      </c>
      <c r="FF200" s="17">
        <f>FE200*VLOOKUP('Données projet'!$B$16,Paramètres!$A$1:$I$89,3,0)*VLOOKUP('Données projet'!$B$16,Paramètres!$A$1:$I$89,5,0)</f>
        <v>13.288548000000269</v>
      </c>
      <c r="FG200" s="13">
        <f t="shared" si="182"/>
        <v>4.531654695205642</v>
      </c>
      <c r="FH200" s="20">
        <f t="shared" si="183"/>
        <v>31.036853027483627</v>
      </c>
      <c r="FI200" s="59">
        <f t="shared" si="199"/>
        <v>321.45288554977242</v>
      </c>
      <c r="FJ200" s="59">
        <f ca="1">AVERAGE(OFFSET($FI$3,0,0,'Données projet'!$E$16+1,1))-AVERAGE(OFFSET($H$3,0,0,'Données projet'!$E$16+1,1))</f>
        <v>441.20130048888439</v>
      </c>
      <c r="FK200" s="59">
        <f t="shared" si="211"/>
        <v>237.47732532183946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68.517415901884448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68.517415901884448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204.00000000000017</v>
      </c>
      <c r="GA200" s="17">
        <f>FZ200*VLOOKUP('Données projet'!$B$17,Paramètres!$A$1:$I$89,3,0)*VLOOKUP('Données projet'!$B$17,Paramètres!$A$1:$I$89,5,0)</f>
        <v>133.66080000000011</v>
      </c>
      <c r="GB200" s="13">
        <f t="shared" si="185"/>
        <v>34.840890682716783</v>
      </c>
      <c r="GC200" s="20">
        <f t="shared" si="186"/>
        <v>293.4737779390652</v>
      </c>
      <c r="GD200" s="59">
        <f t="shared" si="200"/>
        <v>583.88981046135405</v>
      </c>
      <c r="GE200" s="59">
        <f ca="1">AVERAGE(OFFSET($GD$3,0,0,'Données projet'!$E$17+1,1))-AVERAGE(OFFSET($H$3,0,0,'Données projet'!$E$17+1,1))</f>
        <v>257.66104339896992</v>
      </c>
      <c r="GF200" s="59">
        <f t="shared" si="212"/>
        <v>254.79488636184996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4.7352845618930379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4.7352845618930379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234.00000000000003</v>
      </c>
      <c r="GV200" s="17">
        <f>GU200*VLOOKUP('Données projet'!$B$18,Paramètres!$A$1:$I$89,3,0)*VLOOKUP('Données projet'!$B$18,Paramètres!$A$1:$I$89,5,0)</f>
        <v>189.82080000000005</v>
      </c>
      <c r="GW200" s="13">
        <f t="shared" si="188"/>
        <v>47.500332100049796</v>
      </c>
      <c r="GX200" s="20">
        <f t="shared" si="189"/>
        <v>413.33430507425345</v>
      </c>
      <c r="GY200" s="59">
        <f t="shared" si="201"/>
        <v>703.75033759654229</v>
      </c>
      <c r="GZ200" s="59">
        <f ca="1">AVERAGE(OFFSET($GY$3,0,0,'Données projet'!$E$18+1,1))-AVERAGE(OFFSET($H$3,0,0,'Données projet'!$E$18+1,1))</f>
        <v>299.98377156721153</v>
      </c>
      <c r="HA200" s="59">
        <f t="shared" si="213"/>
        <v>241.36164657721102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4.562159888146418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4.562159888146418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19.8100000000004</v>
      </c>
      <c r="O201" s="13">
        <f>N201*VLOOKUP('Données projet'!$B$9,Paramètres!$A$1:$I$89,3,0)*VLOOKUP('Données projet'!$B$9,Paramètres!$A$1:$I$89,5,0)</f>
        <v>17.924088000000364</v>
      </c>
      <c r="P201" s="13">
        <f t="shared" si="203"/>
        <v>5.9032212091029486</v>
      </c>
      <c r="Q201" s="20">
        <f t="shared" si="162"/>
        <v>41.499230205854936</v>
      </c>
      <c r="R201" s="59">
        <f t="shared" si="191"/>
        <v>331.96587137510784</v>
      </c>
      <c r="S201" s="59">
        <f ca="1">AVERAGE(OFFSET($R$3,0,0,'Données projet'!$E$9+1,1))-AVERAGE(OFFSET($H$3,0,0,'Données projet'!$E$9+1,1))</f>
        <v>567.42635821507474</v>
      </c>
      <c r="T201" s="59">
        <f t="shared" si="204"/>
        <v>299.04735309930152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73.510985051276407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73.510985051276407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474.99999999999994</v>
      </c>
      <c r="AJ201" s="13">
        <f>AI201*VLOOKUP('Données projet'!$B$10,Paramètres!$A$1:$I$89,3,0)*VLOOKUP('Données projet'!$B$10,Paramètres!$A$1:$I$89,5,0)</f>
        <v>407.55</v>
      </c>
      <c r="AK201" s="13">
        <f t="shared" si="164"/>
        <v>93.305642095357683</v>
      </c>
      <c r="AL201" s="20">
        <f t="shared" si="165"/>
        <v>872.32357664941446</v>
      </c>
      <c r="AM201" s="59">
        <f t="shared" si="193"/>
        <v>1162.7902178186673</v>
      </c>
      <c r="AN201" s="59">
        <f ca="1">AVERAGE(OFFSET($AM$3,0,0,'Données projet'!$E$10+1,1))-AVERAGE(OFFSET($H$3,0,0,'Données projet'!$E$10+1,1))</f>
        <v>569.97793593332699</v>
      </c>
      <c r="AO201" s="59">
        <f t="shared" si="205"/>
        <v>331.25104323342907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26.078416348783762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26.078416348783762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277.99999999999994</v>
      </c>
      <c r="BE201" s="13">
        <f>BD201*VLOOKUP('Données projet'!$B$11,Paramètres!$A$1:$I$89,3,0)*VLOOKUP('Données projet'!$B$11,Paramètres!$A$1:$I$89,5,0)</f>
        <v>151.78799999999998</v>
      </c>
      <c r="BF201" s="13">
        <f t="shared" si="167"/>
        <v>38.984634390835623</v>
      </c>
      <c r="BG201" s="20">
        <f t="shared" si="168"/>
        <v>332.26233823070532</v>
      </c>
      <c r="BH201" s="59">
        <f t="shared" si="194"/>
        <v>622.72897939995823</v>
      </c>
      <c r="BI201" s="59">
        <f ca="1">AVERAGE(OFFSET($BH$3,0,0,'Données projet'!$E$11+1,1))-AVERAGE(OFFSET($H$3,0,0,'Données projet'!$E$11+1,1))</f>
        <v>215.37314197175104</v>
      </c>
      <c r="BJ201" s="59">
        <f t="shared" si="206"/>
        <v>361.17630426655978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1.3176336452650175</v>
      </c>
      <c r="BQ201" s="21">
        <f>EXP(-LN(2)/25)*BQ200+(1-EXP(-LN(2)/25))/(LN(2)/25)*Calculateur!BL201*Calculateur!BN201*VLOOKUP('Données projet'!$B$11,Paramètres!$A$1:$I$89,3,0)*0.475*44/12</f>
        <v>0.91103954689559041</v>
      </c>
      <c r="BR201" s="21">
        <f>EXP(-LN(2)/2)*BR200+(1-EXP(-LN(2)/2))/(LN(2)/2)*BL201*BO201*VLOOKUP('Données projet'!$B$11,Paramètres!$A$1:$I$89,3,0)*0.475*44/12</f>
        <v>1.3108647341001886E-27</v>
      </c>
      <c r="BS201" s="22">
        <f t="shared" si="169"/>
        <v>2.228673192160608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0.8600000000003547</v>
      </c>
      <c r="BZ201" s="13">
        <f>BY201*VLOOKUP('Données projet'!$B$12,Paramètres!$A$1:$I$89,3,0)*VLOOKUP('Données projet'!$B$12,Paramètres!$A$1:$I$89,5,0)</f>
        <v>0.48074000000019829</v>
      </c>
      <c r="CA201" s="13">
        <f t="shared" si="170"/>
        <v>0.24126147010950588</v>
      </c>
      <c r="CB201" s="20">
        <f t="shared" si="171"/>
        <v>1.2574858937744013</v>
      </c>
      <c r="CC201" s="59">
        <f t="shared" si="195"/>
        <v>291.72412706302731</v>
      </c>
      <c r="CD201" s="59">
        <f ca="1">AVERAGE(OFFSET($CC$3,0,0,'Données projet'!$E$12+1,1))-AVERAGE(OFFSET($H$3,0,0,'Données projet'!$E$12+1,1))</f>
        <v>420.4890915162182</v>
      </c>
      <c r="CE201" s="59">
        <f t="shared" si="207"/>
        <v>553.48432338023565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21.896512913449335</v>
      </c>
      <c r="CL201" s="21">
        <f>EXP(-LN(2)/25)*CL200+(1-EXP(-LN(2)/25))/(LN(2)/25)*Calculateur!CG201*Calculateur!CI201*VLOOKUP('Données projet'!$B$12,Paramètres!$A$1:$I$89,3,0)*0.475*44/12</f>
        <v>0.47971390001098152</v>
      </c>
      <c r="CM201" s="21">
        <f>EXP(-LN(2)/2)*CM200+(1-EXP(-LN(2)/2))/(LN(2)/2)*CG201*CJ201*VLOOKUP('Données projet'!$B$12,Paramètres!$A$1:$I$89,3,0)*0.475*44/12</f>
        <v>3.8252994779421079E-26</v>
      </c>
      <c r="CN201" s="22">
        <f t="shared" si="172"/>
        <v>22.376226813460317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367.99999999999972</v>
      </c>
      <c r="CU201" s="17">
        <f>CT201*VLOOKUP('Données projet'!$B$13,Paramètres!$A$1:$I$89,3,0)*VLOOKUP('Données projet'!$B$13,Paramètres!$A$1:$I$89,5,0)</f>
        <v>269.8175999999998</v>
      </c>
      <c r="CV201" s="13">
        <f t="shared" si="173"/>
        <v>64.810557882019467</v>
      </c>
      <c r="CW201" s="20">
        <f t="shared" si="174"/>
        <v>582.81070831118348</v>
      </c>
      <c r="CX201" s="59">
        <f t="shared" si="196"/>
        <v>873.27734948043644</v>
      </c>
      <c r="CY201" s="59">
        <f ca="1">AVERAGE(OFFSET($CX$3,0,0,'Données projet'!$E$13+1,1))-AVERAGE(OFFSET($H$3,0,0,'Données projet'!$E$13+1,1))</f>
        <v>400.48995908576177</v>
      </c>
      <c r="CZ201" s="59">
        <f t="shared" si="208"/>
        <v>384.86917865380076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4.4527699364819204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4.4527699364819204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367.99999999999972</v>
      </c>
      <c r="DP201" s="17">
        <f>DO201*VLOOKUP('Données projet'!$B$14,Paramètres!$A$1:$I$89,3,0)*VLOOKUP('Données projet'!$B$14,Paramètres!$A$1:$I$89,5,0)</f>
        <v>292.78079999999977</v>
      </c>
      <c r="DQ201" s="13">
        <f t="shared" si="176"/>
        <v>69.660903052386217</v>
      </c>
      <c r="DR201" s="20">
        <f t="shared" si="177"/>
        <v>631.25263281623893</v>
      </c>
      <c r="DS201" s="59">
        <f t="shared" si="197"/>
        <v>921.71927398549178</v>
      </c>
      <c r="DT201" s="59">
        <f ca="1">AVERAGE(OFFSET($DS$3,0,0,'Données projet'!$E$14+1,1))-AVERAGE(OFFSET($H$3,0,0,'Données projet'!$E$14+1,1))</f>
        <v>429.30603040255431</v>
      </c>
      <c r="DU201" s="59">
        <f t="shared" si="209"/>
        <v>412.18613903804726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5.9553870055965534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5.9553870055965534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210.25641025641013</v>
      </c>
      <c r="EK201" s="17">
        <f>EJ201*VLOOKUP('Données projet'!$B$15,Paramètres!$A$1:$I$89,3,0)*VLOOKUP('Données projet'!$B$15,Paramètres!$A$1:$I$89,5,0)</f>
        <v>163.99999999999991</v>
      </c>
      <c r="EL201" s="13">
        <f t="shared" si="179"/>
        <v>41.743425908362248</v>
      </c>
      <c r="EM201" s="20">
        <f t="shared" si="180"/>
        <v>358.33646679039742</v>
      </c>
      <c r="EN201" s="59">
        <f t="shared" si="198"/>
        <v>648.80310795965033</v>
      </c>
      <c r="EO201" s="59">
        <f ca="1">AVERAGE(OFFSET($EN$3,0,0,'Données projet'!$E$15+1,1))-AVERAGE(OFFSET($H$3,0,0,'Données projet'!$E$15+1,1))</f>
        <v>217.53602321474159</v>
      </c>
      <c r="EP201" s="59">
        <f t="shared" si="210"/>
        <v>215.75909414893025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2.5097167615769962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2.5097167615769962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19.8100000000004</v>
      </c>
      <c r="FF201" s="17">
        <f>FE201*VLOOKUP('Données projet'!$B$16,Paramètres!$A$1:$I$89,3,0)*VLOOKUP('Données projet'!$B$16,Paramètres!$A$1:$I$89,5,0)</f>
        <v>13.288548000000269</v>
      </c>
      <c r="FG201" s="13">
        <f t="shared" si="182"/>
        <v>4.531654695205642</v>
      </c>
      <c r="FH201" s="20">
        <f t="shared" si="183"/>
        <v>31.036853027483627</v>
      </c>
      <c r="FI201" s="59">
        <f t="shared" si="199"/>
        <v>321.50349419673654</v>
      </c>
      <c r="FJ201" s="59">
        <f ca="1">AVERAGE(OFFSET($FI$3,0,0,'Données projet'!$E$16+1,1))-AVERAGE(OFFSET($H$3,0,0,'Données projet'!$E$16+1,1))</f>
        <v>441.20130048888439</v>
      </c>
      <c r="FK201" s="59">
        <f t="shared" si="211"/>
        <v>237.47732532183946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67.173831167545629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67.173831167545629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204.00000000000017</v>
      </c>
      <c r="GA201" s="17">
        <f>FZ201*VLOOKUP('Données projet'!$B$17,Paramètres!$A$1:$I$89,3,0)*VLOOKUP('Données projet'!$B$17,Paramètres!$A$1:$I$89,5,0)</f>
        <v>133.66080000000011</v>
      </c>
      <c r="GB201" s="13">
        <f t="shared" si="185"/>
        <v>34.840890682716783</v>
      </c>
      <c r="GC201" s="20">
        <f t="shared" si="186"/>
        <v>293.4737779390652</v>
      </c>
      <c r="GD201" s="59">
        <f t="shared" si="200"/>
        <v>583.94041910831811</v>
      </c>
      <c r="GE201" s="59">
        <f ca="1">AVERAGE(OFFSET($GD$3,0,0,'Données projet'!$E$17+1,1))-AVERAGE(OFFSET($H$3,0,0,'Données projet'!$E$17+1,1))</f>
        <v>257.66104339896992</v>
      </c>
      <c r="GF201" s="59">
        <f t="shared" si="212"/>
        <v>254.79488636184996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4.6424285198727082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4.6424285198727082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234.00000000000003</v>
      </c>
      <c r="GV201" s="17">
        <f>GU201*VLOOKUP('Données projet'!$B$18,Paramètres!$A$1:$I$89,3,0)*VLOOKUP('Données projet'!$B$18,Paramètres!$A$1:$I$89,5,0)</f>
        <v>189.82080000000005</v>
      </c>
      <c r="GW201" s="13">
        <f t="shared" si="188"/>
        <v>47.500332100049796</v>
      </c>
      <c r="GX201" s="20">
        <f t="shared" si="189"/>
        <v>413.33430507425345</v>
      </c>
      <c r="GY201" s="59">
        <f t="shared" si="201"/>
        <v>703.80094624350636</v>
      </c>
      <c r="GZ201" s="59">
        <f ca="1">AVERAGE(OFFSET($GY$3,0,0,'Données projet'!$E$18+1,1))-AVERAGE(OFFSET($H$3,0,0,'Données projet'!$E$18+1,1))</f>
        <v>299.98377156721153</v>
      </c>
      <c r="HA201" s="59">
        <f t="shared" si="213"/>
        <v>241.36164657721102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4.4726987153826352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4.4726987153826352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19.8100000000004</v>
      </c>
      <c r="O202" s="13">
        <f>N202*VLOOKUP('Données projet'!$B$9,Paramètres!$A$1:$I$89,3,0)*VLOOKUP('Données projet'!$B$9,Paramètres!$A$1:$I$89,5,0)</f>
        <v>17.924088000000364</v>
      </c>
      <c r="P202" s="13">
        <f t="shared" si="203"/>
        <v>5.9032212091029486</v>
      </c>
      <c r="Q202" s="20">
        <f t="shared" si="162"/>
        <v>41.499230205854936</v>
      </c>
      <c r="R202" s="59">
        <f t="shared" si="191"/>
        <v>332.01560207519105</v>
      </c>
      <c r="S202" s="59">
        <f ca="1">AVERAGE(OFFSET($R$3,0,0,'Données projet'!$E$9+1,1))-AVERAGE(OFFSET($H$3,0,0,'Données projet'!$E$9+1,1))</f>
        <v>567.42635821507474</v>
      </c>
      <c r="T202" s="59">
        <f t="shared" si="204"/>
        <v>299.04735309930152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72.06947947169445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72.06947947169445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474.99999999999994</v>
      </c>
      <c r="AJ202" s="13">
        <f>AI202*VLOOKUP('Données projet'!$B$10,Paramètres!$A$1:$I$89,3,0)*VLOOKUP('Données projet'!$B$10,Paramètres!$A$1:$I$89,5,0)</f>
        <v>407.55</v>
      </c>
      <c r="AK202" s="13">
        <f t="shared" si="164"/>
        <v>93.305642095357683</v>
      </c>
      <c r="AL202" s="20">
        <f t="shared" si="165"/>
        <v>872.32357664941446</v>
      </c>
      <c r="AM202" s="59">
        <f t="shared" si="193"/>
        <v>1162.8399485187506</v>
      </c>
      <c r="AN202" s="59">
        <f ca="1">AVERAGE(OFFSET($AM$3,0,0,'Données projet'!$E$10+1,1))-AVERAGE(OFFSET($H$3,0,0,'Données projet'!$E$10+1,1))</f>
        <v>569.97793593332699</v>
      </c>
      <c r="AO202" s="59">
        <f t="shared" si="205"/>
        <v>331.25104323342907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25.567034510447471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25.567034510447471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277.99999999999994</v>
      </c>
      <c r="BE202" s="13">
        <f>BD202*VLOOKUP('Données projet'!$B$11,Paramètres!$A$1:$I$89,3,0)*VLOOKUP('Données projet'!$B$11,Paramètres!$A$1:$I$89,5,0)</f>
        <v>151.78799999999998</v>
      </c>
      <c r="BF202" s="13">
        <f t="shared" si="167"/>
        <v>38.984634390835623</v>
      </c>
      <c r="BG202" s="20">
        <f t="shared" si="168"/>
        <v>332.26233823070532</v>
      </c>
      <c r="BH202" s="59">
        <f t="shared" si="194"/>
        <v>622.77871010004151</v>
      </c>
      <c r="BI202" s="59">
        <f ca="1">AVERAGE(OFFSET($BH$3,0,0,'Données projet'!$E$11+1,1))-AVERAGE(OFFSET($H$3,0,0,'Données projet'!$E$11+1,1))</f>
        <v>215.37314197175104</v>
      </c>
      <c r="BJ202" s="59">
        <f t="shared" si="206"/>
        <v>361.17630426655978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1.2917956531585375</v>
      </c>
      <c r="BQ202" s="21">
        <f>EXP(-LN(2)/25)*BQ201+(1-EXP(-LN(2)/25))/(LN(2)/25)*Calculateur!BL202*Calculateur!BN202*VLOOKUP('Données projet'!$B$11,Paramètres!$A$1:$I$89,3,0)*0.475*44/12</f>
        <v>0.88612712257624293</v>
      </c>
      <c r="BR202" s="21">
        <f>EXP(-LN(2)/2)*BR201+(1-EXP(-LN(2)/2))/(LN(2)/2)*BL202*BO202*VLOOKUP('Données projet'!$B$11,Paramètres!$A$1:$I$89,3,0)*0.475*44/12</f>
        <v>9.2692134270054387E-28</v>
      </c>
      <c r="BS202" s="22">
        <f t="shared" si="169"/>
        <v>2.1779227757347805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0.8600000000003547</v>
      </c>
      <c r="BZ202" s="13">
        <f>BY202*VLOOKUP('Données projet'!$B$12,Paramètres!$A$1:$I$89,3,0)*VLOOKUP('Données projet'!$B$12,Paramètres!$A$1:$I$89,5,0)</f>
        <v>0.48074000000019829</v>
      </c>
      <c r="CA202" s="13">
        <f t="shared" si="170"/>
        <v>0.24126147010950588</v>
      </c>
      <c r="CB202" s="20">
        <f t="shared" si="171"/>
        <v>1.2574858937744013</v>
      </c>
      <c r="CC202" s="59">
        <f t="shared" si="195"/>
        <v>291.77385776311053</v>
      </c>
      <c r="CD202" s="59">
        <f ca="1">AVERAGE(OFFSET($CC$3,0,0,'Données projet'!$E$12+1,1))-AVERAGE(OFFSET($H$3,0,0,'Données projet'!$E$12+1,1))</f>
        <v>420.4890915162182</v>
      </c>
      <c r="CE202" s="59">
        <f t="shared" si="207"/>
        <v>553.48432338023565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21.467135650770718</v>
      </c>
      <c r="CL202" s="21">
        <f>EXP(-LN(2)/25)*CL201+(1-EXP(-LN(2)/25))/(LN(2)/25)*Calculateur!CG202*Calculateur!CI202*VLOOKUP('Données projet'!$B$12,Paramètres!$A$1:$I$89,3,0)*0.475*44/12</f>
        <v>0.46659609818812364</v>
      </c>
      <c r="CM202" s="21">
        <f>EXP(-LN(2)/2)*CM201+(1-EXP(-LN(2)/2))/(LN(2)/2)*CG202*CJ202*VLOOKUP('Données projet'!$B$12,Paramètres!$A$1:$I$89,3,0)*0.475*44/12</f>
        <v>2.7048952009222245E-26</v>
      </c>
      <c r="CN202" s="22">
        <f t="shared" si="172"/>
        <v>21.933731748958841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367.99999999999972</v>
      </c>
      <c r="CU202" s="17">
        <f>CT202*VLOOKUP('Données projet'!$B$13,Paramètres!$A$1:$I$89,3,0)*VLOOKUP('Données projet'!$B$13,Paramètres!$A$1:$I$89,5,0)</f>
        <v>269.8175999999998</v>
      </c>
      <c r="CV202" s="13">
        <f t="shared" si="173"/>
        <v>64.810557882019467</v>
      </c>
      <c r="CW202" s="20">
        <f t="shared" si="174"/>
        <v>582.81070831118348</v>
      </c>
      <c r="CX202" s="59">
        <f t="shared" si="196"/>
        <v>873.3270801805196</v>
      </c>
      <c r="CY202" s="59">
        <f ca="1">AVERAGE(OFFSET($CX$3,0,0,'Données projet'!$E$13+1,1))-AVERAGE(OFFSET($H$3,0,0,'Données projet'!$E$13+1,1))</f>
        <v>400.48995908576177</v>
      </c>
      <c r="CZ202" s="59">
        <f t="shared" si="208"/>
        <v>384.86917865380076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4.3654538339489966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4.3654538339489966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367.99999999999972</v>
      </c>
      <c r="DP202" s="17">
        <f>DO202*VLOOKUP('Données projet'!$B$14,Paramètres!$A$1:$I$89,3,0)*VLOOKUP('Données projet'!$B$14,Paramètres!$A$1:$I$89,5,0)</f>
        <v>292.78079999999977</v>
      </c>
      <c r="DQ202" s="13">
        <f t="shared" si="176"/>
        <v>69.660903052386217</v>
      </c>
      <c r="DR202" s="20">
        <f t="shared" si="177"/>
        <v>631.25263281623893</v>
      </c>
      <c r="DS202" s="59">
        <f t="shared" si="197"/>
        <v>921.76900468557506</v>
      </c>
      <c r="DT202" s="59">
        <f ca="1">AVERAGE(OFFSET($DS$3,0,0,'Données projet'!$E$14+1,1))-AVERAGE(OFFSET($H$3,0,0,'Données projet'!$E$14+1,1))</f>
        <v>429.30603040255431</v>
      </c>
      <c r="DU202" s="59">
        <f t="shared" si="209"/>
        <v>412.18613903804726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5.8386054988442062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5.8386054988442062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210.25641025641013</v>
      </c>
      <c r="EK202" s="17">
        <f>EJ202*VLOOKUP('Données projet'!$B$15,Paramètres!$A$1:$I$89,3,0)*VLOOKUP('Données projet'!$B$15,Paramètres!$A$1:$I$89,5,0)</f>
        <v>163.99999999999991</v>
      </c>
      <c r="EL202" s="13">
        <f t="shared" si="179"/>
        <v>41.743425908362248</v>
      </c>
      <c r="EM202" s="20">
        <f t="shared" si="180"/>
        <v>358.33646679039742</v>
      </c>
      <c r="EN202" s="59">
        <f t="shared" si="198"/>
        <v>648.85283865973361</v>
      </c>
      <c r="EO202" s="59">
        <f ca="1">AVERAGE(OFFSET($EN$3,0,0,'Données projet'!$E$15+1,1))-AVERAGE(OFFSET($H$3,0,0,'Données projet'!$E$15+1,1))</f>
        <v>217.53602321474159</v>
      </c>
      <c r="EP202" s="59">
        <f t="shared" si="210"/>
        <v>215.75909414893025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2.4605027466585443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2.4605027466585443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19.8100000000004</v>
      </c>
      <c r="FF202" s="17">
        <f>FE202*VLOOKUP('Données projet'!$B$16,Paramètres!$A$1:$I$89,3,0)*VLOOKUP('Données projet'!$B$16,Paramètres!$A$1:$I$89,5,0)</f>
        <v>13.288548000000269</v>
      </c>
      <c r="FG202" s="13">
        <f t="shared" si="182"/>
        <v>4.531654695205642</v>
      </c>
      <c r="FH202" s="20">
        <f t="shared" si="183"/>
        <v>31.036853027483627</v>
      </c>
      <c r="FI202" s="59">
        <f t="shared" si="199"/>
        <v>321.55322489681976</v>
      </c>
      <c r="FJ202" s="59">
        <f ca="1">AVERAGE(OFFSET($FI$3,0,0,'Données projet'!$E$16+1,1))-AVERAGE(OFFSET($H$3,0,0,'Données projet'!$E$16+1,1))</f>
        <v>441.20130048888439</v>
      </c>
      <c r="FK202" s="59">
        <f t="shared" si="211"/>
        <v>237.47732532183946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65.856593310341424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65.856593310341424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204.00000000000017</v>
      </c>
      <c r="GA202" s="17">
        <f>FZ202*VLOOKUP('Données projet'!$B$17,Paramètres!$A$1:$I$89,3,0)*VLOOKUP('Données projet'!$B$17,Paramètres!$A$1:$I$89,5,0)</f>
        <v>133.66080000000011</v>
      </c>
      <c r="GB202" s="13">
        <f t="shared" si="185"/>
        <v>34.840890682716783</v>
      </c>
      <c r="GC202" s="20">
        <f t="shared" si="186"/>
        <v>293.4737779390652</v>
      </c>
      <c r="GD202" s="59">
        <f t="shared" si="200"/>
        <v>583.99014980840138</v>
      </c>
      <c r="GE202" s="59">
        <f ca="1">AVERAGE(OFFSET($GD$3,0,0,'Données projet'!$E$17+1,1))-AVERAGE(OFFSET($H$3,0,0,'Données projet'!$E$17+1,1))</f>
        <v>257.66104339896992</v>
      </c>
      <c r="GF202" s="59">
        <f t="shared" si="212"/>
        <v>254.79488636184996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4.5513933281998042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4.5513933281998042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234.00000000000003</v>
      </c>
      <c r="GV202" s="17">
        <f>GU202*VLOOKUP('Données projet'!$B$18,Paramètres!$A$1:$I$89,3,0)*VLOOKUP('Données projet'!$B$18,Paramètres!$A$1:$I$89,5,0)</f>
        <v>189.82080000000005</v>
      </c>
      <c r="GW202" s="13">
        <f t="shared" si="188"/>
        <v>47.500332100049796</v>
      </c>
      <c r="GX202" s="20">
        <f t="shared" si="189"/>
        <v>413.33430507425345</v>
      </c>
      <c r="GY202" s="59">
        <f t="shared" si="201"/>
        <v>703.85067694358963</v>
      </c>
      <c r="GZ202" s="59">
        <f ca="1">AVERAGE(OFFSET($GY$3,0,0,'Données projet'!$E$18+1,1))-AVERAGE(OFFSET($H$3,0,0,'Données projet'!$E$18+1,1))</f>
        <v>299.98377156721153</v>
      </c>
      <c r="HA202" s="59">
        <f t="shared" si="213"/>
        <v>241.36164657721102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4.3849918216508232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4.3849918216508232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19.8100000000004</v>
      </c>
      <c r="O203" s="13">
        <f>N203*VLOOKUP('Données projet'!$B$9,Paramètres!$A$1:$I$89,3,0)*VLOOKUP('Données projet'!$B$9,Paramètres!$A$1:$I$89,5,0)</f>
        <v>17.924088000000364</v>
      </c>
      <c r="P203" s="13">
        <f t="shared" si="203"/>
        <v>5.9032212091029486</v>
      </c>
      <c r="Q203" s="20">
        <f t="shared" si="162"/>
        <v>41.499230205854936</v>
      </c>
      <c r="R203" s="59">
        <f t="shared" si="191"/>
        <v>332.06447005880904</v>
      </c>
      <c r="S203" s="59">
        <f ca="1">AVERAGE(OFFSET($R$3,0,0,'Données projet'!$E$9+1,1))-AVERAGE(OFFSET($H$3,0,0,'Données projet'!$E$9+1,1))</f>
        <v>567.42635821507474</v>
      </c>
      <c r="T203" s="59">
        <f t="shared" si="204"/>
        <v>299.04735309930152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70.656240937296502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70.656240937296502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474.99999999999994</v>
      </c>
      <c r="AJ203" s="13">
        <f>AI203*VLOOKUP('Données projet'!$B$10,Paramètres!$A$1:$I$89,3,0)*VLOOKUP('Données projet'!$B$10,Paramètres!$A$1:$I$89,5,0)</f>
        <v>407.55</v>
      </c>
      <c r="AK203" s="13">
        <f t="shared" si="164"/>
        <v>93.305642095357683</v>
      </c>
      <c r="AL203" s="20">
        <f t="shared" si="165"/>
        <v>872.32357664941446</v>
      </c>
      <c r="AM203" s="59">
        <f t="shared" si="193"/>
        <v>1162.8888165023686</v>
      </c>
      <c r="AN203" s="59">
        <f ca="1">AVERAGE(OFFSET($AM$3,0,0,'Données projet'!$E$10+1,1))-AVERAGE(OFFSET($H$3,0,0,'Données projet'!$E$10+1,1))</f>
        <v>569.97793593332699</v>
      </c>
      <c r="AO203" s="59">
        <f t="shared" si="205"/>
        <v>331.25104323342907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25.065680558048832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25.065680558048832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277.99999999999994</v>
      </c>
      <c r="BE203" s="13">
        <f>BD203*VLOOKUP('Données projet'!$B$11,Paramètres!$A$1:$I$89,3,0)*VLOOKUP('Données projet'!$B$11,Paramètres!$A$1:$I$89,5,0)</f>
        <v>151.78799999999998</v>
      </c>
      <c r="BF203" s="13">
        <f t="shared" si="167"/>
        <v>38.984634390835623</v>
      </c>
      <c r="BG203" s="20">
        <f t="shared" si="168"/>
        <v>332.26233823070532</v>
      </c>
      <c r="BH203" s="59">
        <f t="shared" si="194"/>
        <v>622.82757808365943</v>
      </c>
      <c r="BI203" s="59">
        <f ca="1">AVERAGE(OFFSET($BH$3,0,0,'Données projet'!$E$11+1,1))-AVERAGE(OFFSET($H$3,0,0,'Données projet'!$E$11+1,1))</f>
        <v>215.37314197175104</v>
      </c>
      <c r="BJ203" s="59">
        <f t="shared" si="206"/>
        <v>361.17630426655978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1.2664643283176467</v>
      </c>
      <c r="BQ203" s="21">
        <f>EXP(-LN(2)/25)*BQ202+(1-EXP(-LN(2)/25))/(LN(2)/25)*Calculateur!BL203*Calculateur!BN203*VLOOKUP('Données projet'!$B$11,Paramètres!$A$1:$I$89,3,0)*0.475*44/12</f>
        <v>0.86189592980999541</v>
      </c>
      <c r="BR203" s="21">
        <f>EXP(-LN(2)/2)*BR202+(1-EXP(-LN(2)/2))/(LN(2)/2)*BL203*BO203*VLOOKUP('Données projet'!$B$11,Paramètres!$A$1:$I$89,3,0)*0.475*44/12</f>
        <v>6.5543236705009432E-28</v>
      </c>
      <c r="BS203" s="22">
        <f t="shared" si="169"/>
        <v>2.1283602581276422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0.8600000000003547</v>
      </c>
      <c r="BZ203" s="13">
        <f>BY203*VLOOKUP('Données projet'!$B$12,Paramètres!$A$1:$I$89,3,0)*VLOOKUP('Données projet'!$B$12,Paramètres!$A$1:$I$89,5,0)</f>
        <v>0.48074000000019829</v>
      </c>
      <c r="CA203" s="13">
        <f t="shared" si="170"/>
        <v>0.24126147010950588</v>
      </c>
      <c r="CB203" s="20">
        <f t="shared" si="171"/>
        <v>1.2574858937744013</v>
      </c>
      <c r="CC203" s="59">
        <f t="shared" si="195"/>
        <v>291.82272574672851</v>
      </c>
      <c r="CD203" s="59">
        <f ca="1">AVERAGE(OFFSET($CC$3,0,0,'Données projet'!$E$12+1,1))-AVERAGE(OFFSET($H$3,0,0,'Données projet'!$E$12+1,1))</f>
        <v>420.4890915162182</v>
      </c>
      <c r="CE203" s="59">
        <f t="shared" si="207"/>
        <v>553.48432338023565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21.04617821431896</v>
      </c>
      <c r="CL203" s="21">
        <f>EXP(-LN(2)/25)*CL202+(1-EXP(-LN(2)/25))/(LN(2)/25)*Calculateur!CG203*Calculateur!CI203*VLOOKUP('Données projet'!$B$12,Paramètres!$A$1:$I$89,3,0)*0.475*44/12</f>
        <v>0.45383700334594701</v>
      </c>
      <c r="CM203" s="21">
        <f>EXP(-LN(2)/2)*CM202+(1-EXP(-LN(2)/2))/(LN(2)/2)*CG203*CJ203*VLOOKUP('Données projet'!$B$12,Paramètres!$A$1:$I$89,3,0)*0.475*44/12</f>
        <v>1.9126497389710539E-26</v>
      </c>
      <c r="CN203" s="22">
        <f t="shared" si="172"/>
        <v>21.500015217664906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367.99999999999972</v>
      </c>
      <c r="CU203" s="17">
        <f>CT203*VLOOKUP('Données projet'!$B$13,Paramètres!$A$1:$I$89,3,0)*VLOOKUP('Données projet'!$B$13,Paramètres!$A$1:$I$89,5,0)</f>
        <v>269.8175999999998</v>
      </c>
      <c r="CV203" s="13">
        <f t="shared" si="173"/>
        <v>64.810557882019467</v>
      </c>
      <c r="CW203" s="20">
        <f t="shared" si="174"/>
        <v>582.81070831118348</v>
      </c>
      <c r="CX203" s="59">
        <f t="shared" si="196"/>
        <v>873.37594816413753</v>
      </c>
      <c r="CY203" s="59">
        <f ca="1">AVERAGE(OFFSET($CX$3,0,0,'Données projet'!$E$13+1,1))-AVERAGE(OFFSET($H$3,0,0,'Données projet'!$E$13+1,1))</f>
        <v>400.48995908576177</v>
      </c>
      <c r="CZ203" s="59">
        <f t="shared" si="208"/>
        <v>384.86917865380076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4.2798499469291791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4.2798499469291791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367.99999999999972</v>
      </c>
      <c r="DP203" s="17">
        <f>DO203*VLOOKUP('Données projet'!$B$14,Paramètres!$A$1:$I$89,3,0)*VLOOKUP('Données projet'!$B$14,Paramètres!$A$1:$I$89,5,0)</f>
        <v>292.78079999999977</v>
      </c>
      <c r="DQ203" s="13">
        <f t="shared" si="176"/>
        <v>69.660903052386217</v>
      </c>
      <c r="DR203" s="20">
        <f t="shared" si="177"/>
        <v>631.25263281623893</v>
      </c>
      <c r="DS203" s="59">
        <f t="shared" si="197"/>
        <v>921.81787266919309</v>
      </c>
      <c r="DT203" s="59">
        <f ca="1">AVERAGE(OFFSET($DS$3,0,0,'Données projet'!$E$14+1,1))-AVERAGE(OFFSET($H$3,0,0,'Données projet'!$E$14+1,1))</f>
        <v>429.30603040255431</v>
      </c>
      <c r="DU203" s="59">
        <f t="shared" si="209"/>
        <v>412.18613903804726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5.7241140062095868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5.7241140062095868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210.25641025641013</v>
      </c>
      <c r="EK203" s="17">
        <f>EJ203*VLOOKUP('Données projet'!$B$15,Paramètres!$A$1:$I$89,3,0)*VLOOKUP('Données projet'!$B$15,Paramètres!$A$1:$I$89,5,0)</f>
        <v>163.99999999999991</v>
      </c>
      <c r="EL203" s="13">
        <f t="shared" si="179"/>
        <v>41.743425908362248</v>
      </c>
      <c r="EM203" s="20">
        <f t="shared" si="180"/>
        <v>358.33646679039742</v>
      </c>
      <c r="EN203" s="59">
        <f t="shared" si="198"/>
        <v>648.90170664335153</v>
      </c>
      <c r="EO203" s="59">
        <f ca="1">AVERAGE(OFFSET($EN$3,0,0,'Données projet'!$E$15+1,1))-AVERAGE(OFFSET($H$3,0,0,'Données projet'!$E$15+1,1))</f>
        <v>217.53602321474159</v>
      </c>
      <c r="EP203" s="59">
        <f t="shared" si="210"/>
        <v>215.75909414893025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2.4122537885550579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2.4122537885550579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19.8100000000004</v>
      </c>
      <c r="FF203" s="17">
        <f>FE203*VLOOKUP('Données projet'!$B$16,Paramètres!$A$1:$I$89,3,0)*VLOOKUP('Données projet'!$B$16,Paramètres!$A$1:$I$89,5,0)</f>
        <v>13.288548000000269</v>
      </c>
      <c r="FG203" s="13">
        <f t="shared" si="182"/>
        <v>4.531654695205642</v>
      </c>
      <c r="FH203" s="20">
        <f t="shared" si="183"/>
        <v>31.036853027483627</v>
      </c>
      <c r="FI203" s="59">
        <f t="shared" si="199"/>
        <v>321.60209288043774</v>
      </c>
      <c r="FJ203" s="59">
        <f ca="1">AVERAGE(OFFSET($FI$3,0,0,'Données projet'!$E$16+1,1))-AVERAGE(OFFSET($H$3,0,0,'Données projet'!$E$16+1,1))</f>
        <v>441.20130048888439</v>
      </c>
      <c r="FK203" s="59">
        <f t="shared" si="211"/>
        <v>237.47732532183946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64.565185684081229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64.565185684081229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204.00000000000017</v>
      </c>
      <c r="GA203" s="17">
        <f>FZ203*VLOOKUP('Données projet'!$B$17,Paramètres!$A$1:$I$89,3,0)*VLOOKUP('Données projet'!$B$17,Paramètres!$A$1:$I$89,5,0)</f>
        <v>133.66080000000011</v>
      </c>
      <c r="GB203" s="13">
        <f t="shared" si="185"/>
        <v>34.840890682716783</v>
      </c>
      <c r="GC203" s="20">
        <f t="shared" si="186"/>
        <v>293.4737779390652</v>
      </c>
      <c r="GD203" s="59">
        <f t="shared" si="200"/>
        <v>584.03901779201931</v>
      </c>
      <c r="GE203" s="59">
        <f ca="1">AVERAGE(OFFSET($GD$3,0,0,'Données projet'!$E$17+1,1))-AVERAGE(OFFSET($H$3,0,0,'Données projet'!$E$17+1,1))</f>
        <v>257.66104339896992</v>
      </c>
      <c r="GF203" s="59">
        <f t="shared" si="212"/>
        <v>254.79488636184996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4.462143281109622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4.462143281109622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234.00000000000003</v>
      </c>
      <c r="GV203" s="17">
        <f>GU203*VLOOKUP('Données projet'!$B$18,Paramètres!$A$1:$I$89,3,0)*VLOOKUP('Données projet'!$B$18,Paramètres!$A$1:$I$89,5,0)</f>
        <v>189.82080000000005</v>
      </c>
      <c r="GW203" s="13">
        <f t="shared" si="188"/>
        <v>47.500332100049796</v>
      </c>
      <c r="GX203" s="20">
        <f t="shared" si="189"/>
        <v>413.33430507425345</v>
      </c>
      <c r="GY203" s="59">
        <f t="shared" si="201"/>
        <v>703.89954492720756</v>
      </c>
      <c r="GZ203" s="59">
        <f ca="1">AVERAGE(OFFSET($GY$3,0,0,'Données projet'!$E$18+1,1))-AVERAGE(OFFSET($H$3,0,0,'Données projet'!$E$18+1,1))</f>
        <v>299.98377156721153</v>
      </c>
      <c r="HA203" s="59">
        <f t="shared" si="213"/>
        <v>241.36164657721102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4.2990048066091688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4.2990048066091688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1.1736311550493581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1.2229519710813024</v>
      </c>
      <c r="BA205" s="81">
        <f>EXP(LN('Données projet'!B88)/'Données projet'!A88)</f>
        <v>1.4860662319460807</v>
      </c>
      <c r="BV205" s="81">
        <f>EXP(LN('Données projet'!B114)/'Données projet'!A114)</f>
        <v>1.3540417154604885</v>
      </c>
      <c r="CQ205" s="81">
        <f>EXP(LN('Données projet'!B140)/'Données projet'!A140)</f>
        <v>1.3423796509621049</v>
      </c>
      <c r="DL205" s="81">
        <f>EXP(LN('Données projet'!B166)/'Données projet'!A166)</f>
        <v>1.3423796509621049</v>
      </c>
      <c r="EG205" s="81">
        <f>EXP(LN('Données projet'!B192)/'Données projet'!A192)</f>
        <v>1.2414494093563335</v>
      </c>
      <c r="FB205" s="81">
        <f>EXP(LN('Données projet'!B218)/'Données projet'!A218)</f>
        <v>1.1736311550493581</v>
      </c>
      <c r="FW205" s="81">
        <f>EXP(LN('Données projet'!B244)/'Données projet'!A244)</f>
        <v>1.2457309396155174</v>
      </c>
      <c r="GR205" s="81">
        <f>EXP(LN('Données projet'!B270)/'Données projet'!A270)</f>
        <v>1.282970348825361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0.33838979999999996</v>
      </c>
      <c r="C6" s="145">
        <f ca="1">IF(OR('Données projet'!B9="",'Données projet'!C9="",'Données projet'!C9=0%),0,Calculateur!S3)</f>
        <v>567.42635821507474</v>
      </c>
      <c r="D6" s="145">
        <f>IF(OR('Données projet'!B9="",'Données projet'!C9="",'Données projet'!C9=0%),0,Calculateur!T3)</f>
        <v>299.04735309930152</v>
      </c>
      <c r="E6" s="145">
        <f ca="1">MIN(C6,D6)</f>
        <v>299.04735309930152</v>
      </c>
      <c r="F6" s="145">
        <f ca="1">E6*B6</f>
        <v>101.19457400580201</v>
      </c>
      <c r="G6" s="145">
        <f ca="1">F6*(100%-'Données projet'!$C$24)*(100%-'Données projet'!$C$25)*(100%-'Données projet'!$C$26)*(100%-'Données projet'!$C$27)</f>
        <v>91.075116605221808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91.075116605221808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Hêtre</v>
      </c>
      <c r="B7" s="152">
        <f>'Données projet'!D10</f>
        <v>0.22640679999999999</v>
      </c>
      <c r="C7" s="145">
        <f ca="1">IF(OR('Données projet'!B10="",'Données projet'!C10="",'Données projet'!C10=0%),0,Calculateur!AN3)</f>
        <v>569.97793593332699</v>
      </c>
      <c r="D7" s="145">
        <f>IF(OR('Données projet'!B10="",'Données projet'!C10="",'Données projet'!C10=0%),0,Calculateur!AO3)</f>
        <v>331.25104323342907</v>
      </c>
      <c r="E7" s="145">
        <f t="shared" ref="E7:E15" ca="1" si="0">MIN(C7,D7)</f>
        <v>331.25104323342907</v>
      </c>
      <c r="F7" s="145">
        <f t="shared" ref="F7:F15" ca="1" si="1">E7*B7</f>
        <v>74.997488695142323</v>
      </c>
      <c r="G7" s="145">
        <f ca="1">F7*(100%-'Données projet'!$C$24)*(100%-'Données projet'!$C$25)*(100%-'Données projet'!$C$26)*(100%-'Données projet'!$C$27)</f>
        <v>67.497739825628088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3.4527036999999998</v>
      </c>
      <c r="K7" s="149">
        <f>J7*(100%-'Données projet'!$C$24)*(100%-'Données projet'!$C$25)*(100%-'Données projet'!$C$26)*(100%-'Données projet'!$C$27)</f>
        <v>3.1074333300000001</v>
      </c>
      <c r="L7" s="150">
        <f t="shared" ref="L7:L15" ca="1" si="2">G7+I7+K7</f>
        <v>70.605173155628094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Mélèze hybride</v>
      </c>
      <c r="B8" s="152">
        <f>'Données projet'!D11</f>
        <v>0.22640679999999999</v>
      </c>
      <c r="C8" s="145">
        <f ca="1">IF(OR('Données projet'!B11="",'Données projet'!C11="",'Données projet'!C11=0%),0,Calculateur!BI3)</f>
        <v>215.37314197175104</v>
      </c>
      <c r="D8" s="145">
        <f>IF(OR('Données projet'!B11="",'Données projet'!C11="",'Données projet'!C11=0%),0,Calculateur!BJ3)</f>
        <v>361.17630426655978</v>
      </c>
      <c r="E8" s="145">
        <f t="shared" ca="1" si="0"/>
        <v>215.37314197175104</v>
      </c>
      <c r="F8" s="145">
        <f t="shared" ca="1" si="1"/>
        <v>48.761943879769838</v>
      </c>
      <c r="G8" s="145">
        <f ca="1">F8*(100%-'Données projet'!$C$24)*(100%-'Données projet'!$C$25)*(100%-'Données projet'!$C$26)*(100%-'Données projet'!$C$27)</f>
        <v>43.885749491792858</v>
      </c>
      <c r="H8" s="153">
        <f>IF(OR('Données projet'!B11="",'Données projet'!C11="",'Données projet'!C11=0%),0,AVERAGE(Calculateur!$BS$3:$BS$33)*B8)</f>
        <v>6.3578683597707277</v>
      </c>
      <c r="I8" s="147">
        <f>H8*(100%-'Données projet'!$C$24)*(100%-'Données projet'!$C$25)*(100%-'Données projet'!$C$26)*(100%-'Données projet'!$C$27)</f>
        <v>5.7220815237936549</v>
      </c>
      <c r="J8" s="148">
        <f>IF(OR('Données projet'!B11="",'Données projet'!C11="",'Données projet'!C11=0%),0,SUM(Calculateur!$BL$3:$BL$33)*VLOOKUP('Données projet'!$B$11,Paramètres!$A$1:$I$89,9,0)*B8)</f>
        <v>28.135573035999997</v>
      </c>
      <c r="K8" s="149">
        <f>J8*(100%-'Données projet'!$C$24)*(100%-'Données projet'!$C$25)*(100%-'Données projet'!$C$26)*(100%-'Données projet'!$C$27)</f>
        <v>25.322015732399997</v>
      </c>
      <c r="L8" s="150">
        <f t="shared" ca="1" si="2"/>
        <v>74.929846747986517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Douglas</v>
      </c>
      <c r="B9" s="152">
        <f>'Données projet'!D12</f>
        <v>0.22640679999999999</v>
      </c>
      <c r="C9" s="145">
        <f ca="1">IF(OR('Données projet'!B12="",'Données projet'!C12="",'Données projet'!C12=0%),0,Calculateur!CD3)</f>
        <v>420.4890915162182</v>
      </c>
      <c r="D9" s="145">
        <f>IF(OR('Données projet'!B12="",'Données projet'!C12="",'Données projet'!C12=0%),0,Calculateur!CE3)</f>
        <v>553.48432338023565</v>
      </c>
      <c r="E9" s="145">
        <f t="shared" ca="1" si="0"/>
        <v>420.4890915162182</v>
      </c>
      <c r="F9" s="145">
        <f t="shared" ca="1" si="1"/>
        <v>95.201589645094103</v>
      </c>
      <c r="G9" s="145">
        <f ca="1">F9*(100%-'Données projet'!$C$24)*(100%-'Données projet'!$C$25)*(100%-'Données projet'!$C$26)*(100%-'Données projet'!$C$27)</f>
        <v>85.681430680584697</v>
      </c>
      <c r="H9" s="153">
        <f>IF(OR('Données projet'!B12="",'Données projet'!C12="",'Données projet'!C12=0%),0,AVERAGE(Calculateur!$CN$3:$CN$33)*B9)</f>
        <v>2.3916546836739085</v>
      </c>
      <c r="I9" s="147">
        <f>H9*(100%-'Données projet'!$C$24)*(100%-'Données projet'!$C$25)*(100%-'Données projet'!$C$26)*(100%-'Données projet'!$C$27)</f>
        <v>2.1524892153065176</v>
      </c>
      <c r="J9" s="148">
        <f>IF(OR('Données projet'!B12="",'Données projet'!C12="",'Données projet'!C12=0%),0,SUM(Calculateur!$CG$3:$CG$33)*VLOOKUP('Données projet'!$B$12,Paramètres!$A$1:$I$89,9,0)*B9)</f>
        <v>20.16999315432</v>
      </c>
      <c r="K9" s="149">
        <f>J9*(100%-'Données projet'!$C$24)*(100%-'Données projet'!$C$25)*(100%-'Données projet'!$C$26)*(100%-'Données projet'!$C$27)</f>
        <v>18.152993838888001</v>
      </c>
      <c r="L9" s="150">
        <f t="shared" ca="1" si="2"/>
        <v>105.98691373477922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Châtaignier</v>
      </c>
      <c r="B10" s="152">
        <f>'Données projet'!D13</f>
        <v>0.22640679999999999</v>
      </c>
      <c r="C10" s="145">
        <f ca="1">IF(OR('Données projet'!B13="",'Données projet'!C13="",'Données projet'!C13=0%),0,Calculateur!CY3)</f>
        <v>400.48995908576177</v>
      </c>
      <c r="D10" s="145">
        <f>IF(OR('Données projet'!B13="",'Données projet'!C13="",'Données projet'!C13=0%),0,Calculateur!CZ3)</f>
        <v>384.86917865380076</v>
      </c>
      <c r="E10" s="145">
        <f t="shared" ca="1" si="0"/>
        <v>384.86917865380076</v>
      </c>
      <c r="F10" s="145">
        <f t="shared" ca="1" si="1"/>
        <v>87.13699915763533</v>
      </c>
      <c r="G10" s="145">
        <f ca="1">F10*(100%-'Données projet'!$C$24)*(100%-'Données projet'!$C$25)*(100%-'Données projet'!$C$26)*(100%-'Données projet'!$C$27)</f>
        <v>78.423299241871803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9.9052974999999996</v>
      </c>
      <c r="K10" s="149">
        <f>J10*(100%-'Données projet'!$C$24)*(100%-'Données projet'!$C$25)*(100%-'Données projet'!$C$26)*(100%-'Données projet'!$C$27)</f>
        <v>8.9147677499999993</v>
      </c>
      <c r="L10" s="150">
        <f t="shared" ca="1" si="2"/>
        <v>87.338066991871798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Erable plane</v>
      </c>
      <c r="B11" s="152">
        <f>'Données projet'!D14</f>
        <v>0.22640679999999999</v>
      </c>
      <c r="C11" s="145">
        <f ca="1">IF(OR('Données projet'!B14="",'Données projet'!C14="",'Données projet'!C14=0%),0,Calculateur!DT3)</f>
        <v>429.30603040255431</v>
      </c>
      <c r="D11" s="145">
        <f>IF(OR('Données projet'!B14="",'Données projet'!C14="",'Données projet'!C14=0%),0,Calculateur!DU3)</f>
        <v>412.18613903804726</v>
      </c>
      <c r="E11" s="145">
        <f t="shared" ca="1" si="0"/>
        <v>412.18613903804726</v>
      </c>
      <c r="F11" s="145">
        <f t="shared" ca="1" si="1"/>
        <v>93.321744743959357</v>
      </c>
      <c r="G11" s="145">
        <f ca="1">F11*(100%-'Données projet'!$C$24)*(100%-'Données projet'!$C$25)*(100%-'Données projet'!$C$26)*(100%-'Données projet'!$C$27)</f>
        <v>83.98957026956343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9.9052974999999996</v>
      </c>
      <c r="K11" s="149">
        <f>J11*(100%-'Données projet'!$C$24)*(100%-'Données projet'!$C$25)*(100%-'Données projet'!$C$26)*(100%-'Données projet'!$C$27)</f>
        <v>8.9147677499999993</v>
      </c>
      <c r="L11" s="150">
        <f t="shared" ca="1" si="2"/>
        <v>92.904338019563426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Merisier</v>
      </c>
      <c r="B12" s="152">
        <f>'Données projet'!D15</f>
        <v>0.22559319999999999</v>
      </c>
      <c r="C12" s="145">
        <f ca="1">IF(OR('Données projet'!B15="",'Données projet'!C15="",'Données projet'!C15=0%),0,Calculateur!EO3)</f>
        <v>217.53602321474159</v>
      </c>
      <c r="D12" s="145">
        <f>IF(OR('Données projet'!B15="",'Données projet'!C15="",'Données projet'!C15=0%),0,Calculateur!EP3)</f>
        <v>215.75909414893025</v>
      </c>
      <c r="E12" s="145">
        <f t="shared" ca="1" si="0"/>
        <v>215.75909414893025</v>
      </c>
      <c r="F12" s="145">
        <f t="shared" ca="1" si="1"/>
        <v>48.673784478158453</v>
      </c>
      <c r="G12" s="145">
        <f ca="1">F12*(100%-'Données projet'!$C$24)*(100%-'Données projet'!$C$25)*(100%-'Données projet'!$C$26)*(100%-'Données projet'!$C$27)</f>
        <v>43.806406030342607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1.9884016025641025</v>
      </c>
      <c r="K12" s="149">
        <f>J12*(100%-'Données projet'!$C$24)*(100%-'Données projet'!$C$25)*(100%-'Données projet'!$C$26)*(100%-'Données projet'!$C$27)</f>
        <v>1.7895614423076922</v>
      </c>
      <c r="L12" s="150">
        <f t="shared" ca="1" si="2"/>
        <v>45.595967472650301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Tilleul</v>
      </c>
      <c r="B13" s="152">
        <f>'Données projet'!D16</f>
        <v>0.33838979999999996</v>
      </c>
      <c r="C13" s="145">
        <f ca="1">IF(OR('Données projet'!B16="",'Données projet'!C16="",'Données projet'!C16=0%),0,Calculateur!FJ3)</f>
        <v>441.20130048888439</v>
      </c>
      <c r="D13" s="145">
        <f>IF(OR('Données projet'!B16="",'Données projet'!C16="",'Données projet'!C16=0%),0,Calculateur!FK3)</f>
        <v>237.47732532183946</v>
      </c>
      <c r="E13" s="145">
        <f t="shared" ca="1" si="0"/>
        <v>237.47732532183946</v>
      </c>
      <c r="F13" s="145">
        <f t="shared" ca="1" si="1"/>
        <v>80.359904620192182</v>
      </c>
      <c r="G13" s="145">
        <f ca="1">F13*(100%-'Données projet'!$C$24)*(100%-'Données projet'!$C$25)*(100%-'Données projet'!$C$26)*(100%-'Données projet'!$C$27)</f>
        <v>72.323914158172968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ca="1" si="2"/>
        <v>72.323914158172968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>Aulne glutineux</v>
      </c>
      <c r="B14" s="152">
        <f>'Données projet'!D17</f>
        <v>0.1127966</v>
      </c>
      <c r="C14" s="145">
        <f ca="1">IF(OR('Données projet'!B17="",'Données projet'!C17="",'Données projet'!C17=0%),0,Calculateur!GE3)</f>
        <v>257.66104339896992</v>
      </c>
      <c r="D14" s="145">
        <f>IF(OR('Données projet'!B17="",'Données projet'!C17="",'Données projet'!C17=0%),0,Calculateur!GF3)</f>
        <v>254.79488636184996</v>
      </c>
      <c r="E14" s="145">
        <f t="shared" ca="1" si="0"/>
        <v>254.79488636184996</v>
      </c>
      <c r="F14" s="145">
        <f t="shared" ca="1" si="1"/>
        <v>28.739996879003044</v>
      </c>
      <c r="G14" s="145">
        <f ca="1">F14*(100%-'Données projet'!$C$24)*(100%-'Données projet'!$C$25)*(100%-'Données projet'!$C$26)*(100%-'Données projet'!$C$27)</f>
        <v>25.865997191102739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1.43815665</v>
      </c>
      <c r="K14" s="149">
        <f>J14*(100%-'Données projet'!$C$24)*(100%-'Données projet'!$C$25)*(100%-'Données projet'!$C$26)*(100%-'Données projet'!$C$27)</f>
        <v>1.2943409850000001</v>
      </c>
      <c r="L14" s="150">
        <f t="shared" ca="1" si="2"/>
        <v>27.160338176102741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>Bouleau verruqueux</v>
      </c>
      <c r="B15" s="155">
        <f>'Données projet'!D18</f>
        <v>0.1127966</v>
      </c>
      <c r="C15" s="156">
        <f ca="1">IF(OR('Données projet'!B18="",'Données projet'!C18="",'Données projet'!C18=0%),0,Calculateur!GZ3)</f>
        <v>299.98377156721153</v>
      </c>
      <c r="D15" s="156">
        <f>IF(OR('Données projet'!B18="",'Données projet'!C18="",'Données projet'!C18=0%),0,Calculateur!HA3)</f>
        <v>241.36164657721102</v>
      </c>
      <c r="E15" s="156">
        <f t="shared" ca="1" si="0"/>
        <v>241.36164657721102</v>
      </c>
      <c r="F15" s="157">
        <f t="shared" ca="1" si="1"/>
        <v>27.224773104311041</v>
      </c>
      <c r="G15" s="157">
        <f ca="1">F15*(100%-'Données projet'!$C$24)*(100%-'Données projet'!$C$25)*(100%-'Données projet'!$C$26)*(100%-'Données projet'!$C$27)</f>
        <v>24.502295793879938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1.0151694</v>
      </c>
      <c r="K15" s="161">
        <f>J15*(100%-'Données projet'!$C$24)*(100%-'Données projet'!$C$25)*(100%-'Données projet'!$C$26)*(100%-'Données projet'!$C$27)</f>
        <v>0.91365246</v>
      </c>
      <c r="L15" s="162">
        <f t="shared" ca="1" si="2"/>
        <v>25.41594825387994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685.61279920906759</v>
      </c>
      <c r="G16" s="164">
        <f t="shared" ca="1" si="3"/>
        <v>617.0515192881611</v>
      </c>
      <c r="H16" s="165">
        <f t="shared" si="3"/>
        <v>8.7495230434446363</v>
      </c>
      <c r="I16" s="165">
        <f t="shared" si="3"/>
        <v>7.8745707391001725</v>
      </c>
      <c r="J16" s="166">
        <f t="shared" si="3"/>
        <v>76.010592542884098</v>
      </c>
      <c r="K16" s="166">
        <f t="shared" si="3"/>
        <v>68.409533288595682</v>
      </c>
      <c r="L16" s="167">
        <f t="shared" ca="1" si="3"/>
        <v>693.33562331585688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Hêtre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Mélèze hybride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Douglas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Châtaignier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Erable plane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Merisier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Tilleul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>Aulne glutineux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>Bouleau verruqueux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8498.6926104877311</v>
      </c>
      <c r="U10" s="176">
        <f>'Données projet'!D9</f>
        <v>0.33838979999999996</v>
      </c>
      <c r="V10" s="175">
        <f>U10*T10</f>
        <v>2875.8708927244211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Hêtre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318.13123121845797</v>
      </c>
      <c r="U11" s="176">
        <f>'Données projet'!D10</f>
        <v>0.22640679999999999</v>
      </c>
      <c r="V11" s="175">
        <f t="shared" ref="V11" si="0">U11*T11</f>
        <v>72.02707404023117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Mélèze hybride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850.35711376949985</v>
      </c>
      <c r="U12" s="176">
        <f>'Données projet'!D11</f>
        <v>0.22640679999999999</v>
      </c>
      <c r="V12" s="175">
        <f t="shared" ref="V12:V19" si="1">U12*T12</f>
        <v>192.52663298578838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Douglas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7436.4724697855709</v>
      </c>
      <c r="U13" s="176">
        <f>'Données projet'!D12</f>
        <v>0.22640679999999999</v>
      </c>
      <c r="V13" s="175">
        <f t="shared" si="1"/>
        <v>1683.6679351722478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Châtaignier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274.84620825162551</v>
      </c>
      <c r="U14" s="176">
        <f>'Données projet'!D13</f>
        <v>0.22640679999999999</v>
      </c>
      <c r="V14" s="175">
        <f t="shared" si="1"/>
        <v>62.227050502384124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Erable plane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353.96620825162591</v>
      </c>
      <c r="U15" s="176">
        <f>'Données projet'!D14</f>
        <v>0.22640679999999999</v>
      </c>
      <c r="V15" s="175">
        <f t="shared" si="1"/>
        <v>80.140356518384209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>Merisier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-3616.4726759129189</v>
      </c>
      <c r="U16" s="176">
        <f>'Données projet'!D15</f>
        <v>0.22559319999999999</v>
      </c>
      <c r="V16" s="175">
        <f t="shared" si="1"/>
        <v>-815.85164367175832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2671.31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Tilleul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-421.9140698858493</v>
      </c>
      <c r="U17" s="176">
        <f>'Données projet'!D16</f>
        <v>0.33838979999999996</v>
      </c>
      <c r="V17" s="175">
        <f t="shared" si="1"/>
        <v>-142.77141772585856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>Aulne glutineux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-292.29379394287992</v>
      </c>
      <c r="U18" s="176">
        <f>'Données projet'!D17</f>
        <v>0.1127966</v>
      </c>
      <c r="V18" s="175">
        <f t="shared" si="1"/>
        <v>-32.96974615785745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>Bouleau verruqueux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-885.33241438306425</v>
      </c>
      <c r="U19" s="176">
        <f>'Données projet'!D18</f>
        <v>0.1127966</v>
      </c>
      <c r="V19" s="175">
        <f t="shared" si="1"/>
        <v>-99.862486212200736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2792.65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-2436.384351824217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35</v>
      </c>
      <c r="B24" s="179">
        <f>'Données projet'!D37</f>
        <v>69.58</v>
      </c>
      <c r="C24" s="191">
        <v>235</v>
      </c>
      <c r="D24" s="180">
        <f t="shared" ref="D24:D42" si="2">B24*C24</f>
        <v>16351.3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41</v>
      </c>
      <c r="B25" s="179">
        <f>'Données projet'!D38</f>
        <v>47.41</v>
      </c>
      <c r="C25" s="191">
        <v>235</v>
      </c>
      <c r="D25" s="180">
        <f t="shared" si="2"/>
        <v>11141.349999999999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-2436.384351824217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48</v>
      </c>
      <c r="B26" s="179">
        <f>'Données projet'!D39</f>
        <v>61.12</v>
      </c>
      <c r="C26" s="191">
        <v>235</v>
      </c>
      <c r="D26" s="180">
        <f t="shared" si="2"/>
        <v>14363.199999999999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55</v>
      </c>
      <c r="B27" s="179">
        <f>'Données projet'!D40</f>
        <v>58.24</v>
      </c>
      <c r="C27" s="191">
        <v>235</v>
      </c>
      <c r="D27" s="180">
        <f t="shared" si="2"/>
        <v>13686.4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63</v>
      </c>
      <c r="B28" s="179">
        <f>'Données projet'!D41</f>
        <v>54.21</v>
      </c>
      <c r="C28" s="191">
        <v>235</v>
      </c>
      <c r="D28" s="180">
        <f t="shared" si="2"/>
        <v>12739.35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71</v>
      </c>
      <c r="B29" s="179">
        <f>'Données projet'!D42</f>
        <v>52.07</v>
      </c>
      <c r="C29" s="191">
        <v>235</v>
      </c>
      <c r="D29" s="180">
        <f t="shared" si="2"/>
        <v>12236.45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80</v>
      </c>
      <c r="B30" s="179">
        <f>'Données projet'!D43</f>
        <v>59.57</v>
      </c>
      <c r="C30" s="191">
        <v>235</v>
      </c>
      <c r="D30" s="180">
        <f t="shared" si="2"/>
        <v>13998.95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89</v>
      </c>
      <c r="B31" s="179">
        <f>'Données projet'!D44</f>
        <v>64.5</v>
      </c>
      <c r="C31" s="191">
        <v>235</v>
      </c>
      <c r="D31" s="180">
        <f t="shared" si="2"/>
        <v>15157.5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99</v>
      </c>
      <c r="B32" s="179">
        <f>'Données projet'!D45</f>
        <v>62.94</v>
      </c>
      <c r="C32" s="191">
        <v>235</v>
      </c>
      <c r="D32" s="180">
        <f t="shared" si="2"/>
        <v>14790.9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109</v>
      </c>
      <c r="B33" s="179">
        <f>'Données projet'!D46</f>
        <v>66.959999999999994</v>
      </c>
      <c r="C33" s="191">
        <v>235</v>
      </c>
      <c r="D33" s="180">
        <f t="shared" si="2"/>
        <v>15735.599999999999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119</v>
      </c>
      <c r="B34" s="179">
        <f>'Données projet'!D47</f>
        <v>196.46</v>
      </c>
      <c r="C34" s="191">
        <v>235</v>
      </c>
      <c r="D34" s="180">
        <f t="shared" si="2"/>
        <v>46168.1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123</v>
      </c>
      <c r="B35" s="179">
        <f>'Données projet'!D48</f>
        <v>100.6</v>
      </c>
      <c r="C35" s="191">
        <v>235</v>
      </c>
      <c r="D35" s="180">
        <f t="shared" si="2"/>
        <v>23641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127</v>
      </c>
      <c r="B36" s="179">
        <f>'Données projet'!D49</f>
        <v>65.02</v>
      </c>
      <c r="C36" s="191">
        <v>235</v>
      </c>
      <c r="D36" s="180">
        <f t="shared" si="2"/>
        <v>15279.699999999999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131</v>
      </c>
      <c r="B37" s="179">
        <f>'Données projet'!D50</f>
        <v>143.84</v>
      </c>
      <c r="C37" s="191">
        <v>235</v>
      </c>
      <c r="D37" s="180">
        <f t="shared" si="2"/>
        <v>33802.400000000001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Hêtre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1879.97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26</v>
      </c>
      <c r="C55" s="189">
        <v>20</v>
      </c>
      <c r="D55" s="177">
        <f t="shared" ref="D55:D73" si="4">B55*C55</f>
        <v>520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35</v>
      </c>
      <c r="C56" s="189">
        <v>20</v>
      </c>
      <c r="D56" s="177">
        <f t="shared" si="4"/>
        <v>700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35</v>
      </c>
      <c r="C57" s="189">
        <v>55</v>
      </c>
      <c r="D57" s="177">
        <f t="shared" si="4"/>
        <v>1925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35</v>
      </c>
      <c r="C58" s="189">
        <v>55</v>
      </c>
      <c r="D58" s="177">
        <f t="shared" si="4"/>
        <v>1925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35</v>
      </c>
      <c r="C59" s="189">
        <v>55</v>
      </c>
      <c r="D59" s="177">
        <f t="shared" si="4"/>
        <v>1925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35</v>
      </c>
      <c r="C60" s="189">
        <v>55</v>
      </c>
      <c r="D60" s="177">
        <f t="shared" si="4"/>
        <v>1925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35</v>
      </c>
      <c r="C61" s="189">
        <v>55</v>
      </c>
      <c r="D61" s="177">
        <f t="shared" si="4"/>
        <v>1925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35</v>
      </c>
      <c r="C62" s="189">
        <v>55</v>
      </c>
      <c r="D62" s="177">
        <f t="shared" si="4"/>
        <v>1925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65</v>
      </c>
      <c r="B63" s="179">
        <f>'Données projet'!D71</f>
        <v>35</v>
      </c>
      <c r="C63" s="189">
        <v>55</v>
      </c>
      <c r="D63" s="177">
        <f t="shared" si="4"/>
        <v>1925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70</v>
      </c>
      <c r="B64" s="179">
        <f>'Données projet'!D72</f>
        <v>35</v>
      </c>
      <c r="C64" s="189">
        <v>55</v>
      </c>
      <c r="D64" s="177">
        <f t="shared" si="4"/>
        <v>1925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75</v>
      </c>
      <c r="B65" s="179">
        <f>'Données projet'!D73</f>
        <v>35</v>
      </c>
      <c r="C65" s="189">
        <v>55</v>
      </c>
      <c r="D65" s="177">
        <f t="shared" si="4"/>
        <v>1925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80</v>
      </c>
      <c r="B66" s="179">
        <f>'Données projet'!D74</f>
        <v>34</v>
      </c>
      <c r="C66" s="189">
        <v>55</v>
      </c>
      <c r="D66" s="177">
        <f t="shared" si="4"/>
        <v>1870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85</v>
      </c>
      <c r="B67" s="179">
        <f>'Données projet'!D75</f>
        <v>33</v>
      </c>
      <c r="C67" s="189">
        <v>55</v>
      </c>
      <c r="D67" s="177">
        <f t="shared" si="4"/>
        <v>1815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90</v>
      </c>
      <c r="B68" s="179">
        <f>'Données projet'!D76</f>
        <v>31</v>
      </c>
      <c r="C68" s="189">
        <v>55</v>
      </c>
      <c r="D68" s="177">
        <f t="shared" si="4"/>
        <v>1705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95</v>
      </c>
      <c r="B69" s="179">
        <f>'Données projet'!D77</f>
        <v>30</v>
      </c>
      <c r="C69" s="189">
        <v>55</v>
      </c>
      <c r="D69" s="177">
        <f t="shared" si="4"/>
        <v>1650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100</v>
      </c>
      <c r="B70" s="179">
        <f>'Données projet'!D78</f>
        <v>29</v>
      </c>
      <c r="C70" s="189">
        <v>55</v>
      </c>
      <c r="D70" s="177">
        <f t="shared" si="4"/>
        <v>1595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105</v>
      </c>
      <c r="B71" s="179">
        <f>'Données projet'!D79</f>
        <v>28</v>
      </c>
      <c r="C71" s="189">
        <v>55</v>
      </c>
      <c r="D71" s="177">
        <f t="shared" si="4"/>
        <v>1540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110</v>
      </c>
      <c r="B72" s="179">
        <f>'Données projet'!D80</f>
        <v>27</v>
      </c>
      <c r="C72" s="189">
        <v>55</v>
      </c>
      <c r="D72" s="177">
        <f t="shared" si="4"/>
        <v>1485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115</v>
      </c>
      <c r="B73" s="179">
        <f>'Données projet'!D81</f>
        <v>26</v>
      </c>
      <c r="C73" s="189">
        <v>55</v>
      </c>
      <c r="D73" s="177">
        <f t="shared" si="4"/>
        <v>1430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Mélèze hybride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str">
        <f>IF(O75+1&lt;=MIN('Données projet'!$E$9:$E$18),O75+1,"STOP")</f>
        <v>STOP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2209.65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12</v>
      </c>
      <c r="B85" s="179">
        <f>'Données projet'!D88</f>
        <v>21</v>
      </c>
      <c r="C85" s="189">
        <v>20</v>
      </c>
      <c r="D85" s="177">
        <f>B85*C85</f>
        <v>420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47</v>
      </c>
      <c r="C86" s="189">
        <v>20</v>
      </c>
      <c r="D86" s="177">
        <f t="shared" ref="D86:D104" si="6">B86*C86</f>
        <v>940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18</v>
      </c>
      <c r="B87" s="179">
        <f>'Données projet'!D90</f>
        <v>61</v>
      </c>
      <c r="C87" s="189">
        <v>20</v>
      </c>
      <c r="D87" s="177">
        <f t="shared" si="6"/>
        <v>1220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24</v>
      </c>
      <c r="B88" s="179">
        <f>'Données projet'!D91</f>
        <v>84</v>
      </c>
      <c r="C88" s="189">
        <v>20</v>
      </c>
      <c r="D88" s="177">
        <f t="shared" si="6"/>
        <v>1680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76</v>
      </c>
      <c r="C89" s="189">
        <v>20</v>
      </c>
      <c r="D89" s="177">
        <f t="shared" si="6"/>
        <v>1520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36</v>
      </c>
      <c r="B90" s="179">
        <f>'Données projet'!D93</f>
        <v>75</v>
      </c>
      <c r="C90" s="189">
        <v>51</v>
      </c>
      <c r="D90" s="177">
        <f t="shared" si="6"/>
        <v>3825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42</v>
      </c>
      <c r="B91" s="179">
        <f>'Données projet'!D94</f>
        <v>0</v>
      </c>
      <c r="C91" s="189">
        <v>51</v>
      </c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Douglas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1945.9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17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18</v>
      </c>
      <c r="B117" s="179">
        <f>'Données projet'!D115</f>
        <v>74.819999999999993</v>
      </c>
      <c r="C117" s="189">
        <v>20</v>
      </c>
      <c r="D117" s="177">
        <f t="shared" ref="D117:D135" si="8">B117*C117</f>
        <v>1496.3999999999999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24</v>
      </c>
      <c r="B118" s="179">
        <f>'Données projet'!D116</f>
        <v>51.39</v>
      </c>
      <c r="C118" s="189">
        <v>20</v>
      </c>
      <c r="D118" s="177">
        <f t="shared" si="8"/>
        <v>1027.8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80.97</v>
      </c>
      <c r="C119" s="189">
        <v>20</v>
      </c>
      <c r="D119" s="177">
        <f t="shared" si="8"/>
        <v>1619.4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36</v>
      </c>
      <c r="B120" s="179">
        <f>'Données projet'!D118</f>
        <v>85.88</v>
      </c>
      <c r="C120" s="189">
        <v>72</v>
      </c>
      <c r="D120" s="177">
        <f t="shared" si="8"/>
        <v>6183.36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42</v>
      </c>
      <c r="B121" s="179">
        <f>'Données projet'!D119</f>
        <v>91.25</v>
      </c>
      <c r="C121" s="189">
        <v>72</v>
      </c>
      <c r="D121" s="177">
        <f t="shared" si="8"/>
        <v>6570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48</v>
      </c>
      <c r="B122" s="179">
        <f>'Données projet'!D120</f>
        <v>101.34</v>
      </c>
      <c r="C122" s="189">
        <v>72</v>
      </c>
      <c r="D122" s="177">
        <f t="shared" si="8"/>
        <v>7296.4800000000005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54</v>
      </c>
      <c r="B123" s="179">
        <f>'Données projet'!D121</f>
        <v>707.75</v>
      </c>
      <c r="C123" s="189">
        <v>72</v>
      </c>
      <c r="D123" s="177">
        <f t="shared" si="8"/>
        <v>50958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Châtaignier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2592.0700000000002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3">
        <f>'Données projet'!D140</f>
        <v>7</v>
      </c>
      <c r="C147" s="189">
        <v>20</v>
      </c>
      <c r="D147" s="180">
        <f>B147*C147</f>
        <v>140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3">
        <f>'Données projet'!D141</f>
        <v>42</v>
      </c>
      <c r="C148" s="189">
        <v>20</v>
      </c>
      <c r="D148" s="180">
        <f t="shared" ref="D148:D166" si="10">B148*C148</f>
        <v>840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3">
        <f>'Données projet'!D142</f>
        <v>42</v>
      </c>
      <c r="C149" s="189">
        <v>20</v>
      </c>
      <c r="D149" s="180">
        <f t="shared" si="10"/>
        <v>840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3">
        <f>'Données projet'!D143</f>
        <v>42</v>
      </c>
      <c r="C150" s="189">
        <v>20</v>
      </c>
      <c r="D150" s="180">
        <f t="shared" si="10"/>
        <v>840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3">
        <f>'Données projet'!D144</f>
        <v>42</v>
      </c>
      <c r="C151" s="189">
        <v>20</v>
      </c>
      <c r="D151" s="180">
        <f t="shared" si="10"/>
        <v>840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3">
        <f>'Données projet'!D145</f>
        <v>42</v>
      </c>
      <c r="C152" s="189">
        <v>55</v>
      </c>
      <c r="D152" s="180">
        <f t="shared" si="10"/>
        <v>2310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3">
        <f>'Données projet'!D146</f>
        <v>40</v>
      </c>
      <c r="C153" s="189">
        <v>55</v>
      </c>
      <c r="D153" s="180">
        <f t="shared" si="10"/>
        <v>2200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3">
        <f>'Données projet'!D147</f>
        <v>26</v>
      </c>
      <c r="C154" s="189">
        <v>55</v>
      </c>
      <c r="D154" s="180">
        <f t="shared" si="10"/>
        <v>1430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3">
        <f>'Données projet'!D148</f>
        <v>21</v>
      </c>
      <c r="C155" s="189">
        <v>55</v>
      </c>
      <c r="D155" s="180">
        <f t="shared" si="10"/>
        <v>1155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3">
        <f>'Données projet'!D149</f>
        <v>18</v>
      </c>
      <c r="C156" s="189">
        <v>55</v>
      </c>
      <c r="D156" s="180">
        <f t="shared" si="10"/>
        <v>990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3">
        <f>'Données projet'!D150</f>
        <v>17</v>
      </c>
      <c r="C157" s="189">
        <v>55</v>
      </c>
      <c r="D157" s="180">
        <f t="shared" si="10"/>
        <v>935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3">
        <f>'Données projet'!D151</f>
        <v>16</v>
      </c>
      <c r="C158" s="189">
        <v>55</v>
      </c>
      <c r="D158" s="180">
        <f t="shared" si="10"/>
        <v>880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3">
        <f>'Données projet'!D152</f>
        <v>15</v>
      </c>
      <c r="C159" s="189">
        <v>55</v>
      </c>
      <c r="D159" s="180">
        <f t="shared" si="10"/>
        <v>825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3">
        <f>'Données projet'!D153</f>
        <v>14</v>
      </c>
      <c r="C160" s="189">
        <v>55</v>
      </c>
      <c r="D160" s="180">
        <f t="shared" si="10"/>
        <v>770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3">
        <f>'Données projet'!D154</f>
        <v>13</v>
      </c>
      <c r="C161" s="189">
        <v>55</v>
      </c>
      <c r="D161" s="180">
        <f t="shared" si="10"/>
        <v>715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Erable plane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2512.9499999999998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10</v>
      </c>
      <c r="B178" s="179">
        <f>'Données projet'!D166</f>
        <v>7</v>
      </c>
      <c r="C178" s="191">
        <v>20</v>
      </c>
      <c r="D178" s="177">
        <f>B178*C178</f>
        <v>140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15</v>
      </c>
      <c r="B179" s="179">
        <f>'Données projet'!D167</f>
        <v>42</v>
      </c>
      <c r="C179" s="191">
        <v>20</v>
      </c>
      <c r="D179" s="177">
        <f t="shared" ref="D179:D197" si="11">B179*C179</f>
        <v>840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20</v>
      </c>
      <c r="B180" s="179">
        <f>'Données projet'!D168</f>
        <v>42</v>
      </c>
      <c r="C180" s="191">
        <v>20</v>
      </c>
      <c r="D180" s="177">
        <f t="shared" si="11"/>
        <v>840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25</v>
      </c>
      <c r="B181" s="179">
        <f>'Données projet'!D169</f>
        <v>42</v>
      </c>
      <c r="C181" s="191">
        <v>20</v>
      </c>
      <c r="D181" s="177">
        <f t="shared" si="11"/>
        <v>840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30</v>
      </c>
      <c r="B182" s="179">
        <f>'Données projet'!D170</f>
        <v>42</v>
      </c>
      <c r="C182" s="191">
        <v>20</v>
      </c>
      <c r="D182" s="177">
        <f t="shared" si="11"/>
        <v>840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35</v>
      </c>
      <c r="B183" s="179">
        <f>'Données projet'!D171</f>
        <v>42</v>
      </c>
      <c r="C183" s="191">
        <v>55</v>
      </c>
      <c r="D183" s="177">
        <f t="shared" si="11"/>
        <v>2310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40</v>
      </c>
      <c r="B184" s="179">
        <f>'Données projet'!D172</f>
        <v>40</v>
      </c>
      <c r="C184" s="191">
        <v>55</v>
      </c>
      <c r="D184" s="177">
        <f t="shared" si="11"/>
        <v>2200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45</v>
      </c>
      <c r="B185" s="179">
        <f>'Données projet'!D173</f>
        <v>26</v>
      </c>
      <c r="C185" s="191">
        <v>55</v>
      </c>
      <c r="D185" s="177">
        <f t="shared" si="11"/>
        <v>1430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50</v>
      </c>
      <c r="B186" s="179">
        <f>'Données projet'!D174</f>
        <v>21</v>
      </c>
      <c r="C186" s="191">
        <v>55</v>
      </c>
      <c r="D186" s="177">
        <f t="shared" si="11"/>
        <v>1155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55</v>
      </c>
      <c r="B187" s="179">
        <f>'Données projet'!D175</f>
        <v>18</v>
      </c>
      <c r="C187" s="191">
        <v>55</v>
      </c>
      <c r="D187" s="177">
        <f t="shared" si="11"/>
        <v>990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60</v>
      </c>
      <c r="B188" s="179">
        <f>'Données projet'!D176</f>
        <v>17</v>
      </c>
      <c r="C188" s="191">
        <v>55</v>
      </c>
      <c r="D188" s="177">
        <f t="shared" si="11"/>
        <v>935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65</v>
      </c>
      <c r="B189" s="179">
        <f>'Données projet'!D177</f>
        <v>16</v>
      </c>
      <c r="C189" s="191">
        <v>55</v>
      </c>
      <c r="D189" s="177">
        <f t="shared" si="11"/>
        <v>880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70</v>
      </c>
      <c r="B190" s="179">
        <f>'Données projet'!D178</f>
        <v>15</v>
      </c>
      <c r="C190" s="191">
        <v>55</v>
      </c>
      <c r="D190" s="177">
        <f t="shared" si="11"/>
        <v>825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75</v>
      </c>
      <c r="B191" s="179">
        <f>'Données projet'!D179</f>
        <v>14</v>
      </c>
      <c r="C191" s="191">
        <v>55</v>
      </c>
      <c r="D191" s="177">
        <f t="shared" si="11"/>
        <v>770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80</v>
      </c>
      <c r="B192" s="179">
        <f>'Données projet'!D180</f>
        <v>13</v>
      </c>
      <c r="C192" s="191">
        <v>55</v>
      </c>
      <c r="D192" s="177">
        <f t="shared" si="11"/>
        <v>715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Merisier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4966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15</v>
      </c>
      <c r="B209" s="179">
        <f>'Données projet'!D192</f>
        <v>1.9230769230769229</v>
      </c>
      <c r="C209" s="191">
        <v>20</v>
      </c>
      <c r="D209" s="177">
        <f>B209*C209</f>
        <v>38.46153846153846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20</v>
      </c>
      <c r="B210" s="179">
        <f>'Données projet'!D193</f>
        <v>16.025641025641026</v>
      </c>
      <c r="C210" s="191">
        <v>20</v>
      </c>
      <c r="D210" s="177">
        <f t="shared" ref="D210:D228" si="12">B210*C210</f>
        <v>320.5128205128205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25</v>
      </c>
      <c r="B211" s="179">
        <f>'Données projet'!D194</f>
        <v>17.307692307692307</v>
      </c>
      <c r="C211" s="191">
        <v>20</v>
      </c>
      <c r="D211" s="177">
        <f t="shared" si="12"/>
        <v>346.15384615384613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31</v>
      </c>
      <c r="B212" s="179">
        <f>'Données projet'!D195</f>
        <v>23.076923076923077</v>
      </c>
      <c r="C212" s="191">
        <v>55</v>
      </c>
      <c r="D212" s="177">
        <f t="shared" si="12"/>
        <v>1269.2307692307693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37</v>
      </c>
      <c r="B213" s="179">
        <f>'Données projet'!D196</f>
        <v>23.076923076923077</v>
      </c>
      <c r="C213" s="191">
        <v>55</v>
      </c>
      <c r="D213" s="177">
        <f t="shared" si="12"/>
        <v>1269.2307692307693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44</v>
      </c>
      <c r="B214" s="179">
        <f>'Données projet'!D197</f>
        <v>27.564102564102562</v>
      </c>
      <c r="C214" s="191">
        <v>55</v>
      </c>
      <c r="D214" s="177">
        <f t="shared" si="12"/>
        <v>1516.0256410256409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52</v>
      </c>
      <c r="B215" s="179">
        <f>'Données projet'!D198</f>
        <v>30.769230769230766</v>
      </c>
      <c r="C215" s="191">
        <v>55</v>
      </c>
      <c r="D215" s="177">
        <f t="shared" si="12"/>
        <v>1692.3076923076922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60</v>
      </c>
      <c r="B216" s="179">
        <f>'Données projet'!D199</f>
        <v>30.128205128205128</v>
      </c>
      <c r="C216" s="191">
        <v>55</v>
      </c>
      <c r="D216" s="177">
        <f t="shared" si="12"/>
        <v>1657.051282051282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69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Tilleul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3036.17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30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35</v>
      </c>
      <c r="B241" s="179">
        <f>'Données projet'!D219</f>
        <v>69.58</v>
      </c>
      <c r="C241" s="191">
        <v>55</v>
      </c>
      <c r="D241" s="177">
        <f t="shared" ref="D241:D259" si="13">B241*C241</f>
        <v>3826.9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41</v>
      </c>
      <c r="B242" s="179">
        <f>'Données projet'!D220</f>
        <v>47.41</v>
      </c>
      <c r="C242" s="191">
        <v>55</v>
      </c>
      <c r="D242" s="177">
        <f t="shared" si="13"/>
        <v>2607.5499999999997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48</v>
      </c>
      <c r="B243" s="179">
        <f>'Données projet'!D221</f>
        <v>61.12</v>
      </c>
      <c r="C243" s="191">
        <v>55</v>
      </c>
      <c r="D243" s="177">
        <f t="shared" si="13"/>
        <v>3361.6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55</v>
      </c>
      <c r="B244" s="179">
        <f>'Données projet'!D222</f>
        <v>58.24</v>
      </c>
      <c r="C244" s="191">
        <v>55</v>
      </c>
      <c r="D244" s="177">
        <f t="shared" si="13"/>
        <v>3203.2000000000003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63</v>
      </c>
      <c r="B245" s="179">
        <f>'Données projet'!D223</f>
        <v>54.21</v>
      </c>
      <c r="C245" s="191">
        <v>55</v>
      </c>
      <c r="D245" s="177">
        <f t="shared" si="13"/>
        <v>2981.55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71</v>
      </c>
      <c r="B246" s="179">
        <f>'Données projet'!D224</f>
        <v>52.07</v>
      </c>
      <c r="C246" s="191">
        <v>55</v>
      </c>
      <c r="D246" s="177">
        <f t="shared" si="13"/>
        <v>2863.85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80</v>
      </c>
      <c r="B247" s="179">
        <f>'Données projet'!D225</f>
        <v>59.57</v>
      </c>
      <c r="C247" s="191">
        <v>55</v>
      </c>
      <c r="D247" s="177">
        <f t="shared" si="13"/>
        <v>3276.35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89</v>
      </c>
      <c r="B248" s="179">
        <f>'Données projet'!D226</f>
        <v>64.5</v>
      </c>
      <c r="C248" s="191">
        <v>55</v>
      </c>
      <c r="D248" s="177">
        <f t="shared" si="13"/>
        <v>3547.5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99</v>
      </c>
      <c r="B249" s="179">
        <f>'Données projet'!D227</f>
        <v>62.94</v>
      </c>
      <c r="C249" s="191">
        <v>55</v>
      </c>
      <c r="D249" s="177">
        <f t="shared" si="13"/>
        <v>3461.7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109</v>
      </c>
      <c r="B250" s="179">
        <f>'Données projet'!D228</f>
        <v>66.959999999999994</v>
      </c>
      <c r="C250" s="191">
        <v>55</v>
      </c>
      <c r="D250" s="177">
        <f t="shared" si="13"/>
        <v>3682.7999999999997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119</v>
      </c>
      <c r="B251" s="179">
        <f>'Données projet'!D229</f>
        <v>196.46</v>
      </c>
      <c r="C251" s="191">
        <v>55</v>
      </c>
      <c r="D251" s="177">
        <f t="shared" si="13"/>
        <v>10805.300000000001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123</v>
      </c>
      <c r="B252" s="179">
        <f>'Données projet'!D230</f>
        <v>100.6</v>
      </c>
      <c r="C252" s="191">
        <v>55</v>
      </c>
      <c r="D252" s="177">
        <f t="shared" si="13"/>
        <v>5533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127</v>
      </c>
      <c r="B253" s="179">
        <f>'Données projet'!D231</f>
        <v>65.02</v>
      </c>
      <c r="C253" s="191">
        <v>55</v>
      </c>
      <c r="D253" s="177">
        <f t="shared" si="13"/>
        <v>3576.1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131</v>
      </c>
      <c r="B254" s="179">
        <f>'Données projet'!D232</f>
        <v>143.84</v>
      </c>
      <c r="C254" s="191">
        <v>55</v>
      </c>
      <c r="D254" s="177">
        <f t="shared" si="13"/>
        <v>7911.2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>Aulne glutineux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1748.15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10</v>
      </c>
      <c r="B271" s="179">
        <f>'Données projet'!D244</f>
        <v>1</v>
      </c>
      <c r="C271" s="191">
        <v>20</v>
      </c>
      <c r="D271" s="177">
        <f>B271*C271</f>
        <v>20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15</v>
      </c>
      <c r="B272" s="179">
        <f>'Données projet'!D245</f>
        <v>3</v>
      </c>
      <c r="C272" s="191">
        <v>20</v>
      </c>
      <c r="D272" s="177">
        <f t="shared" ref="D272:D290" si="14">B272*C272</f>
        <v>60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20</v>
      </c>
      <c r="B273" s="179">
        <f>'Données projet'!D246</f>
        <v>9</v>
      </c>
      <c r="C273" s="191">
        <v>20</v>
      </c>
      <c r="D273" s="177">
        <f t="shared" si="14"/>
        <v>180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25</v>
      </c>
      <c r="B274" s="179">
        <f>'Données projet'!D247</f>
        <v>18</v>
      </c>
      <c r="C274" s="191">
        <v>20</v>
      </c>
      <c r="D274" s="177">
        <f t="shared" si="14"/>
        <v>360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30</v>
      </c>
      <c r="B275" s="179">
        <f>'Données projet'!D248</f>
        <v>20</v>
      </c>
      <c r="C275" s="191">
        <v>20</v>
      </c>
      <c r="D275" s="177">
        <f t="shared" si="14"/>
        <v>400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35</v>
      </c>
      <c r="B276" s="179">
        <f>'Données projet'!D249</f>
        <v>21</v>
      </c>
      <c r="C276" s="191">
        <v>55</v>
      </c>
      <c r="D276" s="177">
        <f t="shared" si="14"/>
        <v>1155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40</v>
      </c>
      <c r="B277" s="179">
        <f>'Données projet'!D250</f>
        <v>22</v>
      </c>
      <c r="C277" s="191">
        <v>55</v>
      </c>
      <c r="D277" s="177">
        <f t="shared" si="14"/>
        <v>1210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45</v>
      </c>
      <c r="B278" s="179">
        <f>'Données projet'!D251</f>
        <v>22</v>
      </c>
      <c r="C278" s="191">
        <v>55</v>
      </c>
      <c r="D278" s="177">
        <f t="shared" si="14"/>
        <v>1210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50</v>
      </c>
      <c r="B279" s="179">
        <f>'Données projet'!D252</f>
        <v>21</v>
      </c>
      <c r="C279" s="191">
        <v>55</v>
      </c>
      <c r="D279" s="177">
        <f t="shared" si="14"/>
        <v>1155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55</v>
      </c>
      <c r="B280" s="179">
        <f>'Données projet'!D253</f>
        <v>20</v>
      </c>
      <c r="C280" s="191">
        <v>55</v>
      </c>
      <c r="D280" s="177">
        <f t="shared" si="14"/>
        <v>1100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60</v>
      </c>
      <c r="B281" s="179">
        <f>'Données projet'!D254</f>
        <v>19</v>
      </c>
      <c r="C281" s="191">
        <v>55</v>
      </c>
      <c r="D281" s="177">
        <f t="shared" si="14"/>
        <v>1045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65</v>
      </c>
      <c r="B282" s="179">
        <f>'Données projet'!D255</f>
        <v>18</v>
      </c>
      <c r="C282" s="191">
        <v>55</v>
      </c>
      <c r="D282" s="177">
        <f t="shared" si="14"/>
        <v>990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70</v>
      </c>
      <c r="B283" s="179">
        <f>'Données projet'!D256</f>
        <v>17</v>
      </c>
      <c r="C283" s="191">
        <v>55</v>
      </c>
      <c r="D283" s="177">
        <f t="shared" si="14"/>
        <v>935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75</v>
      </c>
      <c r="B284" s="179">
        <f>'Données projet'!D257</f>
        <v>16</v>
      </c>
      <c r="C284" s="191">
        <v>55</v>
      </c>
      <c r="D284" s="177">
        <f t="shared" si="14"/>
        <v>880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80</v>
      </c>
      <c r="B285" s="179">
        <f>'Données projet'!D258</f>
        <v>15</v>
      </c>
      <c r="C285" s="191">
        <v>55</v>
      </c>
      <c r="D285" s="177">
        <f t="shared" si="14"/>
        <v>825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85</v>
      </c>
      <c r="B286" s="179">
        <f>'Données projet'!D259</f>
        <v>14</v>
      </c>
      <c r="C286" s="191">
        <v>55</v>
      </c>
      <c r="D286" s="177">
        <f t="shared" si="14"/>
        <v>770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90</v>
      </c>
      <c r="B287" s="179">
        <f>'Données projet'!D260</f>
        <v>13</v>
      </c>
      <c r="C287" s="191">
        <v>55</v>
      </c>
      <c r="D287" s="177">
        <f t="shared" si="14"/>
        <v>715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>Bouleau verruqueux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>
        <v>1748.15</v>
      </c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15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20</v>
      </c>
      <c r="B303" s="179">
        <f>'Données projet'!D271</f>
        <v>15</v>
      </c>
      <c r="C303" s="189">
        <v>20</v>
      </c>
      <c r="D303" s="180">
        <f t="shared" ref="D303:D321" si="15">B303*C303</f>
        <v>300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25</v>
      </c>
      <c r="B304" s="179">
        <f>'Données projet'!D272</f>
        <v>10</v>
      </c>
      <c r="C304" s="189">
        <v>20</v>
      </c>
      <c r="D304" s="180">
        <f t="shared" si="15"/>
        <v>200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30</v>
      </c>
      <c r="B305" s="179">
        <f>'Données projet'!D273</f>
        <v>11</v>
      </c>
      <c r="C305" s="189">
        <v>20</v>
      </c>
      <c r="D305" s="180">
        <f t="shared" si="15"/>
        <v>220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35</v>
      </c>
      <c r="B306" s="179">
        <f>'Données projet'!D274</f>
        <v>12</v>
      </c>
      <c r="C306" s="189">
        <v>55</v>
      </c>
      <c r="D306" s="180">
        <f t="shared" si="15"/>
        <v>660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40</v>
      </c>
      <c r="B307" s="179">
        <f>'Données projet'!D275</f>
        <v>13</v>
      </c>
      <c r="C307" s="189">
        <v>55</v>
      </c>
      <c r="D307" s="180">
        <f t="shared" si="15"/>
        <v>715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45</v>
      </c>
      <c r="B308" s="179">
        <f>'Données projet'!D276</f>
        <v>14</v>
      </c>
      <c r="C308" s="189">
        <v>55</v>
      </c>
      <c r="D308" s="180">
        <f t="shared" si="15"/>
        <v>770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50</v>
      </c>
      <c r="B309" s="179">
        <f>'Données projet'!D277</f>
        <v>14</v>
      </c>
      <c r="C309" s="189">
        <v>55</v>
      </c>
      <c r="D309" s="180">
        <f t="shared" si="15"/>
        <v>770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55</v>
      </c>
      <c r="B310" s="179">
        <f>'Données projet'!D278</f>
        <v>14</v>
      </c>
      <c r="C310" s="189">
        <v>55</v>
      </c>
      <c r="D310" s="180">
        <f t="shared" si="15"/>
        <v>770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60</v>
      </c>
      <c r="B311" s="179">
        <f>'Données projet'!D279</f>
        <v>14</v>
      </c>
      <c r="C311" s="189">
        <v>55</v>
      </c>
      <c r="D311" s="180">
        <f t="shared" si="15"/>
        <v>770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65</v>
      </c>
      <c r="B312" s="179">
        <f>'Données projet'!D280</f>
        <v>14</v>
      </c>
      <c r="C312" s="189">
        <v>55</v>
      </c>
      <c r="D312" s="180">
        <f t="shared" si="15"/>
        <v>770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70</v>
      </c>
      <c r="B313" s="179">
        <f>'Données projet'!D281</f>
        <v>14</v>
      </c>
      <c r="C313" s="189">
        <v>55</v>
      </c>
      <c r="D313" s="180">
        <f t="shared" si="15"/>
        <v>770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75</v>
      </c>
      <c r="B314" s="179">
        <f>'Données projet'!D282</f>
        <v>14</v>
      </c>
      <c r="C314" s="189">
        <v>55</v>
      </c>
      <c r="D314" s="180">
        <f t="shared" si="15"/>
        <v>770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80</v>
      </c>
      <c r="B315" s="179">
        <f>'Données projet'!D283</f>
        <v>13</v>
      </c>
      <c r="C315" s="189">
        <v>55</v>
      </c>
      <c r="D315" s="180">
        <f t="shared" si="15"/>
        <v>715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85</v>
      </c>
      <c r="B316" s="179">
        <f>'Données projet'!D284</f>
        <v>13</v>
      </c>
      <c r="C316" s="189">
        <v>55</v>
      </c>
      <c r="D316" s="180">
        <f t="shared" si="15"/>
        <v>715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90</v>
      </c>
      <c r="B317" s="179">
        <f>'Données projet'!D285</f>
        <v>12</v>
      </c>
      <c r="C317" s="189">
        <v>55</v>
      </c>
      <c r="D317" s="180">
        <f t="shared" si="15"/>
        <v>660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2025-01-07T14:23:20Z</dcterms:modified>
</cp:coreProperties>
</file>