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Bazas\dossier LBC\73 - MOUSTEY (40) - BOUILLE Marie Christine\Dossier à déposer\"/>
    </mc:Choice>
  </mc:AlternateContent>
  <xr:revisionPtr revIDLastSave="0" documentId="13_ncr:1_{AC8C71C7-376E-48A0-BEFB-2DBBE496437A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34" i="2" l="1" a="1"/>
  <c r="BC34" i="2" s="1"/>
  <c r="AH19" i="2" a="1"/>
  <c r="AH19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<sst xmlns="http://schemas.openxmlformats.org/spreadsheetml/2006/main" count="1167" uniqueCount="324">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</sst>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239.90544326410898</c:v>
                </c:pt>
                <c:pt idx="27">
                  <c:v>257.6548036297558</c:v>
                </c:pt>
                <c:pt idx="28">
                  <c:v>275.37652518894964</c:v>
                </c:pt>
                <c:pt idx="29">
                  <c:v>293.0726366827804</c:v>
                </c:pt>
                <c:pt idx="30">
                  <c:v>310.74490180919639</c:v>
                </c:pt>
                <c:pt idx="31">
                  <c:v>326.89289569121826</c:v>
                </c:pt>
                <c:pt idx="32">
                  <c:v>343.02327921316777</c:v>
                </c:pt>
                <c:pt idx="33">
                  <c:v>359.13699693842636</c:v>
                </c:pt>
                <c:pt idx="34">
                  <c:v>375.23490175863373</c:v>
                </c:pt>
                <c:pt idx="35">
                  <c:v>391.31776742377127</c:v>
                </c:pt>
                <c:pt idx="36">
                  <c:v>407.38629890446555</c:v>
                </c:pt>
                <c:pt idx="37">
                  <c:v>423.44114103397595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2.7937677090506927</c:v>
                </c:pt>
                <c:pt idx="2">
                  <c:v>3.494630676602434</c:v>
                </c:pt>
                <c:pt idx="3">
                  <c:v>4.3719965840625639</c:v>
                </c:pt>
                <c:pt idx="4">
                  <c:v>5.4704766677833838</c:v>
                </c:pt>
                <c:pt idx="5">
                  <c:v>6.8459958247924684</c:v>
                </c:pt>
                <c:pt idx="6">
                  <c:v>8.5686708048285141</c:v>
                </c:pt>
                <c:pt idx="7">
                  <c:v>10.726422722638716</c:v>
                </c:pt>
                <c:pt idx="8">
                  <c:v>13.429511733043208</c:v>
                </c:pt>
                <c:pt idx="9">
                  <c:v>16.81622987742189</c:v>
                </c:pt>
                <c:pt idx="10">
                  <c:v>21.060048653888444</c:v>
                </c:pt>
                <c:pt idx="11">
                  <c:v>26.378593971397137</c:v>
                </c:pt>
                <c:pt idx="12">
                  <c:v>33.044916829290678</c:v>
                </c:pt>
                <c:pt idx="13">
                  <c:v>41.401648361600742</c:v>
                </c:pt>
                <c:pt idx="14">
                  <c:v>51.87877914465313</c:v>
                </c:pt>
                <c:pt idx="15">
                  <c:v>65.015992870184718</c:v>
                </c:pt>
                <c:pt idx="16">
                  <c:v>81.490723678847203</c:v>
                </c:pt>
                <c:pt idx="17">
                  <c:v>102.15340727004774</c:v>
                </c:pt>
                <c:pt idx="18">
                  <c:v>128.07177425900235</c:v>
                </c:pt>
                <c:pt idx="19">
                  <c:v>160.58651015726517</c:v>
                </c:pt>
                <c:pt idx="20">
                  <c:v>201.38120500067484</c:v>
                </c:pt>
                <c:pt idx="21">
                  <c:v>160.8744598001081</c:v>
                </c:pt>
                <c:pt idx="22">
                  <c:v>180.96513721023075</c:v>
                </c:pt>
                <c:pt idx="23">
                  <c:v>201.00358266422018</c:v>
                </c:pt>
                <c:pt idx="24">
                  <c:v>220.99573745004466</c:v>
                </c:pt>
                <c:pt idx="25">
                  <c:v>240.94637860003544</c:v>
                </c:pt>
                <c:pt idx="26">
                  <c:v>201.38120500067475</c:v>
                </c:pt>
                <c:pt idx="27">
                  <c:v>220.24209728386404</c:v>
                </c:pt>
                <c:pt idx="28">
                  <c:v>239.06590436046736</c:v>
                </c:pt>
                <c:pt idx="29">
                  <c:v>257.85595699105767</c:v>
                </c:pt>
                <c:pt idx="30">
                  <c:v>276.61506059958816</c:v>
                </c:pt>
                <c:pt idx="31">
                  <c:v>235.6801991417741</c:v>
                </c:pt>
                <c:pt idx="32">
                  <c:v>252.97362594481319</c:v>
                </c:pt>
                <c:pt idx="33">
                  <c:v>270.24028170556272</c:v>
                </c:pt>
                <c:pt idx="34">
                  <c:v>287.48211750444796</c:v>
                </c:pt>
                <c:pt idx="35">
                  <c:v>304.70083122716056</c:v>
                </c:pt>
                <c:pt idx="36">
                  <c:v>263.86211541012477</c:v>
                </c:pt>
                <c:pt idx="37">
                  <c:v>279.23900597474034</c:v>
                </c:pt>
                <c:pt idx="38">
                  <c:v>294.59690838804539</c:v>
                </c:pt>
                <c:pt idx="39">
                  <c:v>309.93695192564923</c:v>
                </c:pt>
                <c:pt idx="40">
                  <c:v>325.26014493454295</c:v>
                </c:pt>
                <c:pt idx="41">
                  <c:v>287.107546598586</c:v>
                </c:pt>
                <c:pt idx="42">
                  <c:v>301.33369868276117</c:v>
                </c:pt>
                <c:pt idx="43">
                  <c:v>315.5449029690518</c:v>
                </c:pt>
                <c:pt idx="44">
                  <c:v>329.74192753151533</c:v>
                </c:pt>
                <c:pt idx="45">
                  <c:v>343.92546889640693</c:v>
                </c:pt>
                <c:pt idx="46">
                  <c:v>308.06713623755576</c:v>
                </c:pt>
                <c:pt idx="47">
                  <c:v>320.77699701276737</c:v>
                </c:pt>
                <c:pt idx="48">
                  <c:v>333.47571872180339</c:v>
                </c:pt>
                <c:pt idx="49">
                  <c:v>346.16378539221301</c:v>
                </c:pt>
                <c:pt idx="50">
                  <c:v>358.84164266475437</c:v>
                </c:pt>
                <c:pt idx="51">
                  <c:v>324.88660171920702</c:v>
                </c:pt>
                <c:pt idx="52">
                  <c:v>335.71555038095238</c:v>
                </c:pt>
                <c:pt idx="53">
                  <c:v>346.53680717558649</c:v>
                </c:pt>
                <c:pt idx="54">
                  <c:v>357.35064625082208</c:v>
                </c:pt>
                <c:pt idx="55">
                  <c:v>368.15732380156078</c:v>
                </c:pt>
                <c:pt idx="56">
                  <c:v>338.70148094908853</c:v>
                </c:pt>
                <c:pt idx="57">
                  <c:v>348.40178403373943</c:v>
                </c:pt>
                <c:pt idx="58">
                  <c:v>358.09616144502996</c:v>
                </c:pt>
                <c:pt idx="59">
                  <c:v>367.78479630486117</c:v>
                </c:pt>
                <c:pt idx="60">
                  <c:v>377.46786129486003</c:v>
                </c:pt>
                <c:pt idx="61">
                  <c:v>350.63946715468182</c:v>
                </c:pt>
                <c:pt idx="62">
                  <c:v>359.2143705594151</c:v>
                </c:pt>
                <c:pt idx="63">
                  <c:v>367.78479630486117</c:v>
                </c:pt>
                <c:pt idx="64">
                  <c:v>376.35086351579002</c:v>
                </c:pt>
                <c:pt idx="65">
                  <c:v>384.91268544829796</c:v>
                </c:pt>
                <c:pt idx="66">
                  <c:v>360.70519760433893</c:v>
                </c:pt>
                <c:pt idx="67">
                  <c:v>368.15732380156061</c:v>
                </c:pt>
                <c:pt idx="68">
                  <c:v>375.60615822359938</c:v>
                </c:pt>
                <c:pt idx="69">
                  <c:v>383.05177541071203</c:v>
                </c:pt>
                <c:pt idx="70">
                  <c:v>390.49424676672447</c:v>
                </c:pt>
                <c:pt idx="71">
                  <c:v>369.27485695721367</c:v>
                </c:pt>
                <c:pt idx="72">
                  <c:v>375.97851488635985</c:v>
                </c:pt>
                <c:pt idx="73">
                  <c:v>382.67956984614779</c:v>
                </c:pt>
                <c:pt idx="74">
                  <c:v>389.37807388667051</c:v>
                </c:pt>
                <c:pt idx="75">
                  <c:v>396.07407711953448</c:v>
                </c:pt>
                <c:pt idx="76">
                  <c:v>377.46786129485992</c:v>
                </c:pt>
                <c:pt idx="77">
                  <c:v>383.05177541071197</c:v>
                </c:pt>
                <c:pt idx="78">
                  <c:v>388.63392005694845</c:v>
                </c:pt>
                <c:pt idx="79">
                  <c:v>394.21432426135419</c:v>
                </c:pt>
                <c:pt idx="80">
                  <c:v>399.79301616201741</c:v>
                </c:pt>
                <c:pt idx="81">
                  <c:v>384.54051911648202</c:v>
                </c:pt>
                <c:pt idx="82">
                  <c:v>389.75013922020349</c:v>
                </c:pt>
                <c:pt idx="83">
                  <c:v>394.95824817710286</c:v>
                </c:pt>
                <c:pt idx="84">
                  <c:v>400.16486874659654</c:v>
                </c:pt>
                <c:pt idx="85">
                  <c:v>405.37002304691231</c:v>
                </c:pt>
                <c:pt idx="86">
                  <c:v>390.86628899650503</c:v>
                </c:pt>
                <c:pt idx="87">
                  <c:v>394.95824817710286</c:v>
                </c:pt>
                <c:pt idx="88">
                  <c:v>399.049288518911</c:v>
                </c:pt>
                <c:pt idx="89">
                  <c:v>403.13942078264876</c:v>
                </c:pt>
                <c:pt idx="90">
                  <c:v>407.22865549260882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N22" sqref="N22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29.24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0.95779999999999998</v>
      </c>
      <c r="D9" s="36">
        <f t="shared" ref="D9:D18" si="0">C9*$C$5</f>
        <v>28.006072</v>
      </c>
      <c r="E9" s="37">
        <v>38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13</v>
      </c>
      <c r="C10" s="35">
        <v>4.2200000000000001E-2</v>
      </c>
      <c r="D10" s="36">
        <f t="shared" si="0"/>
        <v>1.2339279999999999</v>
      </c>
      <c r="E10" s="37">
        <v>90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29.24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53">
        <v>75</v>
      </c>
      <c r="C36" s="53">
        <v>1</v>
      </c>
      <c r="D36" s="53">
        <v>15</v>
      </c>
      <c r="E36" s="53"/>
      <c r="F36" s="54"/>
      <c r="G36" s="54">
        <v>1</v>
      </c>
      <c r="H36" s="54"/>
      <c r="I36" s="52">
        <f>IFERROR(B36/A36,"")</f>
        <v>5.7692307692307692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19</v>
      </c>
      <c r="B37" s="53">
        <v>163</v>
      </c>
      <c r="C37" s="53">
        <v>2</v>
      </c>
      <c r="D37" s="53">
        <v>40</v>
      </c>
      <c r="E37" s="57">
        <v>0.3</v>
      </c>
      <c r="F37" s="54"/>
      <c r="G37" s="54">
        <v>0.7</v>
      </c>
      <c r="H37" s="54"/>
      <c r="I37" s="56">
        <f t="shared" ref="I37:I55" si="1">IF(A37&lt;&gt;0,(B37-(B36-D36))/(A37-A36),"")</f>
        <v>17.166666666666668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53">
        <v>222</v>
      </c>
      <c r="C38" s="53">
        <v>3</v>
      </c>
      <c r="D38" s="53">
        <v>54</v>
      </c>
      <c r="E38" s="57">
        <v>0.4</v>
      </c>
      <c r="F38" s="54">
        <v>0.2</v>
      </c>
      <c r="G38" s="54">
        <v>0.4</v>
      </c>
      <c r="H38" s="54"/>
      <c r="I38" s="56">
        <f t="shared" si="1"/>
        <v>16.5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53">
        <v>237</v>
      </c>
      <c r="C39" s="53">
        <v>4</v>
      </c>
      <c r="D39" s="53">
        <v>0</v>
      </c>
      <c r="E39" s="57">
        <v>0.4</v>
      </c>
      <c r="F39" s="54">
        <v>0.2</v>
      </c>
      <c r="G39" s="54">
        <v>0.4</v>
      </c>
      <c r="H39" s="54"/>
      <c r="I39" s="52">
        <f t="shared" si="1"/>
        <v>13.8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38</v>
      </c>
      <c r="B40" s="63">
        <v>338</v>
      </c>
      <c r="C40" s="63">
        <v>5</v>
      </c>
      <c r="D40" s="63">
        <v>338</v>
      </c>
      <c r="E40" s="54">
        <v>0.7</v>
      </c>
      <c r="F40" s="54"/>
      <c r="G40" s="54">
        <v>0.3</v>
      </c>
      <c r="H40" s="54"/>
      <c r="I40" s="52">
        <f t="shared" si="1"/>
        <v>12.625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rouge d'Amérique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104</v>
      </c>
      <c r="C62" s="63">
        <v>1</v>
      </c>
      <c r="D62" s="63">
        <v>32</v>
      </c>
      <c r="E62" s="54"/>
      <c r="F62" s="54"/>
      <c r="G62" s="54"/>
      <c r="H62" s="54">
        <v>1</v>
      </c>
      <c r="I62" s="56">
        <f>IFERROR(B62/A62,"")</f>
        <v>5.2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3">
        <v>125</v>
      </c>
      <c r="C63" s="63">
        <v>2</v>
      </c>
      <c r="D63" s="63">
        <v>31</v>
      </c>
      <c r="E63" s="54"/>
      <c r="F63" s="54"/>
      <c r="G63" s="54"/>
      <c r="H63" s="54">
        <v>1</v>
      </c>
      <c r="I63" s="52">
        <f>IF(A63&lt;&gt;0,(B63-(B62-D62))/(A63-A62),"")</f>
        <v>10.6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v>144</v>
      </c>
      <c r="C64" s="63">
        <v>3</v>
      </c>
      <c r="D64" s="63">
        <v>31</v>
      </c>
      <c r="E64" s="54"/>
      <c r="F64" s="54"/>
      <c r="G64" s="54"/>
      <c r="H64" s="54">
        <v>1</v>
      </c>
      <c r="I64" s="52">
        <f>IF(A64&lt;&gt;0,(B64-(B63-D63))/(A64-A63),"")</f>
        <v>10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3">
        <v>159</v>
      </c>
      <c r="C65" s="63">
        <v>4</v>
      </c>
      <c r="D65" s="63">
        <v>30</v>
      </c>
      <c r="E65" s="54"/>
      <c r="F65" s="54"/>
      <c r="G65" s="54"/>
      <c r="H65" s="54"/>
      <c r="I65" s="52">
        <f>IF(A65&lt;&gt;0,(B65-(B64-D64))/(A65-A64),"")</f>
        <v>9.1999999999999993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3">
        <v>170</v>
      </c>
      <c r="C66" s="63">
        <v>5</v>
      </c>
      <c r="D66" s="63">
        <v>28</v>
      </c>
      <c r="E66" s="54"/>
      <c r="F66" s="54"/>
      <c r="G66" s="54"/>
      <c r="H66" s="54"/>
      <c r="I66" s="52">
        <f t="shared" ref="I66:I81" si="2">IF(A66&lt;&gt;0,(B66-(B65-D65))/(A66-A65),"")</f>
        <v>8.1999999999999993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3">
        <v>180</v>
      </c>
      <c r="C67" s="63">
        <v>6</v>
      </c>
      <c r="D67" s="63">
        <v>26</v>
      </c>
      <c r="E67" s="54"/>
      <c r="F67" s="54"/>
      <c r="G67" s="54"/>
      <c r="H67" s="54"/>
      <c r="I67" s="52">
        <f t="shared" si="2"/>
        <v>7.6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3">
        <v>188</v>
      </c>
      <c r="C68" s="63">
        <v>7</v>
      </c>
      <c r="D68" s="63">
        <v>24</v>
      </c>
      <c r="E68" s="54"/>
      <c r="F68" s="54"/>
      <c r="G68" s="54"/>
      <c r="H68" s="54"/>
      <c r="I68" s="52">
        <f t="shared" si="2"/>
        <v>6.8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55</v>
      </c>
      <c r="B69" s="53">
        <v>193</v>
      </c>
      <c r="C69" s="53">
        <v>8</v>
      </c>
      <c r="D69" s="53">
        <v>21</v>
      </c>
      <c r="E69" s="54"/>
      <c r="F69" s="54"/>
      <c r="G69" s="54"/>
      <c r="H69" s="54"/>
      <c r="I69" s="52">
        <f t="shared" si="2"/>
        <v>5.8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60</v>
      </c>
      <c r="B70" s="53">
        <v>198</v>
      </c>
      <c r="C70" s="53">
        <v>9</v>
      </c>
      <c r="D70" s="53">
        <v>19</v>
      </c>
      <c r="E70" s="54"/>
      <c r="F70" s="54"/>
      <c r="G70" s="54"/>
      <c r="H70" s="54"/>
      <c r="I70" s="52">
        <f t="shared" si="2"/>
        <v>5.2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65</v>
      </c>
      <c r="B71" s="53">
        <v>202</v>
      </c>
      <c r="C71" s="53">
        <v>10</v>
      </c>
      <c r="D71" s="53">
        <v>17</v>
      </c>
      <c r="E71" s="54"/>
      <c r="F71" s="54"/>
      <c r="G71" s="54"/>
      <c r="H71" s="54"/>
      <c r="I71" s="52">
        <f t="shared" si="2"/>
        <v>4.5999999999999996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70</v>
      </c>
      <c r="B72" s="53">
        <v>205</v>
      </c>
      <c r="C72" s="53">
        <v>11</v>
      </c>
      <c r="D72" s="53">
        <v>15</v>
      </c>
      <c r="E72" s="54"/>
      <c r="F72" s="54"/>
      <c r="G72" s="54"/>
      <c r="H72" s="54"/>
      <c r="I72" s="52">
        <f t="shared" si="2"/>
        <v>4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75</v>
      </c>
      <c r="B73" s="53">
        <v>208</v>
      </c>
      <c r="C73" s="53">
        <v>12</v>
      </c>
      <c r="D73" s="53">
        <v>13</v>
      </c>
      <c r="E73" s="54"/>
      <c r="F73" s="54"/>
      <c r="G73" s="54"/>
      <c r="H73" s="54"/>
      <c r="I73" s="52">
        <f t="shared" si="2"/>
        <v>3.6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80</v>
      </c>
      <c r="B74" s="53">
        <v>210</v>
      </c>
      <c r="C74" s="53">
        <v>13</v>
      </c>
      <c r="D74" s="53">
        <v>11</v>
      </c>
      <c r="E74" s="54"/>
      <c r="F74" s="54"/>
      <c r="G74" s="54"/>
      <c r="H74" s="54"/>
      <c r="I74" s="52">
        <f t="shared" si="2"/>
        <v>3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85</v>
      </c>
      <c r="B75" s="53">
        <v>213</v>
      </c>
      <c r="C75" s="53">
        <v>14</v>
      </c>
      <c r="D75" s="53">
        <v>10</v>
      </c>
      <c r="E75" s="54"/>
      <c r="F75" s="54"/>
      <c r="G75" s="54"/>
      <c r="H75" s="54"/>
      <c r="I75" s="52">
        <f t="shared" si="2"/>
        <v>2.8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90</v>
      </c>
      <c r="B76" s="53">
        <v>214</v>
      </c>
      <c r="C76" s="53">
        <v>15</v>
      </c>
      <c r="D76" s="53">
        <v>214</v>
      </c>
      <c r="E76" s="54"/>
      <c r="F76" s="54"/>
      <c r="G76" s="54"/>
      <c r="H76" s="54"/>
      <c r="I76" s="52">
        <f t="shared" si="2"/>
        <v>2.2000000000000002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57</v>
      </c>
      <c r="C88" s="63">
        <v>1</v>
      </c>
      <c r="D88" s="63">
        <v>4</v>
      </c>
      <c r="E88" s="54"/>
      <c r="F88" s="54"/>
      <c r="G88" s="54"/>
      <c r="H88" s="93">
        <v>1</v>
      </c>
      <c r="I88" s="56">
        <f>IFERROR(B88/A88,"")</f>
        <v>2.85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v>90</v>
      </c>
      <c r="C89" s="63">
        <v>2</v>
      </c>
      <c r="D89" s="63">
        <v>20</v>
      </c>
      <c r="E89" s="54"/>
      <c r="F89" s="54"/>
      <c r="G89" s="54"/>
      <c r="H89" s="93">
        <v>1</v>
      </c>
      <c r="I89" s="56">
        <f t="shared" ref="I89:I107" si="3">IF(A89&lt;&gt;0,(B89-(B88-D88))/(A89-A88),"")</f>
        <v>7.4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v>106</v>
      </c>
      <c r="C90" s="63">
        <v>3</v>
      </c>
      <c r="D90" s="63">
        <v>20</v>
      </c>
      <c r="E90" s="93"/>
      <c r="F90" s="93"/>
      <c r="G90" s="93"/>
      <c r="H90" s="93">
        <v>1</v>
      </c>
      <c r="I90" s="56">
        <f t="shared" si="3"/>
        <v>7.2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v>119</v>
      </c>
      <c r="C91" s="63">
        <v>4</v>
      </c>
      <c r="D91" s="63">
        <v>20</v>
      </c>
      <c r="E91" s="93"/>
      <c r="F91" s="93"/>
      <c r="G91" s="93"/>
      <c r="H91" s="93"/>
      <c r="I91" s="56">
        <f t="shared" si="3"/>
        <v>6.6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v>130</v>
      </c>
      <c r="C92" s="63">
        <v>5</v>
      </c>
      <c r="D92" s="63">
        <v>19</v>
      </c>
      <c r="E92" s="93"/>
      <c r="F92" s="93"/>
      <c r="G92" s="93"/>
      <c r="H92" s="93"/>
      <c r="I92" s="56">
        <f t="shared" si="3"/>
        <v>6.2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v>138</v>
      </c>
      <c r="C93" s="63">
        <v>6</v>
      </c>
      <c r="D93" s="63">
        <v>17</v>
      </c>
      <c r="E93" s="93"/>
      <c r="F93" s="93"/>
      <c r="G93" s="93"/>
      <c r="H93" s="93"/>
      <c r="I93" s="56">
        <f t="shared" si="3"/>
        <v>5.4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v>145</v>
      </c>
      <c r="C94" s="63">
        <v>7</v>
      </c>
      <c r="D94" s="63">
        <v>16</v>
      </c>
      <c r="E94" s="93"/>
      <c r="F94" s="93"/>
      <c r="G94" s="93"/>
      <c r="H94" s="93"/>
      <c r="I94" s="56">
        <f t="shared" si="3"/>
        <v>4.8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55</v>
      </c>
      <c r="B95" s="63">
        <v>151</v>
      </c>
      <c r="C95" s="63">
        <v>8</v>
      </c>
      <c r="D95" s="63">
        <v>14</v>
      </c>
      <c r="E95" s="93"/>
      <c r="F95" s="93"/>
      <c r="G95" s="93"/>
      <c r="H95" s="93"/>
      <c r="I95" s="56">
        <f t="shared" si="3"/>
        <v>4.4000000000000004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60</v>
      </c>
      <c r="B96" s="63">
        <v>156</v>
      </c>
      <c r="C96" s="63">
        <v>9</v>
      </c>
      <c r="D96" s="63">
        <v>13</v>
      </c>
      <c r="E96" s="93"/>
      <c r="F96" s="93"/>
      <c r="G96" s="93"/>
      <c r="H96" s="93"/>
      <c r="I96" s="56">
        <f t="shared" si="3"/>
        <v>3.8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65</v>
      </c>
      <c r="B97" s="63">
        <v>160</v>
      </c>
      <c r="C97" s="63">
        <v>10</v>
      </c>
      <c r="D97" s="63">
        <v>11</v>
      </c>
      <c r="E97" s="93"/>
      <c r="F97" s="93"/>
      <c r="G97" s="93"/>
      <c r="H97" s="93"/>
      <c r="I97" s="56">
        <f t="shared" si="3"/>
        <v>3.4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70</v>
      </c>
      <c r="B98" s="63">
        <v>163</v>
      </c>
      <c r="C98" s="63">
        <v>11</v>
      </c>
      <c r="D98" s="63">
        <v>10</v>
      </c>
      <c r="E98" s="93"/>
      <c r="F98" s="93"/>
      <c r="G98" s="93"/>
      <c r="H98" s="93"/>
      <c r="I98" s="56">
        <f t="shared" si="3"/>
        <v>2.8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75</v>
      </c>
      <c r="B99" s="63">
        <v>166</v>
      </c>
      <c r="C99" s="63">
        <v>12</v>
      </c>
      <c r="D99" s="63">
        <v>9</v>
      </c>
      <c r="E99" s="93"/>
      <c r="F99" s="93"/>
      <c r="G99" s="93"/>
      <c r="H99" s="93"/>
      <c r="I99" s="56">
        <f t="shared" si="3"/>
        <v>2.6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80</v>
      </c>
      <c r="B100" s="63">
        <v>168</v>
      </c>
      <c r="C100" s="63">
        <v>13</v>
      </c>
      <c r="D100" s="63">
        <v>8</v>
      </c>
      <c r="E100" s="68"/>
      <c r="F100" s="68"/>
      <c r="G100" s="68"/>
      <c r="H100" s="68"/>
      <c r="I100" s="56">
        <f t="shared" si="3"/>
        <v>2.2000000000000002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85</v>
      </c>
      <c r="B101" s="63">
        <v>170</v>
      </c>
      <c r="C101" s="63">
        <v>14</v>
      </c>
      <c r="D101" s="63">
        <v>7</v>
      </c>
      <c r="E101" s="68"/>
      <c r="F101" s="68"/>
      <c r="G101" s="68"/>
      <c r="H101" s="68"/>
      <c r="I101" s="56">
        <f t="shared" si="3"/>
        <v>2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>
        <v>90</v>
      </c>
      <c r="B102" s="53">
        <v>171</v>
      </c>
      <c r="C102" s="63">
        <v>15</v>
      </c>
      <c r="D102" s="53">
        <v>171</v>
      </c>
      <c r="E102" s="57"/>
      <c r="F102" s="57"/>
      <c r="G102" s="57"/>
      <c r="H102" s="57"/>
      <c r="I102" s="56">
        <f t="shared" si="3"/>
        <v>1.6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1" sqref="G21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rouge d'Amérique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157.98488572680344</v>
      </c>
      <c r="T3" s="62">
        <f>IF('Données projet'!E9&gt;30,$R$33-$H$33,LOOKUP('Données projet'!$E$9,$A$3:$A$203,R3:R203)-LOOKUP('Données projet'!$E$9,$A$3:$A$203,$H$3:$H$203))</f>
        <v>269.20989374735825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205.97834462530136</v>
      </c>
      <c r="AO3" s="62">
        <f>IF('Données projet'!E10&gt;30,$AM$33-$H$33,LOOKUP('Données projet'!$E$10,$A$3:$A$203,AM3:AM203)-LOOKUP('Données projet'!$E$10,$A$3:$A$203,$H$3:$H$203))</f>
        <v>235.08005253775002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5.7692307692307692</v>
      </c>
      <c r="N4" s="14">
        <f>IF('Données projet'!$A$36&gt;35,N3+M4-V3,IF(A4&lt;'Données projet'!$A$36,$K$205^A4,IF(A4='Données projet'!$A$36,'Données projet'!$B$36,N3+M4-V3)))</f>
        <v>1.3939124009120489</v>
      </c>
      <c r="O4" s="14">
        <f>N4*VLOOKUP('Données projet'!$B$9,Paramètres!$A$1:$I$89,3,0)*VLOOKUP('Données projet'!$B$9,Paramètres!$A$1:$I$89,5,0)</f>
        <v>0.83355961574540538</v>
      </c>
      <c r="P4" s="14">
        <f>EXP(-1.0587+0.8836*LN(O4)+0.284)</f>
        <v>0.39236630327500827</v>
      </c>
      <c r="Q4" s="22">
        <f t="shared" ref="Q4:Q34" si="2">(O4+P4)*0.475*44/12</f>
        <v>2.1351543089605536</v>
      </c>
      <c r="R4" s="62">
        <f t="shared" si="0"/>
        <v>295.46848764229389</v>
      </c>
      <c r="S4" s="62">
        <f ca="1">AVERAGE(OFFSET($R$3,0,0,'Données projet'!$E$9+1,1))-AVERAGE(OFFSET($H$3,0,0,'Données projet'!$E$9+1,1))</f>
        <v>157.98488572680344</v>
      </c>
      <c r="T4" s="62">
        <f>$T$3</f>
        <v>269.20989374735825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5.2</v>
      </c>
      <c r="AI4" s="14">
        <f>IF('Données projet'!$A$62&gt;35,AI3+AH4-AQ3,IF(A4&lt;'Données projet'!$A$62,$AF$205^A4,IF(A4='Données projet'!$A$62,'Données projet'!$B$62,AI3+AH4-AQ3)))</f>
        <v>1.2613966317002558</v>
      </c>
      <c r="AJ4" s="14">
        <f>AI4*VLOOKUP('Données projet'!$B$10,Paramètres!$A$1:$I$89,3,0)*VLOOKUP('Données projet'!$B$10,Paramètres!$A$1:$I$89,5,0)</f>
        <v>1.1019560974533436</v>
      </c>
      <c r="AK4" s="14">
        <f>EXP(-1.0587+0.8836*LN(AJ4)+0.284)</f>
        <v>0.5021210560685857</v>
      </c>
      <c r="AL4" s="22">
        <f t="shared" ref="AL4:AL67" si="4">(AJ4+AK4)*0.475*44/12</f>
        <v>2.7937677090506927</v>
      </c>
      <c r="AM4" s="62">
        <f t="shared" ref="AM4:AM67" si="5">AL4+(AD4+AE4)*44/12</f>
        <v>296.12710104238403</v>
      </c>
      <c r="AN4" s="62">
        <f ca="1">AVERAGE(OFFSET($AM$3,0,0,'Données projet'!$E$10+1,1))-AVERAGE(OFFSET($H$3,0,0,'Données projet'!$E$10+1,1))</f>
        <v>205.97834462530136</v>
      </c>
      <c r="AO4" s="62">
        <f>$AO$3</f>
        <v>235.08005253775002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2.85</v>
      </c>
      <c r="BD4" s="13">
        <f>IF('Données projet'!$A$88&gt;35,BD3+BC4-BL3,IF(A4&lt;'Données projet'!$A$88,$BA$205^A4,IF(A4='Données projet'!$A$88,'Données projet'!$B$88,BD3+BC4-BL3)))</f>
        <v>1.2240347367580502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5.7692307692307692</v>
      </c>
      <c r="N5" s="14">
        <f>IF('Données projet'!$A$36&gt;35,N4+M5-V4,IF(A5&lt;'Données projet'!$A$36,$K$205^A5,IF(A5='Données projet'!$A$36,'Données projet'!$B$36,N4+M5-V4)))</f>
        <v>1.9429917814163926</v>
      </c>
      <c r="O5" s="14">
        <f>N5*VLOOKUP('Données projet'!$B$9,Paramètres!$A$1:$I$89,3,0)*VLOOKUP('Données projet'!$B$9,Paramètres!$A$1:$I$89,5,0)</f>
        <v>1.1619090852870029</v>
      </c>
      <c r="P5" s="14">
        <f t="shared" ref="P5:P68" si="33">EXP(-1.0587+0.8836*LN(O5)+0.284)</f>
        <v>0.52618464987689018</v>
      </c>
      <c r="Q5" s="22">
        <f t="shared" si="2"/>
        <v>2.9400965887437809</v>
      </c>
      <c r="R5" s="62">
        <f t="shared" si="0"/>
        <v>296.27342992207707</v>
      </c>
      <c r="S5" s="62">
        <f ca="1">AVERAGE(OFFSET($R$3,0,0,'Données projet'!$E$9+1,1))-AVERAGE(OFFSET($H$3,0,0,'Données projet'!$E$9+1,1))</f>
        <v>157.98488572680344</v>
      </c>
      <c r="T5" s="62">
        <f t="shared" ref="T5:T68" si="34">$T$3</f>
        <v>269.20989374735825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5.2</v>
      </c>
      <c r="AI5" s="14">
        <f>IF('Données projet'!$A$62&gt;35,AI4+AH5-AQ4,IF(A5&lt;'Données projet'!$A$62,$AF$205^A5,IF(A5='Données projet'!$A$62,'Données projet'!$B$62,AI4+AH5-AQ4)))</f>
        <v>1.5911214624647509</v>
      </c>
      <c r="AJ5" s="14">
        <f>AI5*VLOOKUP('Données projet'!$B$10,Paramètres!$A$1:$I$89,3,0)*VLOOKUP('Données projet'!$B$10,Paramètres!$A$1:$I$89,5,0)</f>
        <v>1.3900037096092066</v>
      </c>
      <c r="AK5" s="14">
        <f t="shared" ref="AK5:AK68" si="35">EXP(-1.0587+0.8836*LN(AJ5)+0.284)</f>
        <v>0.61648280327257376</v>
      </c>
      <c r="AL5" s="22">
        <f t="shared" si="4"/>
        <v>3.494630676602434</v>
      </c>
      <c r="AM5" s="62">
        <f t="shared" si="5"/>
        <v>296.82796400993573</v>
      </c>
      <c r="AN5" s="62">
        <f ca="1">AVERAGE(OFFSET($AM$3,0,0,'Données projet'!$E$10+1,1))-AVERAGE(OFFSET($H$3,0,0,'Données projet'!$E$10+1,1))</f>
        <v>205.97834462530136</v>
      </c>
      <c r="AO5" s="62">
        <f t="shared" ref="AO5:AO68" si="36">$AO$3</f>
        <v>235.08005253775002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2.85</v>
      </c>
      <c r="BD5" s="13">
        <f>IF('Données projet'!$A$88&gt;35,BD4+BC5-BL4,IF(A5&lt;'Données projet'!$A$88,$BA$205^A5,IF(A5='Données projet'!$A$88,'Données projet'!$B$88,BD4+BC5-BL4)))</f>
        <v>1.4982610367903493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5.7692307692307692</v>
      </c>
      <c r="N6" s="14">
        <f>IF('Données projet'!$A$36&gt;35,N5+M6-V5,IF(A6&lt;'Données projet'!$A$36,$K$205^A6,IF(A6='Données projet'!$A$36,'Données projet'!$B$36,N5+M6-V5)))</f>
        <v>2.7083603389865027</v>
      </c>
      <c r="O6" s="14">
        <f>N6*VLOOKUP('Données projet'!$B$9,Paramètres!$A$1:$I$89,3,0)*VLOOKUP('Données projet'!$B$9,Paramètres!$A$1:$I$89,5,0)</f>
        <v>1.6195994827139286</v>
      </c>
      <c r="P6" s="14">
        <f t="shared" si="33"/>
        <v>0.70564236392136903</v>
      </c>
      <c r="Q6" s="22">
        <f t="shared" si="2"/>
        <v>4.0497962162231431</v>
      </c>
      <c r="R6" s="62">
        <f t="shared" si="0"/>
        <v>297.38312954955643</v>
      </c>
      <c r="S6" s="62">
        <f ca="1">AVERAGE(OFFSET($R$3,0,0,'Données projet'!$E$9+1,1))-AVERAGE(OFFSET($H$3,0,0,'Données projet'!$E$9+1,1))</f>
        <v>157.98488572680344</v>
      </c>
      <c r="T6" s="62">
        <f t="shared" si="34"/>
        <v>269.20989374735825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5.2</v>
      </c>
      <c r="AI6" s="14">
        <f>IF('Données projet'!$A$62&gt;35,AI5+AH6-AQ5,IF(A6&lt;'Données projet'!$A$62,$AF$205^A6,IF(A6='Données projet'!$A$62,'Données projet'!$B$62,AI5+AH6-AQ5)))</f>
        <v>2.0070352533790219</v>
      </c>
      <c r="AJ6" s="14">
        <f>AI6*VLOOKUP('Données projet'!$B$10,Paramètres!$A$1:$I$89,3,0)*VLOOKUP('Données projet'!$B$10,Paramètres!$A$1:$I$89,5,0)</f>
        <v>1.7533459973519137</v>
      </c>
      <c r="AK6" s="14">
        <f t="shared" si="35"/>
        <v>0.75689127579405635</v>
      </c>
      <c r="AL6" s="22">
        <f t="shared" si="4"/>
        <v>4.3719965840625639</v>
      </c>
      <c r="AM6" s="62">
        <f t="shared" si="5"/>
        <v>297.70532991739589</v>
      </c>
      <c r="AN6" s="62">
        <f ca="1">AVERAGE(OFFSET($AM$3,0,0,'Données projet'!$E$10+1,1))-AVERAGE(OFFSET($H$3,0,0,'Données projet'!$E$10+1,1))</f>
        <v>205.97834462530136</v>
      </c>
      <c r="AO6" s="62">
        <f t="shared" si="36"/>
        <v>235.08005253775002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2.85</v>
      </c>
      <c r="BD6" s="13">
        <f>IF('Données projet'!$A$88&gt;35,BD5+BC6-BL5,IF(A6&lt;'Données projet'!$A$88,$BA$205^A6,IF(A6='Données projet'!$A$88,'Données projet'!$B$88,BD5+BC6-BL5)))</f>
        <v>1.8339235537625185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5.7692307692307692</v>
      </c>
      <c r="N7" s="14">
        <f>IF('Données projet'!$A$36&gt;35,N6+M7-V6,IF(A7&lt;'Données projet'!$A$36,$K$205^A7,IF(A7='Données projet'!$A$36,'Données projet'!$B$36,N6+M7-V6)))</f>
        <v>3.775217062651647</v>
      </c>
      <c r="O7" s="14">
        <f>N7*VLOOKUP('Données projet'!$B$9,Paramètres!$A$1:$I$89,3,0)*VLOOKUP('Données projet'!$B$9,Paramètres!$A$1:$I$89,5,0)</f>
        <v>2.2575798034656849</v>
      </c>
      <c r="P7" s="14">
        <f t="shared" si="33"/>
        <v>0.94630496324253699</v>
      </c>
      <c r="Q7" s="22">
        <f t="shared" si="2"/>
        <v>5.5800993020168193</v>
      </c>
      <c r="R7" s="62">
        <f t="shared" si="0"/>
        <v>298.91343263535015</v>
      </c>
      <c r="S7" s="62">
        <f ca="1">AVERAGE(OFFSET($R$3,0,0,'Données projet'!$E$9+1,1))-AVERAGE(OFFSET($H$3,0,0,'Données projet'!$E$9+1,1))</f>
        <v>157.98488572680344</v>
      </c>
      <c r="T7" s="62">
        <f t="shared" si="34"/>
        <v>269.20989374735825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5.2</v>
      </c>
      <c r="AI7" s="14">
        <f>IF('Données projet'!$A$62&gt;35,AI6+AH7-AQ6,IF(A7&lt;'Données projet'!$A$62,$AF$205^A7,IF(A7='Données projet'!$A$62,'Données projet'!$B$62,AI6+AH7-AQ6)))</f>
        <v>2.5316675083159677</v>
      </c>
      <c r="AJ7" s="14">
        <f>AI7*VLOOKUP('Données projet'!$B$10,Paramètres!$A$1:$I$89,3,0)*VLOOKUP('Données projet'!$B$10,Paramètres!$A$1:$I$89,5,0)</f>
        <v>2.2116647352648298</v>
      </c>
      <c r="AK7" s="14">
        <f t="shared" si="35"/>
        <v>0.92927880604620439</v>
      </c>
      <c r="AL7" s="22">
        <f t="shared" si="4"/>
        <v>5.4704766677833838</v>
      </c>
      <c r="AM7" s="62">
        <f t="shared" si="5"/>
        <v>298.80381000111669</v>
      </c>
      <c r="AN7" s="62">
        <f ca="1">AVERAGE(OFFSET($AM$3,0,0,'Données projet'!$E$10+1,1))-AVERAGE(OFFSET($H$3,0,0,'Données projet'!$E$10+1,1))</f>
        <v>205.97834462530136</v>
      </c>
      <c r="AO7" s="62">
        <f t="shared" si="36"/>
        <v>235.08005253775002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2.85</v>
      </c>
      <c r="BD7" s="13">
        <f>IF('Données projet'!$A$88&gt;35,BD6+BC7-BL6,IF(A7&lt;'Données projet'!$A$88,$BA$205^A7,IF(A7='Données projet'!$A$88,'Données projet'!$B$88,BD6+BC7-BL6)))</f>
        <v>2.2447861343640922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5.7692307692307692</v>
      </c>
      <c r="N8" s="14">
        <f>IF('Données projet'!$A$36&gt;35,N7+M8-V7,IF(A8&lt;'Données projet'!$A$36,$K$205^A8,IF(A8='Données projet'!$A$36,'Données projet'!$B$36,N7+M8-V7)))</f>
        <v>5.2623218797648903</v>
      </c>
      <c r="O8" s="14">
        <f>N8*VLOOKUP('Données projet'!$B$9,Paramètres!$A$1:$I$89,3,0)*VLOOKUP('Données projet'!$B$9,Paramètres!$A$1:$I$89,5,0)</f>
        <v>3.1468684840994046</v>
      </c>
      <c r="P8" s="14">
        <f t="shared" si="33"/>
        <v>1.2690466576879811</v>
      </c>
      <c r="Q8" s="22">
        <f t="shared" si="2"/>
        <v>7.6910522052796955</v>
      </c>
      <c r="R8" s="62">
        <f t="shared" si="0"/>
        <v>301.02438553861299</v>
      </c>
      <c r="S8" s="62">
        <f ca="1">AVERAGE(OFFSET($R$3,0,0,'Données projet'!$E$9+1,1))-AVERAGE(OFFSET($H$3,0,0,'Données projet'!$E$9+1,1))</f>
        <v>157.98488572680344</v>
      </c>
      <c r="T8" s="62">
        <f t="shared" si="34"/>
        <v>269.20989374735825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5.2</v>
      </c>
      <c r="AI8" s="14">
        <f>IF('Données projet'!$A$62&gt;35,AI7+AH8-AQ7,IF(A8&lt;'Données projet'!$A$62,$AF$205^A8,IF(A8='Données projet'!$A$62,'Données projet'!$B$62,AI7+AH8-AQ7)))</f>
        <v>3.1934368675747411</v>
      </c>
      <c r="AJ8" s="14">
        <f>AI8*VLOOKUP('Données projet'!$B$10,Paramètres!$A$1:$I$89,3,0)*VLOOKUP('Données projet'!$B$10,Paramètres!$A$1:$I$89,5,0)</f>
        <v>2.7897864475132943</v>
      </c>
      <c r="AK8" s="14">
        <f t="shared" si="35"/>
        <v>1.1409288585876447</v>
      </c>
      <c r="AL8" s="22">
        <f t="shared" si="4"/>
        <v>6.8459958247924684</v>
      </c>
      <c r="AM8" s="62">
        <f t="shared" si="5"/>
        <v>300.17932915812577</v>
      </c>
      <c r="AN8" s="62">
        <f ca="1">AVERAGE(OFFSET($AM$3,0,0,'Données projet'!$E$10+1,1))-AVERAGE(OFFSET($H$3,0,0,'Données projet'!$E$10+1,1))</f>
        <v>205.97834462530136</v>
      </c>
      <c r="AO8" s="62">
        <f t="shared" si="36"/>
        <v>235.08005253775002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2.85</v>
      </c>
      <c r="BD8" s="13">
        <f>IF('Données projet'!$A$88&gt;35,BD7+BC8-BL7,IF(A8&lt;'Données projet'!$A$88,$BA$205^A8,IF(A8='Données projet'!$A$88,'Données projet'!$B$88,BD7+BC8-BL7)))</f>
        <v>2.7476962050544729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5.7692307692307692</v>
      </c>
      <c r="N9" s="14">
        <f>IF('Données projet'!$A$36&gt;35,N8+M9-V8,IF(A9&lt;'Données projet'!$A$36,$K$205^A9,IF(A9='Données projet'!$A$36,'Données projet'!$B$36,N8+M9-V8)))</f>
        <v>7.3352157257950852</v>
      </c>
      <c r="O9" s="14">
        <f>N9*VLOOKUP('Données projet'!$B$9,Paramètres!$A$1:$I$89,3,0)*VLOOKUP('Données projet'!$B$9,Paramètres!$A$1:$I$89,5,0)</f>
        <v>4.3864590040254612</v>
      </c>
      <c r="P9" s="14">
        <f t="shared" si="33"/>
        <v>1.7018609031391834</v>
      </c>
      <c r="Q9" s="22">
        <f t="shared" si="2"/>
        <v>10.603823838311754</v>
      </c>
      <c r="R9" s="62">
        <f t="shared" si="0"/>
        <v>303.93715717164508</v>
      </c>
      <c r="S9" s="62">
        <f ca="1">AVERAGE(OFFSET($R$3,0,0,'Données projet'!$E$9+1,1))-AVERAGE(OFFSET($H$3,0,0,'Données projet'!$E$9+1,1))</f>
        <v>157.98488572680344</v>
      </c>
      <c r="T9" s="62">
        <f t="shared" si="34"/>
        <v>269.20989374735825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5.2</v>
      </c>
      <c r="AI9" s="14">
        <f>IF('Données projet'!$A$62&gt;35,AI8+AH9-AQ8,IF(A9&lt;'Données projet'!$A$62,$AF$205^A9,IF(A9='Données projet'!$A$62,'Données projet'!$B$62,AI8+AH9-AQ8)))</f>
        <v>4.0281905083061949</v>
      </c>
      <c r="AJ9" s="14">
        <f>AI9*VLOOKUP('Données projet'!$B$10,Paramètres!$A$1:$I$89,3,0)*VLOOKUP('Données projet'!$B$10,Paramètres!$A$1:$I$89,5,0)</f>
        <v>3.5190272280562924</v>
      </c>
      <c r="AK9" s="14">
        <f t="shared" si="35"/>
        <v>1.4007837603619935</v>
      </c>
      <c r="AL9" s="22">
        <f t="shared" si="4"/>
        <v>8.5686708048285141</v>
      </c>
      <c r="AM9" s="62">
        <f t="shared" si="5"/>
        <v>301.90200413816183</v>
      </c>
      <c r="AN9" s="62">
        <f ca="1">AVERAGE(OFFSET($AM$3,0,0,'Données projet'!$E$10+1,1))-AVERAGE(OFFSET($H$3,0,0,'Données projet'!$E$10+1,1))</f>
        <v>205.97834462530136</v>
      </c>
      <c r="AO9" s="62">
        <f t="shared" si="36"/>
        <v>235.08005253775002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2.85</v>
      </c>
      <c r="BD9" s="13">
        <f>IF('Données projet'!$A$88&gt;35,BD8+BC9-BL8,IF(A9&lt;'Données projet'!$A$88,$BA$205^A9,IF(A9='Données projet'!$A$88,'Données projet'!$B$88,BD8+BC9-BL8)))</f>
        <v>3.3632756010449452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5.7692307692307692</v>
      </c>
      <c r="N10" s="14">
        <f>IF('Données projet'!$A$36&gt;35,N9+M10-V9,IF(A10&lt;'Données projet'!$A$36,$K$205^A10,IF(A10='Données projet'!$A$36,'Données projet'!$B$36,N9+M10-V9)))</f>
        <v>10.224648163550844</v>
      </c>
      <c r="O10" s="14">
        <f>N10*VLOOKUP('Données projet'!$B$9,Paramètres!$A$1:$I$89,3,0)*VLOOKUP('Données projet'!$B$9,Paramètres!$A$1:$I$89,5,0)</f>
        <v>6.1143396018034055</v>
      </c>
      <c r="P10" s="14">
        <f t="shared" si="33"/>
        <v>2.2822884533736612</v>
      </c>
      <c r="Q10" s="22">
        <f t="shared" si="2"/>
        <v>14.624127196100055</v>
      </c>
      <c r="R10" s="62">
        <f t="shared" si="0"/>
        <v>307.95746052943338</v>
      </c>
      <c r="S10" s="62">
        <f ca="1">AVERAGE(OFFSET($R$3,0,0,'Données projet'!$E$9+1,1))-AVERAGE(OFFSET($H$3,0,0,'Données projet'!$E$9+1,1))</f>
        <v>157.98488572680344</v>
      </c>
      <c r="T10" s="62">
        <f t="shared" si="34"/>
        <v>269.20989374735825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5.2</v>
      </c>
      <c r="AI10" s="14">
        <f>IF('Données projet'!$A$62&gt;35,AI9+AH10-AQ9,IF(A10&lt;'Données projet'!$A$62,$AF$205^A10,IF(A10='Données projet'!$A$62,'Données projet'!$B$62,AI9+AH10-AQ9)))</f>
        <v>5.0811459390243749</v>
      </c>
      <c r="AJ10" s="14">
        <f>AI10*VLOOKUP('Données projet'!$B$10,Paramètres!$A$1:$I$89,3,0)*VLOOKUP('Données projet'!$B$10,Paramètres!$A$1:$I$89,5,0)</f>
        <v>4.4388890923316948</v>
      </c>
      <c r="AK10" s="14">
        <f t="shared" si="35"/>
        <v>1.7198225187527358</v>
      </c>
      <c r="AL10" s="22">
        <f t="shared" si="4"/>
        <v>10.726422722638716</v>
      </c>
      <c r="AM10" s="62">
        <f t="shared" si="5"/>
        <v>304.059756055972</v>
      </c>
      <c r="AN10" s="62">
        <f ca="1">AVERAGE(OFFSET($AM$3,0,0,'Données projet'!$E$10+1,1))-AVERAGE(OFFSET($H$3,0,0,'Données projet'!$E$10+1,1))</f>
        <v>205.97834462530136</v>
      </c>
      <c r="AO10" s="62">
        <f t="shared" si="36"/>
        <v>235.08005253775002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2.85</v>
      </c>
      <c r="BD10" s="13">
        <f>IF('Données projet'!$A$88&gt;35,BD9+BC10-BL9,IF(A10&lt;'Données projet'!$A$88,$BA$205^A10,IF(A10='Données projet'!$A$88,'Données projet'!$B$88,BD9+BC10-BL9)))</f>
        <v>4.116766164969822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5.7692307692307692</v>
      </c>
      <c r="N11" s="14">
        <f>IF('Données projet'!$A$36&gt;35,N10+M11-V10,IF(A11&lt;'Données projet'!$A$36,$K$205^A11,IF(A11='Données projet'!$A$36,'Données projet'!$B$36,N10+M11-V10)))</f>
        <v>14.252263870136129</v>
      </c>
      <c r="O11" s="14">
        <f>N11*VLOOKUP('Données projet'!$B$9,Paramètres!$A$1:$I$89,3,0)*VLOOKUP('Données projet'!$B$9,Paramètres!$A$1:$I$89,5,0)</f>
        <v>8.5228537943414064</v>
      </c>
      <c r="P11" s="14">
        <f t="shared" si="33"/>
        <v>3.0606735102702713</v>
      </c>
      <c r="Q11" s="22">
        <f t="shared" si="2"/>
        <v>20.174643388865338</v>
      </c>
      <c r="R11" s="62">
        <f t="shared" si="0"/>
        <v>313.50797672219863</v>
      </c>
      <c r="S11" s="62">
        <f ca="1">AVERAGE(OFFSET($R$3,0,0,'Données projet'!$E$9+1,1))-AVERAGE(OFFSET($H$3,0,0,'Données projet'!$E$9+1,1))</f>
        <v>157.98488572680344</v>
      </c>
      <c r="T11" s="62">
        <f t="shared" si="34"/>
        <v>269.20989374735825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5.2</v>
      </c>
      <c r="AI11" s="14">
        <f>IF('Données projet'!$A$62&gt;35,AI10+AH11-AQ10,IF(A11&lt;'Données projet'!$A$62,$AF$205^A11,IF(A11='Données projet'!$A$62,'Données projet'!$B$62,AI10+AH11-AQ10)))</f>
        <v>6.40934037266278</v>
      </c>
      <c r="AJ11" s="14">
        <f>AI11*VLOOKUP('Données projet'!$B$10,Paramètres!$A$1:$I$89,3,0)*VLOOKUP('Données projet'!$B$10,Paramètres!$A$1:$I$89,5,0)</f>
        <v>5.5991997495582053</v>
      </c>
      <c r="AK11" s="14">
        <f t="shared" si="35"/>
        <v>2.1115246904666036</v>
      </c>
      <c r="AL11" s="22">
        <f t="shared" si="4"/>
        <v>13.429511733043208</v>
      </c>
      <c r="AM11" s="62">
        <f t="shared" si="5"/>
        <v>306.76284506637654</v>
      </c>
      <c r="AN11" s="62">
        <f ca="1">AVERAGE(OFFSET($AM$3,0,0,'Données projet'!$E$10+1,1))-AVERAGE(OFFSET($H$3,0,0,'Données projet'!$E$10+1,1))</f>
        <v>205.97834462530136</v>
      </c>
      <c r="AO11" s="62">
        <f t="shared" si="36"/>
        <v>235.08005253775002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2.85</v>
      </c>
      <c r="BD11" s="13">
        <f>IF('Données projet'!$A$88&gt;35,BD10+BC11-BL10,IF(A11&lt;'Données projet'!$A$88,$BA$205^A11,IF(A11='Données projet'!$A$88,'Données projet'!$B$88,BD10+BC11-BL10)))</f>
        <v>5.0390647890332847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5.7692307692307692</v>
      </c>
      <c r="N12" s="14">
        <f>IF('Données projet'!$A$36&gt;35,N11+M12-V11,IF(A12&lt;'Données projet'!$A$36,$K$205^A12,IF(A12='Données projet'!$A$36,'Données projet'!$B$36,N11+M12-V11)))</f>
        <v>19.866407349653503</v>
      </c>
      <c r="O12" s="14">
        <f>N12*VLOOKUP('Données projet'!$B$9,Paramètres!$A$1:$I$89,3,0)*VLOOKUP('Données projet'!$B$9,Paramètres!$A$1:$I$89,5,0)</f>
        <v>11.880111595092796</v>
      </c>
      <c r="P12" s="14">
        <f t="shared" si="33"/>
        <v>4.1045303991363813</v>
      </c>
      <c r="Q12" s="22">
        <f t="shared" si="2"/>
        <v>27.839918139949148</v>
      </c>
      <c r="R12" s="62">
        <f t="shared" si="0"/>
        <v>321.17325147328245</v>
      </c>
      <c r="S12" s="62">
        <f ca="1">AVERAGE(OFFSET($R$3,0,0,'Données projet'!$E$9+1,1))-AVERAGE(OFFSET($H$3,0,0,'Données projet'!$E$9+1,1))</f>
        <v>157.98488572680344</v>
      </c>
      <c r="T12" s="62">
        <f t="shared" si="34"/>
        <v>269.20989374735825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5.2</v>
      </c>
      <c r="AI12" s="14">
        <f>IF('Données projet'!$A$62&gt;35,AI11+AH12-AQ11,IF(A12&lt;'Données projet'!$A$62,$AF$205^A12,IF(A12='Données projet'!$A$62,'Données projet'!$B$62,AI11+AH12-AQ11)))</f>
        <v>8.084720357497293</v>
      </c>
      <c r="AJ12" s="14">
        <f>AI12*VLOOKUP('Données projet'!$B$10,Paramètres!$A$1:$I$89,3,0)*VLOOKUP('Données projet'!$B$10,Paramètres!$A$1:$I$89,5,0)</f>
        <v>7.0628117043096363</v>
      </c>
      <c r="AK12" s="14">
        <f t="shared" si="35"/>
        <v>2.5924398999517377</v>
      </c>
      <c r="AL12" s="22">
        <f t="shared" si="4"/>
        <v>16.81622987742189</v>
      </c>
      <c r="AM12" s="62">
        <f t="shared" si="5"/>
        <v>310.14956321075522</v>
      </c>
      <c r="AN12" s="62">
        <f ca="1">AVERAGE(OFFSET($AM$3,0,0,'Données projet'!$E$10+1,1))-AVERAGE(OFFSET($H$3,0,0,'Données projet'!$E$10+1,1))</f>
        <v>205.97834462530136</v>
      </c>
      <c r="AO12" s="62">
        <f t="shared" si="36"/>
        <v>235.08005253775002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2.85</v>
      </c>
      <c r="BD12" s="13">
        <f>IF('Données projet'!$A$88&gt;35,BD11+BC12-BL11,IF(A12&lt;'Données projet'!$A$88,$BA$205^A12,IF(A12='Données projet'!$A$88,'Données projet'!$B$88,BD11+BC12-BL11)))</f>
        <v>6.167990342551116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5.7692307692307692</v>
      </c>
      <c r="N13" s="14">
        <f>IF('Données projet'!$A$36&gt;35,N12+M13-V12,IF(A13&lt;'Données projet'!$A$36,$K$205^A13,IF(A13='Données projet'!$A$36,'Données projet'!$B$36,N12+M13-V12)))</f>
        <v>27.69203156625229</v>
      </c>
      <c r="O13" s="14">
        <f>N13*VLOOKUP('Données projet'!$B$9,Paramètres!$A$1:$I$89,3,0)*VLOOKUP('Données projet'!$B$9,Paramètres!$A$1:$I$89,5,0)</f>
        <v>16.559834876618869</v>
      </c>
      <c r="P13" s="14">
        <f t="shared" si="33"/>
        <v>5.5043995188977117</v>
      </c>
      <c r="Q13" s="22">
        <f t="shared" si="2"/>
        <v>38.428541572191371</v>
      </c>
      <c r="R13" s="62">
        <f t="shared" si="0"/>
        <v>331.76187490552468</v>
      </c>
      <c r="S13" s="62">
        <f ca="1">AVERAGE(OFFSET($R$3,0,0,'Données projet'!$E$9+1,1))-AVERAGE(OFFSET($H$3,0,0,'Données projet'!$E$9+1,1))</f>
        <v>157.98488572680344</v>
      </c>
      <c r="T13" s="62">
        <f t="shared" si="34"/>
        <v>269.20989374735825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5.2</v>
      </c>
      <c r="AI13" s="14">
        <f>IF('Données projet'!$A$62&gt;35,AI12+AH13-AQ12,IF(A13&lt;'Données projet'!$A$62,$AF$205^A13,IF(A13='Données projet'!$A$62,'Données projet'!$B$62,AI12+AH13-AQ12)))</f>
        <v>10.198039027185574</v>
      </c>
      <c r="AJ13" s="14">
        <f>AI13*VLOOKUP('Données projet'!$B$10,Paramètres!$A$1:$I$89,3,0)*VLOOKUP('Données projet'!$B$10,Paramètres!$A$1:$I$89,5,0)</f>
        <v>8.9090068941493197</v>
      </c>
      <c r="AK13" s="14">
        <f t="shared" si="35"/>
        <v>3.1828870698057665</v>
      </c>
      <c r="AL13" s="22">
        <f t="shared" si="4"/>
        <v>21.060048653888444</v>
      </c>
      <c r="AM13" s="62">
        <f t="shared" si="5"/>
        <v>314.39338198722174</v>
      </c>
      <c r="AN13" s="62">
        <f ca="1">AVERAGE(OFFSET($AM$3,0,0,'Données projet'!$E$10+1,1))-AVERAGE(OFFSET($H$3,0,0,'Données projet'!$E$10+1,1))</f>
        <v>205.97834462530136</v>
      </c>
      <c r="AO13" s="62">
        <f t="shared" si="36"/>
        <v>235.08005253775002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2.85</v>
      </c>
      <c r="BD13" s="13">
        <f>IF('Données projet'!$A$88&gt;35,BD12+BC13-BL12,IF(A13&lt;'Données projet'!$A$88,$BA$205^A13,IF(A13='Données projet'!$A$88,'Données projet'!$B$88,BD12+BC13-BL12)))</f>
        <v>7.5498344352707516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5.7692307692307692</v>
      </c>
      <c r="N14" s="14">
        <f>IF('Données projet'!$A$36&gt;35,N13+M14-V13,IF(A14&lt;'Données projet'!$A$36,$K$205^A14,IF(A14='Données projet'!$A$36,'Données projet'!$B$36,N13+M14-V13)))</f>
        <v>38.600266206646971</v>
      </c>
      <c r="O14" s="14">
        <f>N14*VLOOKUP('Données projet'!$B$9,Paramètres!$A$1:$I$89,3,0)*VLOOKUP('Données projet'!$B$9,Paramètres!$A$1:$I$89,5,0)</f>
        <v>23.08295919157489</v>
      </c>
      <c r="P14" s="14">
        <f t="shared" si="33"/>
        <v>7.3817004912465372</v>
      </c>
      <c r="Q14" s="22">
        <f t="shared" si="2"/>
        <v>53.059282280913983</v>
      </c>
      <c r="R14" s="62">
        <f t="shared" si="0"/>
        <v>346.39261561424729</v>
      </c>
      <c r="S14" s="62">
        <f ca="1">AVERAGE(OFFSET($R$3,0,0,'Données projet'!$E$9+1,1))-AVERAGE(OFFSET($H$3,0,0,'Données projet'!$E$9+1,1))</f>
        <v>157.98488572680344</v>
      </c>
      <c r="T14" s="62">
        <f t="shared" si="34"/>
        <v>269.20989374735825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5.2</v>
      </c>
      <c r="AI14" s="14">
        <f>IF('Données projet'!$A$62&gt;35,AI13+AH14-AQ13,IF(A14&lt;'Données projet'!$A$62,$AF$205^A14,IF(A14='Données projet'!$A$62,'Données projet'!$B$62,AI13+AH14-AQ13)))</f>
        <v>12.863772078839638</v>
      </c>
      <c r="AJ14" s="14">
        <f>AI14*VLOOKUP('Données projet'!$B$10,Paramètres!$A$1:$I$89,3,0)*VLOOKUP('Données projet'!$B$10,Paramètres!$A$1:$I$89,5,0)</f>
        <v>11.237791288074309</v>
      </c>
      <c r="AK14" s="14">
        <f t="shared" si="35"/>
        <v>3.907812906029311</v>
      </c>
      <c r="AL14" s="22">
        <f t="shared" si="4"/>
        <v>26.378593971397137</v>
      </c>
      <c r="AM14" s="62">
        <f t="shared" si="5"/>
        <v>319.71192730473047</v>
      </c>
      <c r="AN14" s="62">
        <f ca="1">AVERAGE(OFFSET($AM$3,0,0,'Données projet'!$E$10+1,1))-AVERAGE(OFFSET($H$3,0,0,'Données projet'!$E$10+1,1))</f>
        <v>205.97834462530136</v>
      </c>
      <c r="AO14" s="62">
        <f t="shared" si="36"/>
        <v>235.08005253775002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2.85</v>
      </c>
      <c r="BD14" s="13">
        <f>IF('Données projet'!$A$88&gt;35,BD13+BC14-BL13,IF(A14&lt;'Données projet'!$A$88,$BA$205^A14,IF(A14='Données projet'!$A$88,'Données projet'!$B$88,BD13+BC14-BL13)))</f>
        <v>9.2412596055434975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5.7692307692307692</v>
      </c>
      <c r="N15" s="14">
        <f>IF('Données projet'!$A$36&gt;35,N14+M15-V14,IF(A15&lt;'Données projet'!$A$36,$K$205^A15,IF(A15='Données projet'!$A$36,'Données projet'!$B$36,N14+M15-V14)))</f>
        <v>53.805389743951515</v>
      </c>
      <c r="O15" s="14">
        <f>N15*VLOOKUP('Données projet'!$B$9,Paramètres!$A$1:$I$89,3,0)*VLOOKUP('Données projet'!$B$9,Paramètres!$A$1:$I$89,5,0)</f>
        <v>32.175623066883006</v>
      </c>
      <c r="P15" s="14">
        <f t="shared" si="33"/>
        <v>9.8992636627112418</v>
      </c>
      <c r="Q15" s="22">
        <f t="shared" si="2"/>
        <v>73.28042772070998</v>
      </c>
      <c r="R15" s="62">
        <f t="shared" si="0"/>
        <v>366.61376105404327</v>
      </c>
      <c r="S15" s="62">
        <f ca="1">AVERAGE(OFFSET($R$3,0,0,'Données projet'!$E$9+1,1))-AVERAGE(OFFSET($H$3,0,0,'Données projet'!$E$9+1,1))</f>
        <v>157.98488572680344</v>
      </c>
      <c r="T15" s="62">
        <f t="shared" si="34"/>
        <v>269.20989374735825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5.2</v>
      </c>
      <c r="AI15" s="14">
        <f>IF('Données projet'!$A$62&gt;35,AI14+AH15-AQ14,IF(A15&lt;'Données projet'!$A$62,$AF$205^A15,IF(A15='Données projet'!$A$62,'Données projet'!$B$62,AI14+AH15-AQ14)))</f>
        <v>16.226318771208117</v>
      </c>
      <c r="AJ15" s="14">
        <f>AI15*VLOOKUP('Données projet'!$B$10,Paramètres!$A$1:$I$89,3,0)*VLOOKUP('Données projet'!$B$10,Paramètres!$A$1:$I$89,5,0)</f>
        <v>14.175312078527414</v>
      </c>
      <c r="AK15" s="14">
        <f t="shared" si="35"/>
        <v>4.7978459095820662</v>
      </c>
      <c r="AL15" s="22">
        <f t="shared" si="4"/>
        <v>33.044916829290678</v>
      </c>
      <c r="AM15" s="62">
        <f t="shared" si="5"/>
        <v>326.378250162624</v>
      </c>
      <c r="AN15" s="62">
        <f ca="1">AVERAGE(OFFSET($AM$3,0,0,'Données projet'!$E$10+1,1))-AVERAGE(OFFSET($H$3,0,0,'Données projet'!$E$10+1,1))</f>
        <v>205.97834462530136</v>
      </c>
      <c r="AO15" s="62">
        <f t="shared" si="36"/>
        <v>235.08005253775002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2.85</v>
      </c>
      <c r="BD15" s="13">
        <f>IF('Données projet'!$A$88&gt;35,BD14+BC15-BL14,IF(A15&lt;'Données projet'!$A$88,$BA$205^A15,IF(A15='Données projet'!$A$88,'Données projet'!$B$88,BD14+BC15-BL14)))</f>
        <v>11.311622768584238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75</v>
      </c>
      <c r="L16" s="13">
        <f>VLOOKUP(A16,'Données projet'!$A$35:$I$55,9,0)</f>
        <v>5.7692307692307692</v>
      </c>
      <c r="M16" s="13">
        <f t="array" ref="M16">INDEX(L:L,MIN(IF(ISNUMBER(L16:L212),ROW(L16:L212),"")))</f>
        <v>5.7692307692307692</v>
      </c>
      <c r="N16" s="14">
        <f>IF('Données projet'!$A$36&gt;35,N15+M16-V15,IF(A16&lt;'Données projet'!$A$36,$K$205^A16,IF(A16='Données projet'!$A$36,'Données projet'!$B$36,N15+M16-V15)))</f>
        <v>75</v>
      </c>
      <c r="O16" s="14">
        <f>N16*VLOOKUP('Données projet'!$B$9,Paramètres!$A$1:$I$89,3,0)*VLOOKUP('Données projet'!$B$9,Paramètres!$A$1:$I$89,5,0)</f>
        <v>44.85</v>
      </c>
      <c r="P16" s="14">
        <f t="shared" si="33"/>
        <v>13.275453424327006</v>
      </c>
      <c r="Q16" s="22">
        <f t="shared" si="2"/>
        <v>101.2351647140362</v>
      </c>
      <c r="R16" s="62">
        <f t="shared" si="0"/>
        <v>394.56849804736953</v>
      </c>
      <c r="S16" s="62">
        <f ca="1">AVERAGE(OFFSET($R$3,0,0,'Données projet'!$E$9+1,1))-AVERAGE(OFFSET($H$3,0,0,'Données projet'!$E$9+1,1))</f>
        <v>157.98488572680344</v>
      </c>
      <c r="T16" s="62">
        <f t="shared" si="34"/>
        <v>269.20989374735825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15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10.1561237088124</v>
      </c>
      <c r="AC16" s="24">
        <f t="shared" si="3"/>
        <v>10.1561237088124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5.2</v>
      </c>
      <c r="AI16" s="14">
        <f>IF('Données projet'!$A$62&gt;35,AI15+AH16-AQ15,IF(A16&lt;'Données projet'!$A$62,$AF$205^A16,IF(A16='Données projet'!$A$62,'Données projet'!$B$62,AI15+AH16-AQ15)))</f>
        <v>20.467823842896554</v>
      </c>
      <c r="AJ16" s="14">
        <f>AI16*VLOOKUP('Données projet'!$B$10,Paramètres!$A$1:$I$89,3,0)*VLOOKUP('Données projet'!$B$10,Paramètres!$A$1:$I$89,5,0)</f>
        <v>17.880690909154431</v>
      </c>
      <c r="AK16" s="14">
        <f t="shared" si="35"/>
        <v>5.890590446788579</v>
      </c>
      <c r="AL16" s="22">
        <f t="shared" si="4"/>
        <v>41.401648361600742</v>
      </c>
      <c r="AM16" s="62">
        <f t="shared" si="5"/>
        <v>334.73498169493405</v>
      </c>
      <c r="AN16" s="62">
        <f ca="1">AVERAGE(OFFSET($AM$3,0,0,'Données projet'!$E$10+1,1))-AVERAGE(OFFSET($H$3,0,0,'Données projet'!$E$10+1,1))</f>
        <v>205.97834462530136</v>
      </c>
      <c r="AO16" s="62">
        <f t="shared" si="36"/>
        <v>235.08005253775002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2.85</v>
      </c>
      <c r="BD16" s="13">
        <f>IF('Données projet'!$A$88&gt;35,BD15+BC16-BL15,IF(A16&lt;'Données projet'!$A$88,$BA$205^A16,IF(A16='Données projet'!$A$88,'Données projet'!$B$88,BD15+BC16-BL15)))</f>
        <v>13.845819197850375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17.166666666666668</v>
      </c>
      <c r="N17" s="14">
        <f>IF('Données projet'!$A$36&gt;35,N16+M17-V16,IF(A17&lt;'Données projet'!$A$36,$K$205^A17,IF(A17='Données projet'!$A$36,'Données projet'!$B$36,N16+M17-V16)))</f>
        <v>77.166666666666671</v>
      </c>
      <c r="O17" s="14">
        <f>N17*VLOOKUP('Données projet'!$B$9,Paramètres!$A$1:$I$89,3,0)*VLOOKUP('Données projet'!$B$9,Paramètres!$A$1:$I$89,5,0)</f>
        <v>46.145666666666671</v>
      </c>
      <c r="P17" s="14">
        <f t="shared" si="33"/>
        <v>13.613761874667908</v>
      </c>
      <c r="Q17" s="22">
        <f t="shared" si="2"/>
        <v>104.08100470949104</v>
      </c>
      <c r="R17" s="62">
        <f t="shared" si="0"/>
        <v>397.41433804282434</v>
      </c>
      <c r="S17" s="62">
        <f ca="1">AVERAGE(OFFSET($R$3,0,0,'Données projet'!$E$9+1,1))-AVERAGE(OFFSET($H$3,0,0,'Données projet'!$E$9+1,1))</f>
        <v>157.98488572680344</v>
      </c>
      <c r="T17" s="62">
        <f t="shared" si="34"/>
        <v>269.20989374735825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7.1814639450707176</v>
      </c>
      <c r="AC17" s="24">
        <f t="shared" si="3"/>
        <v>7.1814639450707176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5.2</v>
      </c>
      <c r="AI17" s="14">
        <f>IF('Données projet'!$A$62&gt;35,AI16+AH17-AQ16,IF(A17&lt;'Données projet'!$A$62,$AF$205^A17,IF(A17='Données projet'!$A$62,'Données projet'!$B$62,AI16+AH17-AQ16)))</f>
        <v>25.8180440536639</v>
      </c>
      <c r="AJ17" s="14">
        <f>AI17*VLOOKUP('Données projet'!$B$10,Paramètres!$A$1:$I$89,3,0)*VLOOKUP('Données projet'!$B$10,Paramètres!$A$1:$I$89,5,0)</f>
        <v>22.554643285280786</v>
      </c>
      <c r="AK17" s="14">
        <f t="shared" si="35"/>
        <v>7.2322155537545054</v>
      </c>
      <c r="AL17" s="22">
        <f t="shared" si="4"/>
        <v>51.87877914465313</v>
      </c>
      <c r="AM17" s="62">
        <f t="shared" si="5"/>
        <v>345.21211247798647</v>
      </c>
      <c r="AN17" s="62">
        <f ca="1">AVERAGE(OFFSET($AM$3,0,0,'Données projet'!$E$10+1,1))-AVERAGE(OFFSET($H$3,0,0,'Données projet'!$E$10+1,1))</f>
        <v>205.97834462530136</v>
      </c>
      <c r="AO17" s="62">
        <f t="shared" si="36"/>
        <v>235.08005253775002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2.85</v>
      </c>
      <c r="BD17" s="13">
        <f>IF('Données projet'!$A$88&gt;35,BD16+BC17-BL16,IF(A17&lt;'Données projet'!$A$88,$BA$205^A17,IF(A17='Données projet'!$A$88,'Données projet'!$B$88,BD16+BC17-BL16)))</f>
        <v>16.94776365704034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17.166666666666668</v>
      </c>
      <c r="N18" s="14">
        <f>IF('Données projet'!$A$36&gt;35,N17+M18-V17,IF(A18&lt;'Données projet'!$A$36,$K$205^A18,IF(A18='Données projet'!$A$36,'Données projet'!$B$36,N17+M18-V17)))</f>
        <v>94.333333333333343</v>
      </c>
      <c r="O18" s="14">
        <f>N18*VLOOKUP('Données projet'!$B$9,Paramètres!$A$1:$I$89,3,0)*VLOOKUP('Données projet'!$B$9,Paramètres!$A$1:$I$89,5,0)</f>
        <v>56.411333333333339</v>
      </c>
      <c r="P18" s="14">
        <f t="shared" si="33"/>
        <v>16.257710461388346</v>
      </c>
      <c r="Q18" s="22">
        <f t="shared" si="2"/>
        <v>126.56525127580693</v>
      </c>
      <c r="R18" s="62">
        <f t="shared" si="0"/>
        <v>419.89858460914024</v>
      </c>
      <c r="S18" s="62">
        <f ca="1">AVERAGE(OFFSET($R$3,0,0,'Données projet'!$E$9+1,1))-AVERAGE(OFFSET($H$3,0,0,'Données projet'!$E$9+1,1))</f>
        <v>157.98488572680344</v>
      </c>
      <c r="T18" s="62">
        <f t="shared" si="34"/>
        <v>269.20989374735825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5.0780618544062008</v>
      </c>
      <c r="AC18" s="24">
        <f t="shared" si="3"/>
        <v>5.0780618544062008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5.2</v>
      </c>
      <c r="AI18" s="14">
        <f>IF('Données projet'!$A$62&gt;35,AI17+AH18-AQ17,IF(A18&lt;'Données projet'!$A$62,$AF$205^A18,IF(A18='Données projet'!$A$62,'Données projet'!$B$62,AI17+AH18-AQ17)))</f>
        <v>32.56679380638046</v>
      </c>
      <c r="AJ18" s="14">
        <f>AI18*VLOOKUP('Données projet'!$B$10,Paramètres!$A$1:$I$89,3,0)*VLOOKUP('Données projet'!$B$10,Paramètres!$A$1:$I$89,5,0)</f>
        <v>28.450351069253973</v>
      </c>
      <c r="AK18" s="14">
        <f t="shared" si="35"/>
        <v>8.8794056026224197</v>
      </c>
      <c r="AL18" s="22">
        <f t="shared" si="4"/>
        <v>65.015992870184718</v>
      </c>
      <c r="AM18" s="62">
        <f t="shared" si="5"/>
        <v>358.34932620351805</v>
      </c>
      <c r="AN18" s="62">
        <f ca="1">AVERAGE(OFFSET($AM$3,0,0,'Données projet'!$E$10+1,1))-AVERAGE(OFFSET($H$3,0,0,'Données projet'!$E$10+1,1))</f>
        <v>205.97834462530136</v>
      </c>
      <c r="AO18" s="62">
        <f t="shared" si="36"/>
        <v>235.08005253775002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2.85</v>
      </c>
      <c r="BD18" s="13">
        <f>IF('Données projet'!$A$88&gt;35,BD17+BC18-BL17,IF(A18&lt;'Données projet'!$A$88,$BA$205^A18,IF(A18='Données projet'!$A$88,'Données projet'!$B$88,BD17+BC18-BL17)))</f>
        <v>20.744651426583019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17.166666666666668</v>
      </c>
      <c r="N19" s="14">
        <f>IF('Données projet'!$A$36&gt;35,N18+M19-V18,IF(A19&lt;'Données projet'!$A$36,$K$205^A19,IF(A19='Données projet'!$A$36,'Données projet'!$B$36,N18+M19-V18)))</f>
        <v>111.50000000000001</v>
      </c>
      <c r="O19" s="14">
        <f>N19*VLOOKUP('Données projet'!$B$9,Paramètres!$A$1:$I$89,3,0)*VLOOKUP('Données projet'!$B$9,Paramètres!$A$1:$I$89,5,0)</f>
        <v>66.677000000000007</v>
      </c>
      <c r="P19" s="14">
        <f t="shared" si="33"/>
        <v>18.845918291779732</v>
      </c>
      <c r="Q19" s="22">
        <f t="shared" si="2"/>
        <v>148.95241602484973</v>
      </c>
      <c r="R19" s="62">
        <f t="shared" si="0"/>
        <v>442.28574935818301</v>
      </c>
      <c r="S19" s="62">
        <f ca="1">AVERAGE(OFFSET($R$3,0,0,'Données projet'!$E$9+1,1))-AVERAGE(OFFSET($H$3,0,0,'Données projet'!$E$9+1,1))</f>
        <v>157.98488572680344</v>
      </c>
      <c r="T19" s="62">
        <f t="shared" si="34"/>
        <v>269.20989374735825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3.5907319725353593</v>
      </c>
      <c r="AC19" s="24">
        <f t="shared" si="3"/>
        <v>3.5907319725353593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5.2</v>
      </c>
      <c r="AI19" s="14">
        <f>IF('Données projet'!$A$62&gt;35,AI18+AH19-AQ18,IF(A19&lt;'Données projet'!$A$62,$AF$205^A19,IF(A19='Données projet'!$A$62,'Données projet'!$B$62,AI18+AH19-AQ18)))</f>
        <v>41.079644012645062</v>
      </c>
      <c r="AJ19" s="14">
        <f>AI19*VLOOKUP('Données projet'!$B$10,Paramètres!$A$1:$I$89,3,0)*VLOOKUP('Données projet'!$B$10,Paramètres!$A$1:$I$89,5,0)</f>
        <v>35.887177009446731</v>
      </c>
      <c r="AK19" s="14">
        <f t="shared" si="35"/>
        <v>10.90175524635071</v>
      </c>
      <c r="AL19" s="22">
        <f t="shared" si="4"/>
        <v>81.490723678847203</v>
      </c>
      <c r="AM19" s="62">
        <f t="shared" si="5"/>
        <v>374.8240570121805</v>
      </c>
      <c r="AN19" s="62">
        <f ca="1">AVERAGE(OFFSET($AM$3,0,0,'Données projet'!$E$10+1,1))-AVERAGE(OFFSET($H$3,0,0,'Données projet'!$E$10+1,1))</f>
        <v>205.97834462530136</v>
      </c>
      <c r="AO19" s="62">
        <f t="shared" si="36"/>
        <v>235.08005253775002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2.85</v>
      </c>
      <c r="BD19" s="13">
        <f>IF('Données projet'!$A$88&gt;35,BD18+BC19-BL18,IF(A19&lt;'Données projet'!$A$88,$BA$205^A19,IF(A19='Données projet'!$A$88,'Données projet'!$B$88,BD18+BC19-BL18)))</f>
        <v>25.392173948075062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17.166666666666668</v>
      </c>
      <c r="N20" s="14">
        <f>IF('Données projet'!$A$36&gt;35,N19+M20-V19,IF(A20&lt;'Données projet'!$A$36,$K$205^A20,IF(A20='Données projet'!$A$36,'Données projet'!$B$36,N19+M20-V19)))</f>
        <v>128.66666666666669</v>
      </c>
      <c r="O20" s="14">
        <f>N20*VLOOKUP('Données projet'!$B$9,Paramètres!$A$1:$I$89,3,0)*VLOOKUP('Données projet'!$B$9,Paramètres!$A$1:$I$89,5,0)</f>
        <v>76.942666666666682</v>
      </c>
      <c r="P20" s="14">
        <f t="shared" si="33"/>
        <v>21.387963426287346</v>
      </c>
      <c r="Q20" s="22">
        <f t="shared" si="2"/>
        <v>171.25918074522826</v>
      </c>
      <c r="R20" s="62">
        <f t="shared" si="0"/>
        <v>464.59251407856158</v>
      </c>
      <c r="S20" s="62">
        <f ca="1">AVERAGE(OFFSET($R$3,0,0,'Données projet'!$E$9+1,1))-AVERAGE(OFFSET($H$3,0,0,'Données projet'!$E$9+1,1))</f>
        <v>157.98488572680344</v>
      </c>
      <c r="T20" s="62">
        <f t="shared" si="34"/>
        <v>269.20989374735825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2.5390309272031004</v>
      </c>
      <c r="AC20" s="24">
        <f t="shared" si="3"/>
        <v>2.5390309272031004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5.2</v>
      </c>
      <c r="AI20" s="14">
        <f>IF('Données projet'!$A$62&gt;35,AI19+AH20-AQ19,IF(A20&lt;'Données projet'!$A$62,$AF$205^A20,IF(A20='Données projet'!$A$62,'Données projet'!$B$62,AI19+AH20-AQ19)))</f>
        <v>51.817724588996064</v>
      </c>
      <c r="AJ20" s="14">
        <f>AI20*VLOOKUP('Données projet'!$B$10,Paramètres!$A$1:$I$89,3,0)*VLOOKUP('Données projet'!$B$10,Paramètres!$A$1:$I$89,5,0)</f>
        <v>45.26796420094697</v>
      </c>
      <c r="AK20" s="14">
        <f t="shared" si="35"/>
        <v>13.384709829702446</v>
      </c>
      <c r="AL20" s="22">
        <f t="shared" si="4"/>
        <v>102.15340727004774</v>
      </c>
      <c r="AM20" s="62">
        <f t="shared" si="5"/>
        <v>395.48674060338107</v>
      </c>
      <c r="AN20" s="62">
        <f ca="1">AVERAGE(OFFSET($AM$3,0,0,'Données projet'!$E$10+1,1))-AVERAGE(OFFSET($H$3,0,0,'Données projet'!$E$10+1,1))</f>
        <v>205.97834462530136</v>
      </c>
      <c r="AO20" s="62">
        <f t="shared" si="36"/>
        <v>235.08005253775002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2.85</v>
      </c>
      <c r="BD20" s="13">
        <f>IF('Données projet'!$A$88&gt;35,BD19+BC20-BL19,IF(A20&lt;'Données projet'!$A$88,$BA$205^A20,IF(A20='Données projet'!$A$88,'Données projet'!$B$88,BD19+BC20-BL19)))</f>
        <v>31.080902954246678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17.166666666666668</v>
      </c>
      <c r="N21" s="14">
        <f>IF('Données projet'!$A$36&gt;35,N20+M21-V20,IF(A21&lt;'Données projet'!$A$36,$K$205^A21,IF(A21='Données projet'!$A$36,'Données projet'!$B$36,N20+M21-V20)))</f>
        <v>145.83333333333334</v>
      </c>
      <c r="O21" s="14">
        <f>N21*VLOOKUP('Données projet'!$B$9,Paramètres!$A$1:$I$89,3,0)*VLOOKUP('Données projet'!$B$9,Paramètres!$A$1:$I$89,5,0)</f>
        <v>87.208333333333343</v>
      </c>
      <c r="P21" s="14">
        <f t="shared" si="33"/>
        <v>23.890712489742075</v>
      </c>
      <c r="Q21" s="22">
        <f t="shared" si="2"/>
        <v>193.49750480852299</v>
      </c>
      <c r="R21" s="62">
        <f t="shared" si="0"/>
        <v>486.8308381418563</v>
      </c>
      <c r="S21" s="62">
        <f ca="1">AVERAGE(OFFSET($R$3,0,0,'Données projet'!$E$9+1,1))-AVERAGE(OFFSET($H$3,0,0,'Données projet'!$E$9+1,1))</f>
        <v>157.98488572680344</v>
      </c>
      <c r="T21" s="62">
        <f t="shared" si="34"/>
        <v>269.20989374735825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1.7953659862676796</v>
      </c>
      <c r="AC21" s="24">
        <f t="shared" si="3"/>
        <v>1.7953659862676796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5.2</v>
      </c>
      <c r="AI21" s="14">
        <f>IF('Données projet'!$A$62&gt;35,AI20+AH21-AQ20,IF(A21&lt;'Données projet'!$A$62,$AF$205^A21,IF(A21='Données projet'!$A$62,'Données projet'!$B$62,AI20+AH21-AQ20)))</f>
        <v>65.362703258931163</v>
      </c>
      <c r="AJ21" s="14">
        <f>AI21*VLOOKUP('Données projet'!$B$10,Paramètres!$A$1:$I$89,3,0)*VLOOKUP('Données projet'!$B$10,Paramètres!$A$1:$I$89,5,0)</f>
        <v>57.100857567002279</v>
      </c>
      <c r="AK21" s="14">
        <f t="shared" si="35"/>
        <v>16.433175500367497</v>
      </c>
      <c r="AL21" s="22">
        <f t="shared" si="4"/>
        <v>128.07177425900235</v>
      </c>
      <c r="AM21" s="62">
        <f t="shared" si="5"/>
        <v>421.40510759233564</v>
      </c>
      <c r="AN21" s="62">
        <f ca="1">AVERAGE(OFFSET($AM$3,0,0,'Données projet'!$E$10+1,1))-AVERAGE(OFFSET($H$3,0,0,'Données projet'!$E$10+1,1))</f>
        <v>205.97834462530136</v>
      </c>
      <c r="AO21" s="62">
        <f t="shared" si="36"/>
        <v>235.08005253775002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2.85</v>
      </c>
      <c r="BD21" s="13">
        <f>IF('Données projet'!$A$88&gt;35,BD20+BC21-BL20,IF(A21&lt;'Données projet'!$A$88,$BA$205^A21,IF(A21='Données projet'!$A$88,'Données projet'!$B$88,BD20+BC21-BL20)))</f>
        <v>38.044104865803838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163</v>
      </c>
      <c r="L22" s="13">
        <f>VLOOKUP(A22,'Données projet'!$A$35:$I$55,9,0)</f>
        <v>17.166666666666668</v>
      </c>
      <c r="M22" s="13">
        <f t="array" ref="M22">INDEX(L:L,MIN(IF(ISNUMBER(L22:L218),ROW(L22:L218),"")))</f>
        <v>17.166666666666668</v>
      </c>
      <c r="N22" s="14">
        <f>IF('Données projet'!$A$36&gt;35,N21+M22-V21,IF(A22&lt;'Données projet'!$A$36,$K$205^A22,IF(A22='Données projet'!$A$36,'Données projet'!$B$36,N21+M22-V21)))</f>
        <v>163</v>
      </c>
      <c r="O22" s="14">
        <f>N22*VLOOKUP('Données projet'!$B$9,Paramètres!$A$1:$I$89,3,0)*VLOOKUP('Données projet'!$B$9,Paramètres!$A$1:$I$89,5,0)</f>
        <v>97.474000000000004</v>
      </c>
      <c r="P22" s="14">
        <f t="shared" si="33"/>
        <v>26.359319748929014</v>
      </c>
      <c r="Q22" s="22">
        <f t="shared" si="2"/>
        <v>215.67636522938469</v>
      </c>
      <c r="R22" s="62">
        <f t="shared" si="0"/>
        <v>509.00969856271797</v>
      </c>
      <c r="S22" s="62">
        <f ca="1">AVERAGE(OFFSET($R$3,0,0,'Données projet'!$E$9+1,1))-AVERAGE(OFFSET($H$3,0,0,'Données projet'!$E$9+1,1))</f>
        <v>157.98488572680344</v>
      </c>
      <c r="T22" s="62">
        <f t="shared" si="34"/>
        <v>269.20989374735825</v>
      </c>
      <c r="U22" s="16">
        <f>IF(ISNA(VLOOKUP(A22,'Données projet'!$A$35:$I$55,3,0)),0,VLOOKUP(A22,'Données projet'!$A$35:$I$55,3,0))</f>
        <v>2</v>
      </c>
      <c r="V22" s="16">
        <f>IF(ISNA(VLOOKUP(A22,'Données projet'!$A$35:$I$55,4,0)),0,VLOOKUP(A22,'Données projet'!$A$35:$I$55,4,0))</f>
        <v>40</v>
      </c>
      <c r="W22" s="17">
        <f>IF(ISNA(VLOOKUP(A22,'Données projet'!$A$35:$I$55,5,0)),0%,VLOOKUP(A22,'Données projet'!$A$35:$I$55,5,0)*VLOOKUP('Données projet'!$B$9,Paramètres!$A$1:$I$89,7,0))</f>
        <v>0.13500000000000001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0.7</v>
      </c>
      <c r="Z22" s="23">
        <f>EXP(-LN(2)/35)*Z21+(1-EXP(-LN(2)/35))/(LN(2)/35)*V22*W22*VLOOKUP('Données projet'!$B$9,Paramètres!$A$1:$I$89,3,0)*0.475*44/12</f>
        <v>4.2837419395053642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20.227613053384697</v>
      </c>
      <c r="AC22" s="24">
        <f t="shared" si="3"/>
        <v>24.511354992890062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5.2</v>
      </c>
      <c r="AI22" s="14">
        <f>IF('Données projet'!$A$62&gt;35,AI21+AH22-AQ21,IF(A22&lt;'Données projet'!$A$62,$AF$205^A22,IF(A22='Données projet'!$A$62,'Données projet'!$B$62,AI21+AH22-AQ21)))</f>
        <v>82.448293729639104</v>
      </c>
      <c r="AJ22" s="14">
        <f>AI22*VLOOKUP('Données projet'!$B$10,Paramètres!$A$1:$I$89,3,0)*VLOOKUP('Données projet'!$B$10,Paramètres!$A$1:$I$89,5,0)</f>
        <v>72.026829402212726</v>
      </c>
      <c r="AK22" s="14">
        <f t="shared" si="35"/>
        <v>20.175951549327085</v>
      </c>
      <c r="AL22" s="22">
        <f t="shared" si="4"/>
        <v>160.58651015726517</v>
      </c>
      <c r="AM22" s="62">
        <f t="shared" si="5"/>
        <v>453.91984349059851</v>
      </c>
      <c r="AN22" s="62">
        <f ca="1">AVERAGE(OFFSET($AM$3,0,0,'Données projet'!$E$10+1,1))-AVERAGE(OFFSET($H$3,0,0,'Données projet'!$E$10+1,1))</f>
        <v>205.97834462530136</v>
      </c>
      <c r="AO22" s="62">
        <f t="shared" si="36"/>
        <v>235.08005253775002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2.85</v>
      </c>
      <c r="BD22" s="13">
        <f>IF('Données projet'!$A$88&gt;35,BD21+BC22-BL21,IF(A22&lt;'Données projet'!$A$88,$BA$205^A22,IF(A22='Données projet'!$A$88,'Données projet'!$B$88,BD21+BC22-BL21)))</f>
        <v>46.567305884609858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16.5</v>
      </c>
      <c r="N23" s="14">
        <f>IF('Données projet'!$A$36&gt;35,N22+M23-V22,IF(A23&lt;'Données projet'!$A$36,$K$205^A23,IF(A23='Données projet'!$A$36,'Données projet'!$B$36,N22+M23-V22)))</f>
        <v>139.5</v>
      </c>
      <c r="O23" s="14">
        <f>N23*VLOOKUP('Données projet'!$B$9,Paramètres!$A$1:$I$89,3,0)*VLOOKUP('Données projet'!$B$9,Paramètres!$A$1:$I$89,5,0)</f>
        <v>83.421000000000006</v>
      </c>
      <c r="P23" s="14">
        <f t="shared" si="33"/>
        <v>22.97158706718762</v>
      </c>
      <c r="Q23" s="22">
        <f t="shared" si="2"/>
        <v>185.30042247535178</v>
      </c>
      <c r="R23" s="62">
        <f t="shared" si="0"/>
        <v>478.63375580868512</v>
      </c>
      <c r="S23" s="62">
        <f ca="1">AVERAGE(OFFSET($R$3,0,0,'Données projet'!$E$9+1,1))-AVERAGE(OFFSET($H$3,0,0,'Données projet'!$E$9+1,1))</f>
        <v>157.98488572680344</v>
      </c>
      <c r="T23" s="62">
        <f t="shared" si="34"/>
        <v>269.20989374735825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4.1997403728962519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14.303082357265847</v>
      </c>
      <c r="AC23" s="24">
        <f t="shared" si="3"/>
        <v>18.502822730162098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104</v>
      </c>
      <c r="AG23" s="13">
        <f>VLOOKUP(A23,'Données projet'!$A$61:$I$81,9,0)</f>
        <v>5.2</v>
      </c>
      <c r="AH23" s="13">
        <f t="array" ref="AH23">INDEX(AG:AG,MIN(IF(ISNUMBER(AG23:AG219),ROW(AG23:AG219),"")))</f>
        <v>5.2</v>
      </c>
      <c r="AI23" s="14">
        <f>IF('Données projet'!$A$62&gt;35,AI22+AH23-AQ22,IF(A23&lt;'Données projet'!$A$62,$AF$205^A23,IF(A23='Données projet'!$A$62,'Données projet'!$B$62,AI22+AH23-AQ22)))</f>
        <v>104</v>
      </c>
      <c r="AJ23" s="14">
        <f>AI23*VLOOKUP('Données projet'!$B$10,Paramètres!$A$1:$I$89,3,0)*VLOOKUP('Données projet'!$B$10,Paramètres!$A$1:$I$89,5,0)</f>
        <v>90.854400000000012</v>
      </c>
      <c r="AK23" s="14">
        <f t="shared" si="35"/>
        <v>24.771172249191284</v>
      </c>
      <c r="AL23" s="22">
        <f t="shared" si="4"/>
        <v>201.38120500067484</v>
      </c>
      <c r="AM23" s="62">
        <f t="shared" si="5"/>
        <v>494.71453833400813</v>
      </c>
      <c r="AN23" s="62">
        <f ca="1">AVERAGE(OFFSET($AM$3,0,0,'Données projet'!$E$10+1,1))-AVERAGE(OFFSET($H$3,0,0,'Données projet'!$E$10+1,1))</f>
        <v>205.97834462530136</v>
      </c>
      <c r="AO23" s="62">
        <f t="shared" si="36"/>
        <v>235.08005253775002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32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>
        <f>VLOOKUP(A23,'Données projet'!$A$87:$I$107,2,0)</f>
        <v>57</v>
      </c>
      <c r="BB23" s="13">
        <f>VLOOKUP(A23,'Données projet'!$A$87:$I$107,9,0)</f>
        <v>2.85</v>
      </c>
      <c r="BC23" s="13">
        <f t="array" ref="BC23">INDEX(BB:BB,MIN(IF(ISNUMBER(BB23:BB219),ROW(BB23:BB219),"")))</f>
        <v>2.85</v>
      </c>
      <c r="BD23" s="13">
        <f>IF('Données projet'!$A$88&gt;35,BD22+BC23-BL22,IF(A23&lt;'Données projet'!$A$88,$BA$205^A23,IF(A23='Données projet'!$A$88,'Données projet'!$B$88,BD22+BC23-BL22)))</f>
        <v>57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4</v>
      </c>
      <c r="BM23" s="17" t="e">
        <f>IF(ISNA(VLOOKUP(A23,'Données projet'!$A$87:$I$107,5,0)),0%,VLOOKUP(A23,'Données projet'!$A$87:$I$107,5,0)*VLOOKUP('Données projet'!$B$11,Paramètres!$A$1:$I$89,7,0))</f>
        <v>#N/A</v>
      </c>
      <c r="BN23" s="17" t="e">
        <f>IF(ISNA(VLOOKUP(A23,'Données projet'!$A$87:$I$107,6,0)),0%,VLOOKUP(A23,'Données projet'!$A$87:$I$107,6,0)*VLOOKUP('Données projet'!$B$11,Paramètres!$A$1:$I$89,7,0))</f>
        <v>#N/A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16.5</v>
      </c>
      <c r="N24" s="14">
        <f>IF('Données projet'!$A$36&gt;35,N23+M24-V23,IF(A24&lt;'Données projet'!$A$36,$K$205^A24,IF(A24='Données projet'!$A$36,'Données projet'!$B$36,N23+M24-V23)))</f>
        <v>156</v>
      </c>
      <c r="O24" s="14">
        <f>N24*VLOOKUP('Données projet'!$B$9,Paramètres!$A$1:$I$89,3,0)*VLOOKUP('Données projet'!$B$9,Paramètres!$A$1:$I$89,5,0)</f>
        <v>93.288000000000011</v>
      </c>
      <c r="P24" s="14">
        <f t="shared" si="33"/>
        <v>25.356547829040977</v>
      </c>
      <c r="Q24" s="22">
        <f t="shared" si="2"/>
        <v>206.63925413557971</v>
      </c>
      <c r="R24" s="62">
        <f t="shared" si="0"/>
        <v>499.97258746891305</v>
      </c>
      <c r="S24" s="62">
        <f ca="1">AVERAGE(OFFSET($R$3,0,0,'Données projet'!$E$9+1,1))-AVERAGE(OFFSET($H$3,0,0,'Données projet'!$E$9+1,1))</f>
        <v>157.98488572680344</v>
      </c>
      <c r="T24" s="62">
        <f t="shared" si="34"/>
        <v>269.20989374735825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4.1173860257724479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10.11380652669235</v>
      </c>
      <c r="AC24" s="24">
        <f t="shared" si="3"/>
        <v>14.231192552464798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10.6</v>
      </c>
      <c r="AI24" s="14">
        <f>IF('Données projet'!$A$62&gt;35,AI23+AH24-AQ23,IF(A24&lt;'Données projet'!$A$62,$AF$205^A24,IF(A24='Données projet'!$A$62,'Données projet'!$B$62,AI23+AH24-AQ23)))</f>
        <v>82.6</v>
      </c>
      <c r="AJ24" s="14">
        <f>AI24*VLOOKUP('Données projet'!$B$10,Paramètres!$A$1:$I$89,3,0)*VLOOKUP('Données projet'!$B$10,Paramètres!$A$1:$I$89,5,0)</f>
        <v>72.159360000000007</v>
      </c>
      <c r="AK24" s="14">
        <f t="shared" si="35"/>
        <v>20.208750890014226</v>
      </c>
      <c r="AL24" s="22">
        <f t="shared" si="4"/>
        <v>160.8744598001081</v>
      </c>
      <c r="AM24" s="62">
        <f t="shared" si="5"/>
        <v>454.20779313344144</v>
      </c>
      <c r="AN24" s="62">
        <f ca="1">AVERAGE(OFFSET($AM$3,0,0,'Données projet'!$E$10+1,1))-AVERAGE(OFFSET($H$3,0,0,'Données projet'!$E$10+1,1))</f>
        <v>205.97834462530136</v>
      </c>
      <c r="AO24" s="62">
        <f t="shared" si="36"/>
        <v>235.08005253775002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7.4</v>
      </c>
      <c r="BD24" s="13">
        <f>IF('Données projet'!$A$88&gt;35,BD23+BC24-BL23,IF(A24&lt;'Données projet'!$A$88,$BA$205^A24,IF(A24='Données projet'!$A$88,'Données projet'!$B$88,BD23+BC24-BL23)))</f>
        <v>60.400000000000006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16.5</v>
      </c>
      <c r="N25" s="14">
        <f>IF('Données projet'!$A$36&gt;35,N24+M25-V24,IF(A25&lt;'Données projet'!$A$36,$K$205^A25,IF(A25='Données projet'!$A$36,'Données projet'!$B$36,N24+M25-V24)))</f>
        <v>172.5</v>
      </c>
      <c r="O25" s="14">
        <f>N25*VLOOKUP('Données projet'!$B$9,Paramètres!$A$1:$I$89,3,0)*VLOOKUP('Données projet'!$B$9,Paramètres!$A$1:$I$89,5,0)</f>
        <v>103.15500000000002</v>
      </c>
      <c r="P25" s="14">
        <f t="shared" si="33"/>
        <v>27.71226857071613</v>
      </c>
      <c r="Q25" s="22">
        <f t="shared" si="2"/>
        <v>227.92715942733059</v>
      </c>
      <c r="R25" s="62">
        <f t="shared" si="0"/>
        <v>521.26049276066396</v>
      </c>
      <c r="S25" s="62">
        <f ca="1">AVERAGE(OFFSET($R$3,0,0,'Données projet'!$E$9+1,1))-AVERAGE(OFFSET($H$3,0,0,'Données projet'!$E$9+1,1))</f>
        <v>157.98488572680344</v>
      </c>
      <c r="T25" s="62">
        <f t="shared" si="34"/>
        <v>269.20989374735825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4.03664659716455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7.1515411786329244</v>
      </c>
      <c r="AC25" s="24">
        <f t="shared" si="3"/>
        <v>11.188187775797473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10.6</v>
      </c>
      <c r="AI25" s="14">
        <f>IF('Données projet'!$A$62&gt;35,AI24+AH25-AQ24,IF(A25&lt;'Données projet'!$A$62,$AF$205^A25,IF(A25='Données projet'!$A$62,'Données projet'!$B$62,AI24+AH25-AQ24)))</f>
        <v>93.199999999999989</v>
      </c>
      <c r="AJ25" s="14">
        <f>AI25*VLOOKUP('Données projet'!$B$10,Paramètres!$A$1:$I$89,3,0)*VLOOKUP('Données projet'!$B$10,Paramètres!$A$1:$I$89,5,0)</f>
        <v>81.419520000000006</v>
      </c>
      <c r="AK25" s="14">
        <f t="shared" si="35"/>
        <v>22.483908063290368</v>
      </c>
      <c r="AL25" s="22">
        <f t="shared" si="4"/>
        <v>180.96513721023075</v>
      </c>
      <c r="AM25" s="62">
        <f t="shared" si="5"/>
        <v>474.29847054356406</v>
      </c>
      <c r="AN25" s="62">
        <f ca="1">AVERAGE(OFFSET($AM$3,0,0,'Données projet'!$E$10+1,1))-AVERAGE(OFFSET($H$3,0,0,'Données projet'!$E$10+1,1))</f>
        <v>205.97834462530136</v>
      </c>
      <c r="AO25" s="62">
        <f t="shared" si="36"/>
        <v>235.08005253775002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7.4</v>
      </c>
      <c r="BD25" s="13">
        <f>IF('Données projet'!$A$88&gt;35,BD24+BC25-BL24,IF(A25&lt;'Données projet'!$A$88,$BA$205^A25,IF(A25='Données projet'!$A$88,'Données projet'!$B$88,BD24+BC25-BL24)))</f>
        <v>67.800000000000011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189</v>
      </c>
      <c r="O26" s="14">
        <f>N26*VLOOKUP('Données projet'!$B$9,Paramètres!$A$1:$I$89,3,0)*VLOOKUP('Données projet'!$B$9,Paramètres!$A$1:$I$89,5,0)</f>
        <v>113.02200000000001</v>
      </c>
      <c r="P26" s="14">
        <f t="shared" si="33"/>
        <v>30.041864379091852</v>
      </c>
      <c r="Q26" s="22">
        <f t="shared" si="2"/>
        <v>249.16956379358496</v>
      </c>
      <c r="R26" s="62">
        <f t="shared" si="0"/>
        <v>542.50289712691824</v>
      </c>
      <c r="S26" s="62">
        <f ca="1">AVERAGE(OFFSET($R$3,0,0,'Données projet'!$E$9+1,1))-AVERAGE(OFFSET($H$3,0,0,'Données projet'!$E$9+1,1))</f>
        <v>157.98488572680344</v>
      </c>
      <c r="T26" s="62">
        <f t="shared" si="34"/>
        <v>269.20989374735825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3.9574904195054641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5.0569032633461761</v>
      </c>
      <c r="AC26" s="24">
        <f t="shared" si="3"/>
        <v>9.0143936828516402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10.6</v>
      </c>
      <c r="AI26" s="14">
        <f>IF('Données projet'!$A$62&gt;35,AI25+AH26-AQ25,IF(A26&lt;'Données projet'!$A$62,$AF$205^A26,IF(A26='Données projet'!$A$62,'Données projet'!$B$62,AI25+AH26-AQ25)))</f>
        <v>103.79999999999998</v>
      </c>
      <c r="AJ26" s="14">
        <f>AI26*VLOOKUP('Données projet'!$B$10,Paramètres!$A$1:$I$89,3,0)*VLOOKUP('Données projet'!$B$10,Paramètres!$A$1:$I$89,5,0)</f>
        <v>90.679679999999991</v>
      </c>
      <c r="AK26" s="14">
        <f t="shared" si="35"/>
        <v>24.729075596681458</v>
      </c>
      <c r="AL26" s="22">
        <f t="shared" si="4"/>
        <v>201.00358266422018</v>
      </c>
      <c r="AM26" s="62">
        <f t="shared" si="5"/>
        <v>494.33691599755349</v>
      </c>
      <c r="AN26" s="62">
        <f ca="1">AVERAGE(OFFSET($AM$3,0,0,'Données projet'!$E$10+1,1))-AVERAGE(OFFSET($H$3,0,0,'Données projet'!$E$10+1,1))</f>
        <v>205.97834462530136</v>
      </c>
      <c r="AO26" s="62">
        <f t="shared" si="36"/>
        <v>235.08005253775002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7.4</v>
      </c>
      <c r="BD26" s="13">
        <f>IF('Données projet'!$A$88&gt;35,BD25+BC26-BL25,IF(A26&lt;'Données projet'!$A$88,$BA$205^A26,IF(A26='Données projet'!$A$88,'Données projet'!$B$88,BD25+BC26-BL25)))</f>
        <v>75.200000000000017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16.5</v>
      </c>
      <c r="N27" s="14">
        <f>IF('Données projet'!$A$36&gt;35,N26+M27-V26,IF(A27&lt;'Données projet'!$A$36,$K$205^A27,IF(A27='Données projet'!$A$36,'Données projet'!$B$36,N26+M27-V26)))</f>
        <v>205.5</v>
      </c>
      <c r="O27" s="14">
        <f>N27*VLOOKUP('Données projet'!$B$9,Paramètres!$A$1:$I$89,3,0)*VLOOKUP('Données projet'!$B$9,Paramètres!$A$1:$I$89,5,0)</f>
        <v>122.88900000000001</v>
      </c>
      <c r="P27" s="14">
        <f t="shared" si="33"/>
        <v>32.347875332170432</v>
      </c>
      <c r="Q27" s="22">
        <f t="shared" si="2"/>
        <v>270.37089120353011</v>
      </c>
      <c r="R27" s="62">
        <f t="shared" si="0"/>
        <v>563.70422453686342</v>
      </c>
      <c r="S27" s="62">
        <f ca="1">AVERAGE(OFFSET($R$3,0,0,'Données projet'!$E$9+1,1))-AVERAGE(OFFSET($H$3,0,0,'Données projet'!$E$9+1,1))</f>
        <v>157.98488572680344</v>
      </c>
      <c r="T27" s="62">
        <f t="shared" si="34"/>
        <v>269.20989374735825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3.8798864462097717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3.5757705893164631</v>
      </c>
      <c r="AC27" s="24">
        <f t="shared" si="3"/>
        <v>7.4556570355262348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10.6</v>
      </c>
      <c r="AI27" s="14">
        <f>IF('Données projet'!$A$62&gt;35,AI26+AH27-AQ26,IF(A27&lt;'Données projet'!$A$62,$AF$205^A27,IF(A27='Données projet'!$A$62,'Données projet'!$B$62,AI26+AH27-AQ26)))</f>
        <v>114.39999999999998</v>
      </c>
      <c r="AJ27" s="14">
        <f>AI27*VLOOKUP('Données projet'!$B$10,Paramètres!$A$1:$I$89,3,0)*VLOOKUP('Données projet'!$B$10,Paramètres!$A$1:$I$89,5,0)</f>
        <v>99.93983999999999</v>
      </c>
      <c r="AK27" s="14">
        <f t="shared" si="35"/>
        <v>26.947664756006528</v>
      </c>
      <c r="AL27" s="22">
        <f t="shared" si="4"/>
        <v>220.99573745004466</v>
      </c>
      <c r="AM27" s="62">
        <f t="shared" si="5"/>
        <v>514.32907078337803</v>
      </c>
      <c r="AN27" s="62">
        <f ca="1">AVERAGE(OFFSET($AM$3,0,0,'Données projet'!$E$10+1,1))-AVERAGE(OFFSET($H$3,0,0,'Données projet'!$E$10+1,1))</f>
        <v>205.97834462530136</v>
      </c>
      <c r="AO27" s="62">
        <f t="shared" si="36"/>
        <v>235.08005253775002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7.4</v>
      </c>
      <c r="BD27" s="13">
        <f>IF('Données projet'!$A$88&gt;35,BD26+BC27-BL26,IF(A27&lt;'Données projet'!$A$88,$BA$205^A27,IF(A27='Données projet'!$A$88,'Données projet'!$B$88,BD26+BC27-BL26)))</f>
        <v>82.600000000000023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222</v>
      </c>
      <c r="L28" s="13">
        <f>VLOOKUP(A28,'Données projet'!$A$35:$I$55,9,0)</f>
        <v>16.5</v>
      </c>
      <c r="M28" s="13">
        <f t="array" ref="M28">INDEX(L:L,MIN(IF(ISNUMBER(L28:L224),ROW(L28:L224),"")))</f>
        <v>16.5</v>
      </c>
      <c r="N28" s="14">
        <f>IF('Données projet'!$A$36&gt;35,N27+M28-V27,IF(A28&lt;'Données projet'!$A$36,$K$205^A28,IF(A28='Données projet'!$A$36,'Données projet'!$B$36,N27+M28-V27)))</f>
        <v>222</v>
      </c>
      <c r="O28" s="14">
        <f>N28*VLOOKUP('Données projet'!$B$9,Paramètres!$A$1:$I$89,3,0)*VLOOKUP('Données projet'!$B$9,Paramètres!$A$1:$I$89,5,0)</f>
        <v>132.756</v>
      </c>
      <c r="P28" s="14">
        <f t="shared" si="33"/>
        <v>34.632410397339967</v>
      </c>
      <c r="Q28" s="22">
        <f t="shared" si="2"/>
        <v>291.53481477536712</v>
      </c>
      <c r="R28" s="62">
        <f t="shared" si="0"/>
        <v>584.86814810870044</v>
      </c>
      <c r="S28" s="62">
        <f ca="1">AVERAGE(OFFSET($R$3,0,0,'Données projet'!$E$9+1,1))-AVERAGE(OFFSET($H$3,0,0,'Données projet'!$E$9+1,1))</f>
        <v>157.98488572680344</v>
      </c>
      <c r="T28" s="62">
        <f t="shared" si="34"/>
        <v>269.20989374735825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0.18000000000000002</v>
      </c>
      <c r="X28" s="17">
        <f>IF(ISNA(VLOOKUP(A28,'Données projet'!$A$35:$I$55,6,0)),0%,VLOOKUP(A28,'Données projet'!$A$35:$I$55,6,0)*VLOOKUP('Données projet'!$B$9,Paramètres!$A$1:$I$89,7,0))</f>
        <v>9.0000000000000011E-2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11.514539730606312</v>
      </c>
      <c r="AA28" s="23">
        <f>EXP(-LN(2)/25)*AA27+(1-EXP(-LN(2)/25))/(LN(2)/25)*Calculateur!V28*Calculateur!X28*VLOOKUP('Données projet'!$B$9,Paramètres!$A$1:$I$89,3,0)*0.475*44/12</f>
        <v>3.8401876937302988</v>
      </c>
      <c r="AB28" s="23">
        <f>EXP(-LN(2)/2)*AB27+(1-EXP(-LN(2)/2))/(LN(2)/2)*V28*Y28*VLOOKUP('Données projet'!$B$9,Paramètres!$A$1:$I$89,3,0)*0.475*44/12</f>
        <v>17.153269772362943</v>
      </c>
      <c r="AC28" s="24">
        <f t="shared" si="3"/>
        <v>32.507997196699556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125</v>
      </c>
      <c r="AG28" s="13">
        <f>VLOOKUP(A28,'Données projet'!$A$61:$I$81,9,0)</f>
        <v>10.6</v>
      </c>
      <c r="AH28" s="13">
        <f t="array" ref="AH28">INDEX(AG:AG,MIN(IF(ISNUMBER(AG28:AG224),ROW(AG28:AG224),"")))</f>
        <v>10.6</v>
      </c>
      <c r="AI28" s="14">
        <f>IF('Données projet'!$A$62&gt;35,AI27+AH28-AQ27,IF(A28&lt;'Données projet'!$A$62,$AF$205^A28,IF(A28='Données projet'!$A$62,'Données projet'!$B$62,AI27+AH28-AQ27)))</f>
        <v>124.99999999999997</v>
      </c>
      <c r="AJ28" s="14">
        <f>AI28*VLOOKUP('Données projet'!$B$10,Paramètres!$A$1:$I$89,3,0)*VLOOKUP('Données projet'!$B$10,Paramètres!$A$1:$I$89,5,0)</f>
        <v>109.19999999999999</v>
      </c>
      <c r="AK28" s="14">
        <f t="shared" si="35"/>
        <v>29.142418334948612</v>
      </c>
      <c r="AL28" s="22">
        <f t="shared" si="4"/>
        <v>240.94637860003544</v>
      </c>
      <c r="AM28" s="62">
        <f t="shared" si="5"/>
        <v>534.27971193336873</v>
      </c>
      <c r="AN28" s="62">
        <f ca="1">AVERAGE(OFFSET($AM$3,0,0,'Données projet'!$E$10+1,1))-AVERAGE(OFFSET($H$3,0,0,'Données projet'!$E$10+1,1))</f>
        <v>205.97834462530136</v>
      </c>
      <c r="AO28" s="62">
        <f t="shared" si="36"/>
        <v>235.08005253775002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31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90</v>
      </c>
      <c r="BB28" s="13">
        <f>VLOOKUP(A28,'Données projet'!$A$87:$I$107,9,0)</f>
        <v>7.4</v>
      </c>
      <c r="BC28" s="13">
        <f t="array" ref="BC28">INDEX(BB:BB,MIN(IF(ISNUMBER(BB28:BB224),ROW(BB28:BB224),"")))</f>
        <v>7.4</v>
      </c>
      <c r="BD28" s="13">
        <f>IF('Données projet'!$A$88&gt;35,BD27+BC28-BL27,IF(A28&lt;'Données projet'!$A$88,$BA$205^A28,IF(A28='Données projet'!$A$88,'Données projet'!$B$88,BD27+BC28-BL27)))</f>
        <v>90.000000000000028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20</v>
      </c>
      <c r="BM28" s="17" t="e">
        <f>IF(ISNA(VLOOKUP(A28,'Données projet'!$A$87:$I$107,5,0)),0%,VLOOKUP(A28,'Données projet'!$A$87:$I$107,5,0)*VLOOKUP('Données projet'!$B$11,Paramètres!$A$1:$I$89,7,0))</f>
        <v>#N/A</v>
      </c>
      <c r="BN28" s="17" t="e">
        <f>IF(ISNA(VLOOKUP(A28,'Données projet'!$A$87:$I$107,6,0)),0%,VLOOKUP(A28,'Données projet'!$A$87:$I$107,6,0)*VLOOKUP('Données projet'!$B$11,Paramètres!$A$1:$I$89,7,0))</f>
        <v>#N/A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13.8</v>
      </c>
      <c r="N29" s="14">
        <f>IF('Données projet'!$A$36&gt;35,N28+M29-V28,IF(A29&lt;'Données projet'!$A$36,$K$205^A29,IF(A29='Données projet'!$A$36,'Données projet'!$B$36,N28+M29-V28)))</f>
        <v>181.8</v>
      </c>
      <c r="O29" s="14">
        <f>N29*VLOOKUP('Données projet'!$B$9,Paramètres!$A$1:$I$89,3,0)*VLOOKUP('Données projet'!$B$9,Paramètres!$A$1:$I$89,5,0)</f>
        <v>108.71640000000002</v>
      </c>
      <c r="P29" s="14">
        <f t="shared" si="33"/>
        <v>29.028352113364011</v>
      </c>
      <c r="Q29" s="22">
        <f t="shared" si="2"/>
        <v>239.90544326410898</v>
      </c>
      <c r="R29" s="62">
        <f t="shared" si="0"/>
        <v>533.23877659744232</v>
      </c>
      <c r="S29" s="62">
        <f ca="1">AVERAGE(OFFSET($R$3,0,0,'Données projet'!$E$9+1,1))-AVERAGE(OFFSET($H$3,0,0,'Données projet'!$E$9+1,1))</f>
        <v>157.98488572680344</v>
      </c>
      <c r="T29" s="62">
        <f t="shared" si="34"/>
        <v>269.20989374735825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11.288746629664876</v>
      </c>
      <c r="AA29" s="23">
        <f>EXP(-LN(2)/25)*AA28+(1-EXP(-LN(2)/25))/(LN(2)/25)*Calculateur!V29*Calculateur!X29*VLOOKUP('Données projet'!$B$9,Paramètres!$A$1:$I$89,3,0)*0.475*44/12</f>
        <v>3.7351775592985499</v>
      </c>
      <c r="AB29" s="23">
        <f>EXP(-LN(2)/2)*AB28+(1-EXP(-LN(2)/2))/(LN(2)/2)*V29*Y29*VLOOKUP('Données projet'!$B$9,Paramètres!$A$1:$I$89,3,0)*0.475*44/12</f>
        <v>12.129193375560064</v>
      </c>
      <c r="AC29" s="24">
        <f t="shared" si="3"/>
        <v>27.153117564523491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10</v>
      </c>
      <c r="AI29" s="14">
        <f>IF('Données projet'!$A$62&gt;35,AI28+AH29-AQ28,IF(A29&lt;'Données projet'!$A$62,$AF$205^A29,IF(A29='Données projet'!$A$62,'Données projet'!$B$62,AI28+AH29-AQ28)))</f>
        <v>103.99999999999997</v>
      </c>
      <c r="AJ29" s="14">
        <f>AI29*VLOOKUP('Données projet'!$B$10,Paramètres!$A$1:$I$89,3,0)*VLOOKUP('Données projet'!$B$10,Paramètres!$A$1:$I$89,5,0)</f>
        <v>90.854399999999984</v>
      </c>
      <c r="AK29" s="14">
        <f t="shared" si="35"/>
        <v>24.771172249191263</v>
      </c>
      <c r="AL29" s="22">
        <f t="shared" si="4"/>
        <v>201.38120500067475</v>
      </c>
      <c r="AM29" s="62">
        <f t="shared" si="5"/>
        <v>494.71453833400807</v>
      </c>
      <c r="AN29" s="62">
        <f ca="1">AVERAGE(OFFSET($AM$3,0,0,'Données projet'!$E$10+1,1))-AVERAGE(OFFSET($H$3,0,0,'Données projet'!$E$10+1,1))</f>
        <v>205.97834462530136</v>
      </c>
      <c r="AO29" s="62">
        <f t="shared" si="36"/>
        <v>235.08005253775002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7.2</v>
      </c>
      <c r="BD29" s="13">
        <f>IF('Données projet'!$A$88&gt;35,BD28+BC29-BL28,IF(A29&lt;'Données projet'!$A$88,$BA$205^A29,IF(A29='Données projet'!$A$88,'Données projet'!$B$88,BD28+BC29-BL28)))</f>
        <v>77.200000000000031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13.8</v>
      </c>
      <c r="N30" s="14">
        <f>IF('Données projet'!$A$36&gt;35,N29+M30-V29,IF(A30&lt;'Données projet'!$A$36,$K$205^A30,IF(A30='Données projet'!$A$36,'Données projet'!$B$36,N29+M30-V29)))</f>
        <v>195.60000000000002</v>
      </c>
      <c r="O30" s="14">
        <f>N30*VLOOKUP('Données projet'!$B$9,Paramètres!$A$1:$I$89,3,0)*VLOOKUP('Données projet'!$B$9,Paramètres!$A$1:$I$89,5,0)</f>
        <v>116.96880000000002</v>
      </c>
      <c r="P30" s="14">
        <f t="shared" si="33"/>
        <v>30.966972418998537</v>
      </c>
      <c r="Q30" s="22">
        <f t="shared" si="2"/>
        <v>257.6548036297558</v>
      </c>
      <c r="R30" s="62">
        <f t="shared" si="0"/>
        <v>550.98813696308912</v>
      </c>
      <c r="S30" s="62">
        <f ca="1">AVERAGE(OFFSET($R$3,0,0,'Données projet'!$E$9+1,1))-AVERAGE(OFFSET($H$3,0,0,'Données projet'!$E$9+1,1))</f>
        <v>157.98488572680344</v>
      </c>
      <c r="T30" s="62">
        <f t="shared" si="34"/>
        <v>269.20989374735825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11.067381193712711</v>
      </c>
      <c r="AA30" s="23">
        <f>EXP(-LN(2)/25)*AA29+(1-EXP(-LN(2)/25))/(LN(2)/25)*Calculateur!V30*Calculateur!X30*VLOOKUP('Données projet'!$B$9,Paramètres!$A$1:$I$89,3,0)*0.475*44/12</f>
        <v>3.6330389325150803</v>
      </c>
      <c r="AB30" s="23">
        <f>EXP(-LN(2)/2)*AB29+(1-EXP(-LN(2)/2))/(LN(2)/2)*V30*Y30*VLOOKUP('Données projet'!$B$9,Paramètres!$A$1:$I$89,3,0)*0.475*44/12</f>
        <v>8.5766348861814716</v>
      </c>
      <c r="AC30" s="24">
        <f t="shared" si="3"/>
        <v>23.277055012409264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10</v>
      </c>
      <c r="AI30" s="14">
        <f>IF('Données projet'!$A$62&gt;35,AI29+AH30-AQ29,IF(A30&lt;'Données projet'!$A$62,$AF$205^A30,IF(A30='Données projet'!$A$62,'Données projet'!$B$62,AI29+AH30-AQ29)))</f>
        <v>113.99999999999997</v>
      </c>
      <c r="AJ30" s="14">
        <f>AI30*VLOOKUP('Données projet'!$B$10,Paramètres!$A$1:$I$89,3,0)*VLOOKUP('Données projet'!$B$10,Paramètres!$A$1:$I$89,5,0)</f>
        <v>99.590399999999988</v>
      </c>
      <c r="AK30" s="14">
        <f t="shared" si="35"/>
        <v>26.864392698869324</v>
      </c>
      <c r="AL30" s="22">
        <f t="shared" si="4"/>
        <v>220.24209728386404</v>
      </c>
      <c r="AM30" s="62">
        <f t="shared" si="5"/>
        <v>513.5754306171973</v>
      </c>
      <c r="AN30" s="62">
        <f ca="1">AVERAGE(OFFSET($AM$3,0,0,'Données projet'!$E$10+1,1))-AVERAGE(OFFSET($H$3,0,0,'Données projet'!$E$10+1,1))</f>
        <v>205.97834462530136</v>
      </c>
      <c r="AO30" s="62">
        <f t="shared" si="36"/>
        <v>235.08005253775002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7.2</v>
      </c>
      <c r="BD30" s="13">
        <f>IF('Données projet'!$A$88&gt;35,BD29+BC30-BL29,IF(A30&lt;'Données projet'!$A$88,$BA$205^A30,IF(A30='Données projet'!$A$88,'Données projet'!$B$88,BD29+BC30-BL29)))</f>
        <v>84.400000000000034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13.8</v>
      </c>
      <c r="N31" s="14">
        <f>IF('Données projet'!$A$36&gt;35,N30+M31-V30,IF(A31&lt;'Données projet'!$A$36,$K$205^A31,IF(A31='Données projet'!$A$36,'Données projet'!$B$36,N30+M31-V30)))</f>
        <v>209.40000000000003</v>
      </c>
      <c r="O31" s="14">
        <f>N31*VLOOKUP('Données projet'!$B$9,Paramètres!$A$1:$I$89,3,0)*VLOOKUP('Données projet'!$B$9,Paramètres!$A$1:$I$89,5,0)</f>
        <v>125.22120000000004</v>
      </c>
      <c r="P31" s="14">
        <f t="shared" si="33"/>
        <v>32.889723553463881</v>
      </c>
      <c r="Q31" s="22">
        <f t="shared" si="2"/>
        <v>275.37652518894964</v>
      </c>
      <c r="R31" s="62">
        <f t="shared" si="0"/>
        <v>568.70985852228296</v>
      </c>
      <c r="S31" s="62">
        <f ca="1">AVERAGE(OFFSET($R$3,0,0,'Données projet'!$E$9+1,1))-AVERAGE(OFFSET($H$3,0,0,'Données projet'!$E$9+1,1))</f>
        <v>157.98488572680344</v>
      </c>
      <c r="T31" s="62">
        <f t="shared" si="34"/>
        <v>269.20989374735825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10.850356598939982</v>
      </c>
      <c r="AA31" s="23">
        <f>EXP(-LN(2)/25)*AA30+(1-EXP(-LN(2)/25))/(LN(2)/25)*Calculateur!V31*Calculateur!X31*VLOOKUP('Données projet'!$B$9,Paramètres!$A$1:$I$89,3,0)*0.475*44/12</f>
        <v>3.5336932918522415</v>
      </c>
      <c r="AB31" s="23">
        <f>EXP(-LN(2)/2)*AB30+(1-EXP(-LN(2)/2))/(LN(2)/2)*V31*Y31*VLOOKUP('Données projet'!$B$9,Paramètres!$A$1:$I$89,3,0)*0.475*44/12</f>
        <v>6.0645966877800319</v>
      </c>
      <c r="AC31" s="24">
        <f t="shared" si="3"/>
        <v>20.448646578572255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10</v>
      </c>
      <c r="AI31" s="14">
        <f>IF('Données projet'!$A$62&gt;35,AI30+AH31-AQ30,IF(A31&lt;'Données projet'!$A$62,$AF$205^A31,IF(A31='Données projet'!$A$62,'Données projet'!$B$62,AI30+AH31-AQ30)))</f>
        <v>123.99999999999997</v>
      </c>
      <c r="AJ31" s="14">
        <f>AI31*VLOOKUP('Données projet'!$B$10,Paramètres!$A$1:$I$89,3,0)*VLOOKUP('Données projet'!$B$10,Paramètres!$A$1:$I$89,5,0)</f>
        <v>108.32640000000001</v>
      </c>
      <c r="AK31" s="14">
        <f t="shared" si="35"/>
        <v>28.936320206966883</v>
      </c>
      <c r="AL31" s="22">
        <f t="shared" si="4"/>
        <v>239.06590436046736</v>
      </c>
      <c r="AM31" s="62">
        <f t="shared" si="5"/>
        <v>532.39923769380061</v>
      </c>
      <c r="AN31" s="62">
        <f ca="1">AVERAGE(OFFSET($AM$3,0,0,'Données projet'!$E$10+1,1))-AVERAGE(OFFSET($H$3,0,0,'Données projet'!$E$10+1,1))</f>
        <v>205.97834462530136</v>
      </c>
      <c r="AO31" s="62">
        <f t="shared" si="36"/>
        <v>235.08005253775002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7.2</v>
      </c>
      <c r="BD31" s="13">
        <f>IF('Données projet'!$A$88&gt;35,BD30+BC31-BL30,IF(A31&lt;'Données projet'!$A$88,$BA$205^A31,IF(A31='Données projet'!$A$88,'Données projet'!$B$88,BD30+BC31-BL30)))</f>
        <v>91.600000000000037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13.8</v>
      </c>
      <c r="N32" s="14">
        <f>IF('Données projet'!$A$36&gt;35,N31+M32-V31,IF(A32&lt;'Données projet'!$A$36,$K$205^A32,IF(A32='Données projet'!$A$36,'Données projet'!$B$36,N31+M32-V31)))</f>
        <v>223.20000000000005</v>
      </c>
      <c r="O32" s="14">
        <f>N32*VLOOKUP('Données projet'!$B$9,Paramètres!$A$1:$I$89,3,0)*VLOOKUP('Données projet'!$B$9,Paramètres!$A$1:$I$89,5,0)</f>
        <v>133.47360000000003</v>
      </c>
      <c r="P32" s="14">
        <f t="shared" si="33"/>
        <v>34.79777034418013</v>
      </c>
      <c r="Q32" s="22">
        <f t="shared" si="2"/>
        <v>293.0726366827804</v>
      </c>
      <c r="R32" s="62">
        <f t="shared" si="0"/>
        <v>586.40597001611377</v>
      </c>
      <c r="S32" s="62">
        <f ca="1">AVERAGE(OFFSET($R$3,0,0,'Données projet'!$E$9+1,1))-AVERAGE(OFFSET($H$3,0,0,'Données projet'!$E$9+1,1))</f>
        <v>157.98488572680344</v>
      </c>
      <c r="T32" s="62">
        <f t="shared" si="34"/>
        <v>269.20989374735825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10.637587724098815</v>
      </c>
      <c r="AA32" s="23">
        <f>EXP(-LN(2)/25)*AA31+(1-EXP(-LN(2)/25))/(LN(2)/25)*Calculateur!V32*Calculateur!X32*VLOOKUP('Données projet'!$B$9,Paramètres!$A$1:$I$89,3,0)*0.475*44/12</f>
        <v>3.437064262957688</v>
      </c>
      <c r="AB32" s="23">
        <f>EXP(-LN(2)/2)*AB31+(1-EXP(-LN(2)/2))/(LN(2)/2)*V32*Y32*VLOOKUP('Données projet'!$B$9,Paramètres!$A$1:$I$89,3,0)*0.475*44/12</f>
        <v>4.2883174430907358</v>
      </c>
      <c r="AC32" s="24">
        <f t="shared" si="3"/>
        <v>18.362969430147238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10</v>
      </c>
      <c r="AI32" s="14">
        <f>IF('Données projet'!$A$62&gt;35,AI31+AH32-AQ31,IF(A32&lt;'Données projet'!$A$62,$AF$205^A32,IF(A32='Données projet'!$A$62,'Données projet'!$B$62,AI31+AH32-AQ31)))</f>
        <v>133.99999999999997</v>
      </c>
      <c r="AJ32" s="14">
        <f>AI32*VLOOKUP('Données projet'!$B$10,Paramètres!$A$1:$I$89,3,0)*VLOOKUP('Données projet'!$B$10,Paramètres!$A$1:$I$89,5,0)</f>
        <v>117.0624</v>
      </c>
      <c r="AK32" s="14">
        <f t="shared" si="35"/>
        <v>30.988867171899152</v>
      </c>
      <c r="AL32" s="22">
        <f t="shared" si="4"/>
        <v>257.85595699105767</v>
      </c>
      <c r="AM32" s="62">
        <f t="shared" si="5"/>
        <v>551.18929032439098</v>
      </c>
      <c r="AN32" s="62">
        <f ca="1">AVERAGE(OFFSET($AM$3,0,0,'Données projet'!$E$10+1,1))-AVERAGE(OFFSET($H$3,0,0,'Données projet'!$E$10+1,1))</f>
        <v>205.97834462530136</v>
      </c>
      <c r="AO32" s="62">
        <f t="shared" si="36"/>
        <v>235.08005253775002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7.2</v>
      </c>
      <c r="BD32" s="13">
        <f>IF('Données projet'!$A$88&gt;35,BD31+BC32-BL31,IF(A32&lt;'Données projet'!$A$88,$BA$205^A32,IF(A32='Données projet'!$A$88,'Données projet'!$B$88,BD31+BC32-BL31)))</f>
        <v>98.80000000000004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237</v>
      </c>
      <c r="L33" s="13">
        <f>VLOOKUP(A33,'Données projet'!$A$35:$I$55,9,0)</f>
        <v>13.8</v>
      </c>
      <c r="M33" s="13">
        <f t="array" ref="M33">INDEX(L:L,MIN(IF(ISNUMBER(L33:L229),ROW(L33:L229),"")))</f>
        <v>13.8</v>
      </c>
      <c r="N33" s="14">
        <f>IF('Données projet'!$A$36&gt;35,N32+M33-V32,IF(A33&lt;'Données projet'!$A$36,$K$205^A33,IF(A33='Données projet'!$A$36,'Données projet'!$B$36,N32+M33-V32)))</f>
        <v>237.00000000000006</v>
      </c>
      <c r="O33" s="14">
        <f>N33*VLOOKUP('Données projet'!$B$9,Paramètres!$A$1:$I$89,3,0)*VLOOKUP('Données projet'!$B$9,Paramètres!$A$1:$I$89,5,0)</f>
        <v>141.72600000000003</v>
      </c>
      <c r="P33" s="14">
        <f t="shared" si="33"/>
        <v>36.692125440686915</v>
      </c>
      <c r="Q33" s="22">
        <f t="shared" si="2"/>
        <v>310.74490180919639</v>
      </c>
      <c r="R33" s="62">
        <f t="shared" si="0"/>
        <v>604.07823514252971</v>
      </c>
      <c r="S33" s="62">
        <f ca="1">AVERAGE(OFFSET($R$3,0,0,'Données projet'!$E$9+1,1))-AVERAGE(OFFSET($H$3,0,0,'Données projet'!$E$9+1,1))</f>
        <v>157.98488572680344</v>
      </c>
      <c r="T33" s="62">
        <f t="shared" si="34"/>
        <v>269.20989374735825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9.0000000000000011E-2</v>
      </c>
      <c r="Y33" s="17">
        <f>IF(ISNA(VLOOKUP(A33,'Données projet'!$A$35:$I$55,7,0)),0%,VLOOKUP(A33,'Données projet'!$A$35:$I$55,7,0))</f>
        <v>0.4</v>
      </c>
      <c r="Z33" s="23">
        <f>EXP(-LN(2)/35)*Z32+(1-EXP(-LN(2)/35))/(LN(2)/35)*V33*W33*VLOOKUP('Données projet'!$B$9,Paramètres!$A$1:$I$89,3,0)*0.475*44/12</f>
        <v>10.428991117117084</v>
      </c>
      <c r="AA33" s="23">
        <f>EXP(-LN(2)/25)*AA32+(1-EXP(-LN(2)/25))/(LN(2)/25)*Calculateur!V33*Calculateur!X33*VLOOKUP('Données projet'!$B$9,Paramètres!$A$1:$I$89,3,0)*0.475*44/12</f>
        <v>3.343077559939756</v>
      </c>
      <c r="AB33" s="23">
        <f>EXP(-LN(2)/2)*AB32+(1-EXP(-LN(2)/2))/(LN(2)/2)*V33*Y33*VLOOKUP('Données projet'!$B$9,Paramètres!$A$1:$I$89,3,0)*0.475*44/12</f>
        <v>3.032298343890016</v>
      </c>
      <c r="AC33" s="24">
        <f t="shared" si="3"/>
        <v>16.804367020946856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144</v>
      </c>
      <c r="AG33" s="13">
        <f>VLOOKUP(A33,'Données projet'!$A$61:$I$81,9,0)</f>
        <v>10</v>
      </c>
      <c r="AH33" s="13">
        <f t="array" ref="AH33">INDEX(AG:AG,MIN(IF(ISNUMBER(AG33:AG229),ROW(AG33:AG229),"")))</f>
        <v>10</v>
      </c>
      <c r="AI33" s="14">
        <f>IF('Données projet'!$A$62&gt;35,AI32+AH33-AQ32,IF(A33&lt;'Données projet'!$A$62,$AF$205^A33,IF(A33='Données projet'!$A$62,'Données projet'!$B$62,AI32+AH33-AQ32)))</f>
        <v>143.99999999999997</v>
      </c>
      <c r="AJ33" s="14">
        <f>AI33*VLOOKUP('Données projet'!$B$10,Paramètres!$A$1:$I$89,3,0)*VLOOKUP('Données projet'!$B$10,Paramètres!$A$1:$I$89,5,0)</f>
        <v>125.79839999999999</v>
      </c>
      <c r="AK33" s="14">
        <f t="shared" si="35"/>
        <v>33.023644363399924</v>
      </c>
      <c r="AL33" s="22">
        <f t="shared" si="4"/>
        <v>276.61506059958816</v>
      </c>
      <c r="AM33" s="62">
        <f t="shared" si="5"/>
        <v>569.94839393292148</v>
      </c>
      <c r="AN33" s="62">
        <f ca="1">AVERAGE(OFFSET($AM$3,0,0,'Données projet'!$E$10+1,1))-AVERAGE(OFFSET($H$3,0,0,'Données projet'!$E$10+1,1))</f>
        <v>205.97834462530136</v>
      </c>
      <c r="AO33" s="62">
        <f t="shared" si="36"/>
        <v>235.08005253775002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31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106</v>
      </c>
      <c r="BB33" s="13">
        <f>VLOOKUP(A33,'Données projet'!$A$87:$I$107,9,0)</f>
        <v>7.2</v>
      </c>
      <c r="BC33" s="13">
        <f t="array" ref="BC33">INDEX(BB:BB,MIN(IF(ISNUMBER(BB33:BB229),ROW(BB33:BB229),"")))</f>
        <v>7.2</v>
      </c>
      <c r="BD33" s="13">
        <f>IF('Données projet'!$A$88&gt;35,BD32+BC33-BL32,IF(A33&lt;'Données projet'!$A$88,$BA$205^A33,IF(A33='Données projet'!$A$88,'Données projet'!$B$88,BD32+BC33-BL32)))</f>
        <v>106.00000000000004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20</v>
      </c>
      <c r="BM33" s="17" t="e">
        <f>IF(ISNA(VLOOKUP(A33,'Données projet'!$A$87:$I$107,5,0)),0%,VLOOKUP(A33,'Données projet'!$A$87:$I$107,5,0)*VLOOKUP('Données projet'!$B$11,Paramètres!$A$1:$I$89,7,0))</f>
        <v>#N/A</v>
      </c>
      <c r="BN33" s="17" t="e">
        <f>IF(ISNA(VLOOKUP(A33,'Données projet'!$A$87:$I$107,6,0)),0%,VLOOKUP(A33,'Données projet'!$A$87:$I$107,6,0)*VLOOKUP('Données projet'!$B$11,Paramètres!$A$1:$I$89,7,0))</f>
        <v>#N/A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12.625</v>
      </c>
      <c r="N34" s="14">
        <f>IF('Données projet'!$A$36&gt;35,N33+M34-V33,IF(A34&lt;'Données projet'!$A$36,$K$205^A34,IF(A34='Données projet'!$A$36,'Données projet'!$B$36,N33+M34-V33)))</f>
        <v>249.62500000000006</v>
      </c>
      <c r="O34" s="14">
        <f>N34*VLOOKUP('Données projet'!$B$9,Paramètres!$A$1:$I$89,3,0)*VLOOKUP('Données projet'!$B$9,Paramètres!$A$1:$I$89,5,0)</f>
        <v>149.27575000000004</v>
      </c>
      <c r="P34" s="14">
        <f t="shared" si="33"/>
        <v>38.413950875340568</v>
      </c>
      <c r="Q34" s="22">
        <f t="shared" si="2"/>
        <v>326.89289569121826</v>
      </c>
      <c r="R34" s="62">
        <f t="shared" si="0"/>
        <v>620.22622902455157</v>
      </c>
      <c r="S34" s="62">
        <f ca="1">AVERAGE(OFFSET($R$3,0,0,'Données projet'!$E$9+1,1))-AVERAGE(OFFSET($H$3,0,0,'Données projet'!$E$9+1,1))</f>
        <v>157.98488572680344</v>
      </c>
      <c r="T34" s="62">
        <f t="shared" si="34"/>
        <v>269.20989374735825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10.224484962366898</v>
      </c>
      <c r="AA34" s="23">
        <f>EXP(-LN(2)/25)*AA33+(1-EXP(-LN(2)/25))/(LN(2)/25)*Calculateur!V34*Calculateur!X34*VLOOKUP('Données projet'!$B$9,Paramètres!$A$1:$I$89,3,0)*0.475*44/12</f>
        <v>3.2516609282583953</v>
      </c>
      <c r="AB34" s="23">
        <f>EXP(-LN(2)/2)*AB33+(1-EXP(-LN(2)/2))/(LN(2)/2)*V34*Y34*VLOOKUP('Données projet'!$B$9,Paramètres!$A$1:$I$89,3,0)*0.475*44/12</f>
        <v>2.1441587215453679</v>
      </c>
      <c r="AC34" s="24">
        <f t="shared" si="3"/>
        <v>15.620304612170662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9.1999999999999993</v>
      </c>
      <c r="AI34" s="14">
        <f>IF('Données projet'!$A$62&gt;35,AI33+AH34-AQ33,IF(A34&lt;'Données projet'!$A$62,$AF$205^A34,IF(A34='Données projet'!$A$62,'Données projet'!$B$62,AI33+AH34-AQ33)))</f>
        <v>122.19999999999996</v>
      </c>
      <c r="AJ34" s="14">
        <f>AI34*VLOOKUP('Données projet'!$B$10,Paramètres!$A$1:$I$89,3,0)*VLOOKUP('Données projet'!$B$10,Paramètres!$A$1:$I$89,5,0)</f>
        <v>106.75391999999998</v>
      </c>
      <c r="AK34" s="14">
        <f t="shared" si="35"/>
        <v>28.564854626855976</v>
      </c>
      <c r="AL34" s="22">
        <f t="shared" si="4"/>
        <v>235.6801991417741</v>
      </c>
      <c r="AM34" s="62">
        <f t="shared" si="5"/>
        <v>529.01353247510747</v>
      </c>
      <c r="AN34" s="62">
        <f ca="1">AVERAGE(OFFSET($AM$3,0,0,'Données projet'!$E$10+1,1))-AVERAGE(OFFSET($H$3,0,0,'Données projet'!$E$10+1,1))</f>
        <v>205.97834462530136</v>
      </c>
      <c r="AO34" s="62">
        <f t="shared" si="36"/>
        <v>235.08005253775002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6.6</v>
      </c>
      <c r="BD34" s="13">
        <f>IF('Données projet'!$A$88&gt;35,BD33+BC34-BL33,IF(A34&lt;'Données projet'!$A$88,$BA$205^A34,IF(A34='Données projet'!$A$88,'Données projet'!$B$88,BD33+BC34-BL33)))</f>
        <v>92.600000000000037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12.625</v>
      </c>
      <c r="N35" s="14">
        <f>IF('Données projet'!$A$36&gt;35,N34+M35-V34,IF(A35&lt;'Données projet'!$A$36,$K$205^A35,IF(A35='Données projet'!$A$36,'Données projet'!$B$36,N34+M35-V34)))</f>
        <v>262.25000000000006</v>
      </c>
      <c r="O35" s="14">
        <f>N35*VLOOKUP('Données projet'!$B$9,Paramètres!$A$1:$I$89,3,0)*VLOOKUP('Données projet'!$B$9,Paramètres!$A$1:$I$89,5,0)</f>
        <v>156.82550000000006</v>
      </c>
      <c r="P35" s="14">
        <f t="shared" si="33"/>
        <v>40.12566509846944</v>
      </c>
      <c r="Q35" s="22">
        <f t="shared" ref="Q35:Q66" si="53">(O35+P35)*0.475*44/12</f>
        <v>343.02327921316777</v>
      </c>
      <c r="R35" s="62">
        <f t="shared" si="0"/>
        <v>636.35661254650108</v>
      </c>
      <c r="S35" s="62">
        <f ca="1">AVERAGE(OFFSET($R$3,0,0,'Données projet'!$E$9+1,1))-AVERAGE(OFFSET($H$3,0,0,'Données projet'!$E$9+1,1))</f>
        <v>157.98488572680344</v>
      </c>
      <c r="T35" s="62">
        <f t="shared" si="34"/>
        <v>269.20989374735825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10.023989048574924</v>
      </c>
      <c r="AA35" s="23">
        <f>EXP(-LN(2)/25)*AA34+(1-EXP(-LN(2)/25))/(LN(2)/25)*Calculateur!V35*Calculateur!X35*VLOOKUP('Données projet'!$B$9,Paramètres!$A$1:$I$89,3,0)*0.475*44/12</f>
        <v>3.1627440891777532</v>
      </c>
      <c r="AB35" s="23">
        <f>EXP(-LN(2)/2)*AB34+(1-EXP(-LN(2)/2))/(LN(2)/2)*V35*Y35*VLOOKUP('Données projet'!$B$9,Paramètres!$A$1:$I$89,3,0)*0.475*44/12</f>
        <v>1.516149171945008</v>
      </c>
      <c r="AC35" s="24">
        <f t="shared" si="3"/>
        <v>14.702882309697685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9.1999999999999993</v>
      </c>
      <c r="AI35" s="14">
        <f>IF('Données projet'!$A$62&gt;35,AI34+AH35-AQ34,IF(A35&lt;'Données projet'!$A$62,$AF$205^A35,IF(A35='Données projet'!$A$62,'Données projet'!$B$62,AI34+AH35-AQ34)))</f>
        <v>131.39999999999995</v>
      </c>
      <c r="AJ35" s="14">
        <f>AI35*VLOOKUP('Données projet'!$B$10,Paramètres!$A$1:$I$89,3,0)*VLOOKUP('Données projet'!$B$10,Paramètres!$A$1:$I$89,5,0)</f>
        <v>114.79103999999997</v>
      </c>
      <c r="AK35" s="14">
        <f t="shared" si="35"/>
        <v>30.456974896543485</v>
      </c>
      <c r="AL35" s="22">
        <f t="shared" si="4"/>
        <v>252.97362594481319</v>
      </c>
      <c r="AM35" s="62">
        <f t="shared" si="5"/>
        <v>546.30695927814645</v>
      </c>
      <c r="AN35" s="62">
        <f ca="1">AVERAGE(OFFSET($AM$3,0,0,'Données projet'!$E$10+1,1))-AVERAGE(OFFSET($H$3,0,0,'Données projet'!$E$10+1,1))</f>
        <v>205.97834462530136</v>
      </c>
      <c r="AO35" s="62">
        <f t="shared" si="36"/>
        <v>235.08005253775002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6.6</v>
      </c>
      <c r="BD35" s="13">
        <f>IF('Données projet'!$A$88&gt;35,BD34+BC35-BL34,IF(A35&lt;'Données projet'!$A$88,$BA$205^A35,IF(A35='Données projet'!$A$88,'Données projet'!$B$88,BD34+BC35-BL34)))</f>
        <v>99.200000000000031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12.625</v>
      </c>
      <c r="N36" s="14">
        <f>IF('Données projet'!$A$36&gt;35,N35+M36-V35,IF(A36&lt;'Données projet'!$A$36,$K$205^A36,IF(A36='Données projet'!$A$36,'Données projet'!$B$36,N35+M36-V35)))</f>
        <v>274.87500000000006</v>
      </c>
      <c r="O36" s="14">
        <f>N36*VLOOKUP('Données projet'!$B$9,Paramètres!$A$1:$I$89,3,0)*VLOOKUP('Données projet'!$B$9,Paramètres!$A$1:$I$89,5,0)</f>
        <v>164.37525000000005</v>
      </c>
      <c r="P36" s="14">
        <f t="shared" si="33"/>
        <v>41.827810443115574</v>
      </c>
      <c r="Q36" s="22">
        <f t="shared" si="53"/>
        <v>359.13699693842636</v>
      </c>
      <c r="R36" s="62">
        <f t="shared" si="0"/>
        <v>652.47033027175962</v>
      </c>
      <c r="S36" s="62">
        <f ca="1">AVERAGE(OFFSET($R$3,0,0,'Données projet'!$E$9+1,1))-AVERAGE(OFFSET($H$3,0,0,'Données projet'!$E$9+1,1))</f>
        <v>157.98488572680344</v>
      </c>
      <c r="T36" s="62">
        <f t="shared" si="34"/>
        <v>269.20989374735825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9.8274247373619783</v>
      </c>
      <c r="AA36" s="23">
        <f>EXP(-LN(2)/25)*AA35+(1-EXP(-LN(2)/25))/(LN(2)/25)*Calculateur!V36*Calculateur!X36*VLOOKUP('Données projet'!$B$9,Paramètres!$A$1:$I$89,3,0)*0.475*44/12</f>
        <v>3.0762586857377046</v>
      </c>
      <c r="AB36" s="23">
        <f>EXP(-LN(2)/2)*AB35+(1-EXP(-LN(2)/2))/(LN(2)/2)*V36*Y36*VLOOKUP('Données projet'!$B$9,Paramètres!$A$1:$I$89,3,0)*0.475*44/12</f>
        <v>1.072079360772684</v>
      </c>
      <c r="AC36" s="24">
        <f t="shared" si="3"/>
        <v>13.975762783872366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9.1999999999999993</v>
      </c>
      <c r="AI36" s="14">
        <f>IF('Données projet'!$A$62&gt;35,AI35+AH36-AQ35,IF(A36&lt;'Données projet'!$A$62,$AF$205^A36,IF(A36='Données projet'!$A$62,'Données projet'!$B$62,AI35+AH36-AQ35)))</f>
        <v>140.59999999999994</v>
      </c>
      <c r="AJ36" s="14">
        <f>AI36*VLOOKUP('Données projet'!$B$10,Paramètres!$A$1:$I$89,3,0)*VLOOKUP('Données projet'!$B$10,Paramètres!$A$1:$I$89,5,0)</f>
        <v>122.82815999999997</v>
      </c>
      <c r="AK36" s="14">
        <f t="shared" si="35"/>
        <v>32.333724232859019</v>
      </c>
      <c r="AL36" s="22">
        <f t="shared" si="4"/>
        <v>270.24028170556272</v>
      </c>
      <c r="AM36" s="62">
        <f t="shared" si="5"/>
        <v>563.57361503889604</v>
      </c>
      <c r="AN36" s="62">
        <f ca="1">AVERAGE(OFFSET($AM$3,0,0,'Données projet'!$E$10+1,1))-AVERAGE(OFFSET($H$3,0,0,'Données projet'!$E$10+1,1))</f>
        <v>205.97834462530136</v>
      </c>
      <c r="AO36" s="62">
        <f t="shared" si="36"/>
        <v>235.08005253775002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6.6</v>
      </c>
      <c r="BD36" s="13">
        <f>IF('Données projet'!$A$88&gt;35,BD35+BC36-BL35,IF(A36&lt;'Données projet'!$A$88,$BA$205^A36,IF(A36='Données projet'!$A$88,'Données projet'!$B$88,BD35+BC36-BL35)))</f>
        <v>105.80000000000003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12.625</v>
      </c>
      <c r="N37" s="14">
        <f>IF('Données projet'!$A$36&gt;35,N36+M37-V36,IF(A37&lt;'Données projet'!$A$36,$K$205^A37,IF(A37='Données projet'!$A$36,'Données projet'!$B$36,N36+M37-V36)))</f>
        <v>287.50000000000006</v>
      </c>
      <c r="O37" s="14">
        <f>N37*VLOOKUP('Données projet'!$B$9,Paramètres!$A$1:$I$89,3,0)*VLOOKUP('Données projet'!$B$9,Paramètres!$A$1:$I$89,5,0)</f>
        <v>171.92500000000004</v>
      </c>
      <c r="P37" s="14">
        <f t="shared" si="33"/>
        <v>43.520876607827979</v>
      </c>
      <c r="Q37" s="22">
        <f t="shared" si="53"/>
        <v>375.23490175863373</v>
      </c>
      <c r="R37" s="62">
        <f t="shared" si="0"/>
        <v>668.56823509196704</v>
      </c>
      <c r="S37" s="62">
        <f ca="1">AVERAGE(OFFSET($R$3,0,0,'Données projet'!$E$9+1,1))-AVERAGE(OFFSET($H$3,0,0,'Données projet'!$E$9+1,1))</f>
        <v>157.98488572680344</v>
      </c>
      <c r="T37" s="62">
        <f t="shared" si="34"/>
        <v>269.20989374735825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9.6347149323995271</v>
      </c>
      <c r="AA37" s="23">
        <f>EXP(-LN(2)/25)*AA36+(1-EXP(-LN(2)/25))/(LN(2)/25)*Calculateur!V37*Calculateur!X37*VLOOKUP('Données projet'!$B$9,Paramètres!$A$1:$I$89,3,0)*0.475*44/12</f>
        <v>2.9921382302027935</v>
      </c>
      <c r="AB37" s="23">
        <f>EXP(-LN(2)/2)*AB36+(1-EXP(-LN(2)/2))/(LN(2)/2)*V37*Y37*VLOOKUP('Données projet'!$B$9,Paramètres!$A$1:$I$89,3,0)*0.475*44/12</f>
        <v>0.75807458597250399</v>
      </c>
      <c r="AC37" s="24">
        <f t="shared" si="3"/>
        <v>13.384927748574825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9.1999999999999993</v>
      </c>
      <c r="AI37" s="14">
        <f>IF('Données projet'!$A$62&gt;35,AI36+AH37-AQ36,IF(A37&lt;'Données projet'!$A$62,$AF$205^A37,IF(A37='Données projet'!$A$62,'Données projet'!$B$62,AI36+AH37-AQ36)))</f>
        <v>149.79999999999993</v>
      </c>
      <c r="AJ37" s="14">
        <f>AI37*VLOOKUP('Données projet'!$B$10,Paramètres!$A$1:$I$89,3,0)*VLOOKUP('Données projet'!$B$10,Paramètres!$A$1:$I$89,5,0)</f>
        <v>130.86527999999996</v>
      </c>
      <c r="AK37" s="14">
        <f t="shared" si="35"/>
        <v>34.19622287336729</v>
      </c>
      <c r="AL37" s="22">
        <f t="shared" si="4"/>
        <v>287.48211750444796</v>
      </c>
      <c r="AM37" s="62">
        <f t="shared" si="5"/>
        <v>580.81545083778133</v>
      </c>
      <c r="AN37" s="62">
        <f ca="1">AVERAGE(OFFSET($AM$3,0,0,'Données projet'!$E$10+1,1))-AVERAGE(OFFSET($H$3,0,0,'Données projet'!$E$10+1,1))</f>
        <v>205.97834462530136</v>
      </c>
      <c r="AO37" s="62">
        <f t="shared" si="36"/>
        <v>235.08005253775002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6.6</v>
      </c>
      <c r="BD37" s="13">
        <f>IF('Données projet'!$A$88&gt;35,BD36+BC37-BL36,IF(A37&lt;'Données projet'!$A$88,$BA$205^A37,IF(A37='Données projet'!$A$88,'Données projet'!$B$88,BD36+BC37-BL36)))</f>
        <v>112.40000000000002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12.625</v>
      </c>
      <c r="N38" s="14">
        <f>IF('Données projet'!$A$36&gt;35,N37+M38-V37,IF(A38&lt;'Données projet'!$A$36,$K$205^A38,IF(A38='Données projet'!$A$36,'Données projet'!$B$36,N37+M38-V37)))</f>
        <v>300.12500000000006</v>
      </c>
      <c r="O38" s="14">
        <f>N38*VLOOKUP('Données projet'!$B$9,Paramètres!$A$1:$I$89,3,0)*VLOOKUP('Données projet'!$B$9,Paramètres!$A$1:$I$89,5,0)</f>
        <v>179.47475000000006</v>
      </c>
      <c r="P38" s="14">
        <f t="shared" si="33"/>
        <v>45.205307850969106</v>
      </c>
      <c r="Q38" s="22">
        <f t="shared" si="53"/>
        <v>391.31776742377127</v>
      </c>
      <c r="R38" s="62">
        <f t="shared" si="0"/>
        <v>684.65110075710459</v>
      </c>
      <c r="S38" s="62">
        <f ca="1">AVERAGE(OFFSET($R$3,0,0,'Données projet'!$E$9+1,1))-AVERAGE(OFFSET($H$3,0,0,'Données projet'!$E$9+1,1))</f>
        <v>157.98488572680344</v>
      </c>
      <c r="T38" s="62">
        <f t="shared" si="34"/>
        <v>269.20989374735825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9.4457840491710154</v>
      </c>
      <c r="AA38" s="23">
        <f>EXP(-LN(2)/25)*AA37+(1-EXP(-LN(2)/25))/(LN(2)/25)*Calculateur!V38*Calculateur!X38*VLOOKUP('Données projet'!$B$9,Paramètres!$A$1:$I$89,3,0)*0.475*44/12</f>
        <v>2.9103180529481874</v>
      </c>
      <c r="AB38" s="23">
        <f>EXP(-LN(2)/2)*AB37+(1-EXP(-LN(2)/2))/(LN(2)/2)*V38*Y38*VLOOKUP('Données projet'!$B$9,Paramètres!$A$1:$I$89,3,0)*0.475*44/12</f>
        <v>0.53603968038634198</v>
      </c>
      <c r="AC38" s="24">
        <f t="shared" si="3"/>
        <v>12.892141782505544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159</v>
      </c>
      <c r="AG38" s="13">
        <f>VLOOKUP(A38,'Données projet'!$A$61:$I$81,9,0)</f>
        <v>9.1999999999999993</v>
      </c>
      <c r="AH38" s="13">
        <f t="array" ref="AH38">INDEX(AG:AG,MIN(IF(ISNUMBER(AG38:AG234),ROW(AG38:AG234),"")))</f>
        <v>9.1999999999999993</v>
      </c>
      <c r="AI38" s="14">
        <f>IF('Données projet'!$A$62&gt;35,AI37+AH38-AQ37,IF(A38&lt;'Données projet'!$A$62,$AF$205^A38,IF(A38='Données projet'!$A$62,'Données projet'!$B$62,AI37+AH38-AQ37)))</f>
        <v>158.99999999999991</v>
      </c>
      <c r="AJ38" s="14">
        <f>AI38*VLOOKUP('Données projet'!$B$10,Paramètres!$A$1:$I$89,3,0)*VLOOKUP('Données projet'!$B$10,Paramètres!$A$1:$I$89,5,0)</f>
        <v>138.90239999999994</v>
      </c>
      <c r="AK38" s="14">
        <f t="shared" si="35"/>
        <v>36.045445680666425</v>
      </c>
      <c r="AL38" s="22">
        <f t="shared" si="4"/>
        <v>304.70083122716056</v>
      </c>
      <c r="AM38" s="62">
        <f t="shared" si="5"/>
        <v>598.03416456049388</v>
      </c>
      <c r="AN38" s="62">
        <f ca="1">AVERAGE(OFFSET($AM$3,0,0,'Données projet'!$E$10+1,1))-AVERAGE(OFFSET($H$3,0,0,'Données projet'!$E$10+1,1))</f>
        <v>205.97834462530136</v>
      </c>
      <c r="AO38" s="62">
        <f t="shared" si="36"/>
        <v>235.08005253775002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30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119</v>
      </c>
      <c r="BB38" s="13">
        <f>VLOOKUP(A38,'Données projet'!$A$87:$I$107,9,0)</f>
        <v>6.6</v>
      </c>
      <c r="BC38" s="13">
        <f t="array" ref="BC38">INDEX(BB:BB,MIN(IF(ISNUMBER(BB38:BB234),ROW(BB38:BB234),"")))</f>
        <v>6.6</v>
      </c>
      <c r="BD38" s="13">
        <f>IF('Données projet'!$A$88&gt;35,BD37+BC38-BL37,IF(A38&lt;'Données projet'!$A$88,$BA$205^A38,IF(A38='Données projet'!$A$88,'Données projet'!$B$88,BD37+BC38-BL37)))</f>
        <v>119.00000000000001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20</v>
      </c>
      <c r="BM38" s="17" t="e">
        <f>IF(ISNA(VLOOKUP(A38,'Données projet'!$A$87:$I$107,5,0)),0%,VLOOKUP(A38,'Données projet'!$A$87:$I$107,5,0)*VLOOKUP('Données projet'!$B$11,Paramètres!$A$1:$I$89,7,0))</f>
        <v>#N/A</v>
      </c>
      <c r="BN38" s="17" t="e">
        <f>IF(ISNA(VLOOKUP(A38,'Données projet'!$A$87:$I$107,6,0)),0%,VLOOKUP(A38,'Données projet'!$A$87:$I$107,6,0)*VLOOKUP('Données projet'!$B$11,Paramètres!$A$1:$I$89,7,0))</f>
        <v>#N/A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12.625</v>
      </c>
      <c r="N39" s="14">
        <f>IF('Données projet'!$A$36&gt;35,N38+M39-V38,IF(A39&lt;'Données projet'!$A$36,$K$205^A39,IF(A39='Données projet'!$A$36,'Données projet'!$B$36,N38+M39-V38)))</f>
        <v>312.75000000000006</v>
      </c>
      <c r="O39" s="14">
        <f>N39*VLOOKUP('Données projet'!$B$9,Paramètres!$A$1:$I$89,3,0)*VLOOKUP('Données projet'!$B$9,Paramètres!$A$1:$I$89,5,0)</f>
        <v>187.02450000000005</v>
      </c>
      <c r="P39" s="14">
        <f t="shared" si="33"/>
        <v>46.881508940362963</v>
      </c>
      <c r="Q39" s="22">
        <f t="shared" si="53"/>
        <v>407.38629890446555</v>
      </c>
      <c r="R39" s="62">
        <f t="shared" si="0"/>
        <v>700.71963223779881</v>
      </c>
      <c r="S39" s="62">
        <f ca="1">AVERAGE(OFFSET($R$3,0,0,'Données projet'!$E$9+1,1))-AVERAGE(OFFSET($H$3,0,0,'Données projet'!$E$9+1,1))</f>
        <v>157.98488572680344</v>
      </c>
      <c r="T39" s="62">
        <f t="shared" si="34"/>
        <v>269.20989374735825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9.2605579853261553</v>
      </c>
      <c r="AA39" s="23">
        <f>EXP(-LN(2)/25)*AA38+(1-EXP(-LN(2)/25))/(LN(2)/25)*Calculateur!V39*Calculateur!X39*VLOOKUP('Données projet'!$B$9,Paramètres!$A$1:$I$89,3,0)*0.475*44/12</f>
        <v>2.8307352527433443</v>
      </c>
      <c r="AB39" s="23">
        <f>EXP(-LN(2)/2)*AB38+(1-EXP(-LN(2)/2))/(LN(2)/2)*V39*Y39*VLOOKUP('Données projet'!$B$9,Paramètres!$A$1:$I$89,3,0)*0.475*44/12</f>
        <v>0.37903729298625199</v>
      </c>
      <c r="AC39" s="24">
        <f t="shared" si="3"/>
        <v>12.470330531055753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8.1999999999999993</v>
      </c>
      <c r="AI39" s="14">
        <f>IF('Données projet'!$A$62&gt;35,AI38+AH39-AQ38,IF(A39&lt;'Données projet'!$A$62,$AF$205^A39,IF(A39='Données projet'!$A$62,'Données projet'!$B$62,AI38+AH39-AQ38)))</f>
        <v>137.1999999999999</v>
      </c>
      <c r="AJ39" s="14">
        <f>AI39*VLOOKUP('Données projet'!$B$10,Paramètres!$A$1:$I$89,3,0)*VLOOKUP('Données projet'!$B$10,Paramètres!$A$1:$I$89,5,0)</f>
        <v>119.85791999999992</v>
      </c>
      <c r="AK39" s="14">
        <f t="shared" si="35"/>
        <v>31.641859182846865</v>
      </c>
      <c r="AL39" s="22">
        <f t="shared" si="4"/>
        <v>263.86211541012477</v>
      </c>
      <c r="AM39" s="62">
        <f t="shared" si="5"/>
        <v>557.19544874345809</v>
      </c>
      <c r="AN39" s="62">
        <f ca="1">AVERAGE(OFFSET($AM$3,0,0,'Données projet'!$E$10+1,1))-AVERAGE(OFFSET($H$3,0,0,'Données projet'!$E$10+1,1))</f>
        <v>205.97834462530136</v>
      </c>
      <c r="AO39" s="62">
        <f t="shared" si="36"/>
        <v>235.08005253775002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6.2</v>
      </c>
      <c r="BD39" s="13">
        <f>IF('Données projet'!$A$88&gt;35,BD38+BC39-BL38,IF(A39&lt;'Données projet'!$A$88,$BA$205^A39,IF(A39='Données projet'!$A$88,'Données projet'!$B$88,BD38+BC39-BL38)))</f>
        <v>105.20000000000002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12.625</v>
      </c>
      <c r="N40" s="14">
        <f>IF('Données projet'!$A$36&gt;35,N39+M40-V39,IF(A40&lt;'Données projet'!$A$36,$K$205^A40,IF(A40='Données projet'!$A$36,'Données projet'!$B$36,N39+M40-V39)))</f>
        <v>325.37500000000006</v>
      </c>
      <c r="O40" s="14">
        <f>N40*VLOOKUP('Données projet'!$B$9,Paramètres!$A$1:$I$89,3,0)*VLOOKUP('Données projet'!$B$9,Paramètres!$A$1:$I$89,5,0)</f>
        <v>194.57425000000006</v>
      </c>
      <c r="P40" s="14">
        <f t="shared" si="33"/>
        <v>48.54985011520143</v>
      </c>
      <c r="Q40" s="22">
        <f t="shared" si="53"/>
        <v>423.44114103397595</v>
      </c>
      <c r="R40" s="62">
        <f t="shared" si="0"/>
        <v>716.77447436730927</v>
      </c>
      <c r="S40" s="62">
        <f ca="1">AVERAGE(OFFSET($R$3,0,0,'Données projet'!$E$9+1,1))-AVERAGE(OFFSET($H$3,0,0,'Données projet'!$E$9+1,1))</f>
        <v>157.98488572680344</v>
      </c>
      <c r="T40" s="62">
        <f t="shared" si="34"/>
        <v>269.20989374735825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9.0789640916165482</v>
      </c>
      <c r="AA40" s="23">
        <f>EXP(-LN(2)/25)*AA39+(1-EXP(-LN(2)/25))/(LN(2)/25)*Calculateur!V40*Calculateur!X40*VLOOKUP('Données projet'!$B$9,Paramètres!$A$1:$I$89,3,0)*0.475*44/12</f>
        <v>2.7533286483951804</v>
      </c>
      <c r="AB40" s="23">
        <f>EXP(-LN(2)/2)*AB39+(1-EXP(-LN(2)/2))/(LN(2)/2)*V40*Y40*VLOOKUP('Données projet'!$B$9,Paramètres!$A$1:$I$89,3,0)*0.475*44/12</f>
        <v>0.26801984019317099</v>
      </c>
      <c r="AC40" s="24">
        <f t="shared" si="3"/>
        <v>12.1003125802049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8.1999999999999993</v>
      </c>
      <c r="AI40" s="14">
        <f>IF('Données projet'!$A$62&gt;35,AI39+AH40-AQ39,IF(A40&lt;'Données projet'!$A$62,$AF$205^A40,IF(A40='Données projet'!$A$62,'Données projet'!$B$62,AI39+AH40-AQ39)))</f>
        <v>145.39999999999989</v>
      </c>
      <c r="AJ40" s="14">
        <f>AI40*VLOOKUP('Données projet'!$B$10,Paramètres!$A$1:$I$89,3,0)*VLOOKUP('Données projet'!$B$10,Paramètres!$A$1:$I$89,5,0)</f>
        <v>127.02143999999993</v>
      </c>
      <c r="AK40" s="14">
        <f t="shared" si="35"/>
        <v>33.307175870664402</v>
      </c>
      <c r="AL40" s="22">
        <f t="shared" si="4"/>
        <v>279.23900597474034</v>
      </c>
      <c r="AM40" s="62">
        <f t="shared" si="5"/>
        <v>572.57233930807365</v>
      </c>
      <c r="AN40" s="62">
        <f ca="1">AVERAGE(OFFSET($AM$3,0,0,'Données projet'!$E$10+1,1))-AVERAGE(OFFSET($H$3,0,0,'Données projet'!$E$10+1,1))</f>
        <v>205.97834462530136</v>
      </c>
      <c r="AO40" s="62">
        <f t="shared" si="36"/>
        <v>235.08005253775002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6.2</v>
      </c>
      <c r="BD40" s="13">
        <f>IF('Données projet'!$A$88&gt;35,BD39+BC40-BL39,IF(A40&lt;'Données projet'!$A$88,$BA$205^A40,IF(A40='Données projet'!$A$88,'Données projet'!$B$88,BD39+BC40-BL39)))</f>
        <v>111.40000000000002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338</v>
      </c>
      <c r="L41" s="13">
        <f>VLOOKUP(A41,'Données projet'!$A$35:$I$55,9,0)</f>
        <v>12.625</v>
      </c>
      <c r="M41" s="13">
        <f t="array" ref="M41">INDEX(L:L,MIN(IF(ISNUMBER(L41:L237),ROW(L41:L237),"")))</f>
        <v>12.625</v>
      </c>
      <c r="N41" s="14">
        <f>IF('Données projet'!$A$36&gt;35,N40+M41-V40,IF(A41&lt;'Données projet'!$A$36,$K$205^A41,IF(A41='Données projet'!$A$36,'Données projet'!$B$36,N40+M41-V40)))</f>
        <v>338.00000000000006</v>
      </c>
      <c r="O41" s="14">
        <f>N41*VLOOKUP('Données projet'!$B$9,Paramètres!$A$1:$I$89,3,0)*VLOOKUP('Données projet'!$B$9,Paramètres!$A$1:$I$89,5,0)</f>
        <v>202.12400000000008</v>
      </c>
      <c r="P41" s="14">
        <f t="shared" si="33"/>
        <v>50.210671256169846</v>
      </c>
      <c r="Q41" s="22">
        <f t="shared" si="53"/>
        <v>439.48288577116256</v>
      </c>
      <c r="R41" s="62">
        <f t="shared" si="0"/>
        <v>732.81621910449587</v>
      </c>
      <c r="S41" s="62">
        <f ca="1">AVERAGE(OFFSET($R$3,0,0,'Données projet'!$E$9+1,1))-AVERAGE(OFFSET($H$3,0,0,'Données projet'!$E$9+1,1))</f>
        <v>157.98488572680344</v>
      </c>
      <c r="T41" s="62">
        <f t="shared" si="34"/>
        <v>269.20989374735825</v>
      </c>
      <c r="U41" s="16">
        <f>IF(ISNA(VLOOKUP(A41,'Données projet'!$A$35:$I$55,3,0)),0,VLOOKUP(A41,'Données projet'!$A$35:$I$55,3,0))</f>
        <v>5</v>
      </c>
      <c r="V41" s="16">
        <f>IF(ISNA(VLOOKUP(A41,'Données projet'!$A$35:$I$55,4,0)),0,VLOOKUP(A41,'Données projet'!$A$35:$I$55,4,0))</f>
        <v>338</v>
      </c>
      <c r="W41" s="17">
        <f>IF(ISNA(VLOOKUP(A41,'Données projet'!$A$35:$I$55,5,0)),0%,VLOOKUP(A41,'Données projet'!$A$35:$I$55,5,0)*VLOOKUP('Données projet'!$B$9,Paramètres!$A$1:$I$89,7,0))</f>
        <v>0.315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0.3</v>
      </c>
      <c r="Z41" s="23">
        <f>EXP(-LN(2)/35)*Z40+(1-EXP(-LN(2)/35))/(LN(2)/35)*V41*W41*VLOOKUP('Données projet'!$B$9,Paramètres!$A$1:$I$89,3,0)*0.475*44/12</f>
        <v>93.362043050648666</v>
      </c>
      <c r="AA41" s="23">
        <f>EXP(-LN(2)/25)*AA40+(1-EXP(-LN(2)/25))/(LN(2)/25)*Calculateur!V41*Calculateur!X41*VLOOKUP('Données projet'!$B$9,Paramètres!$A$1:$I$89,3,0)*0.475*44/12</f>
        <v>2.6780387317135532</v>
      </c>
      <c r="AB41" s="23">
        <f>EXP(-LN(2)/2)*AB40+(1-EXP(-LN(2)/2))/(LN(2)/2)*V41*Y41*VLOOKUP('Données projet'!$B$9,Paramètres!$A$1:$I$89,3,0)*0.475*44/12</f>
        <v>68.844914918064944</v>
      </c>
      <c r="AC41" s="24">
        <f t="shared" si="3"/>
        <v>164.88499670042717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8.1999999999999993</v>
      </c>
      <c r="AI41" s="14">
        <f>IF('Données projet'!$A$62&gt;35,AI40+AH41-AQ40,IF(A41&lt;'Données projet'!$A$62,$AF$205^A41,IF(A41='Données projet'!$A$62,'Données projet'!$B$62,AI40+AH41-AQ40)))</f>
        <v>153.59999999999988</v>
      </c>
      <c r="AJ41" s="14">
        <f>AI41*VLOOKUP('Données projet'!$B$10,Paramètres!$A$1:$I$89,3,0)*VLOOKUP('Données projet'!$B$10,Paramètres!$A$1:$I$89,5,0)</f>
        <v>134.1849599999999</v>
      </c>
      <c r="AK41" s="14">
        <f t="shared" si="35"/>
        <v>34.96159027064818</v>
      </c>
      <c r="AL41" s="22">
        <f t="shared" si="4"/>
        <v>294.59690838804539</v>
      </c>
      <c r="AM41" s="62">
        <f t="shared" si="5"/>
        <v>587.93024172137871</v>
      </c>
      <c r="AN41" s="62">
        <f ca="1">AVERAGE(OFFSET($AM$3,0,0,'Données projet'!$E$10+1,1))-AVERAGE(OFFSET($H$3,0,0,'Données projet'!$E$10+1,1))</f>
        <v>205.97834462530136</v>
      </c>
      <c r="AO41" s="62">
        <f t="shared" si="36"/>
        <v>235.08005253775002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6.2</v>
      </c>
      <c r="BD41" s="13">
        <f>IF('Données projet'!$A$88&gt;35,BD40+BC41-BL40,IF(A41&lt;'Données projet'!$A$88,$BA$205^A41,IF(A41='Données projet'!$A$88,'Données projet'!$B$88,BD40+BC41-BL40)))</f>
        <v>117.60000000000002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293.33333333333439</v>
      </c>
      <c r="S42" s="62">
        <f ca="1">AVERAGE(OFFSET($R$3,0,0,'Données projet'!$E$9+1,1))-AVERAGE(OFFSET($H$3,0,0,'Données projet'!$E$9+1,1))</f>
        <v>157.98488572680344</v>
      </c>
      <c r="T42" s="62">
        <f t="shared" si="34"/>
        <v>269.20989374735825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91.531270331648827</v>
      </c>
      <c r="AA42" s="23">
        <f>EXP(-LN(2)/25)*AA41+(1-EXP(-LN(2)/25))/(LN(2)/25)*Calculateur!V42*Calculateur!X42*VLOOKUP('Données projet'!$B$9,Paramètres!$A$1:$I$89,3,0)*0.475*44/12</f>
        <v>2.6048076217629101</v>
      </c>
      <c r="AB42" s="23">
        <f>EXP(-LN(2)/2)*AB41+(1-EXP(-LN(2)/2))/(LN(2)/2)*V42*Y42*VLOOKUP('Données projet'!$B$9,Paramètres!$A$1:$I$89,3,0)*0.475*44/12</f>
        <v>48.680706188774636</v>
      </c>
      <c r="AC42" s="24">
        <f t="shared" si="3"/>
        <v>142.81678414218638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8.1999999999999993</v>
      </c>
      <c r="AI42" s="14">
        <f>IF('Données projet'!$A$62&gt;35,AI41+AH42-AQ41,IF(A42&lt;'Données projet'!$A$62,$AF$205^A42,IF(A42='Données projet'!$A$62,'Données projet'!$B$62,AI41+AH42-AQ41)))</f>
        <v>161.79999999999987</v>
      </c>
      <c r="AJ42" s="14">
        <f>AI42*VLOOKUP('Données projet'!$B$10,Paramètres!$A$1:$I$89,3,0)*VLOOKUP('Données projet'!$B$10,Paramètres!$A$1:$I$89,5,0)</f>
        <v>141.34847999999991</v>
      </c>
      <c r="AK42" s="14">
        <f t="shared" si="35"/>
        <v>36.605750770707772</v>
      </c>
      <c r="AL42" s="22">
        <f t="shared" si="4"/>
        <v>309.93695192564923</v>
      </c>
      <c r="AM42" s="62">
        <f t="shared" si="5"/>
        <v>603.27028525898254</v>
      </c>
      <c r="AN42" s="62">
        <f ca="1">AVERAGE(OFFSET($AM$3,0,0,'Données projet'!$E$10+1,1))-AVERAGE(OFFSET($H$3,0,0,'Données projet'!$E$10+1,1))</f>
        <v>205.97834462530136</v>
      </c>
      <c r="AO42" s="62">
        <f t="shared" si="36"/>
        <v>235.08005253775002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6.2</v>
      </c>
      <c r="BD42" s="13">
        <f>IF('Données projet'!$A$88&gt;35,BD41+BC42-BL41,IF(A42&lt;'Données projet'!$A$88,$BA$205^A42,IF(A42='Données projet'!$A$88,'Données projet'!$B$88,BD41+BC42-BL41)))</f>
        <v>123.80000000000003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293.33333333333439</v>
      </c>
      <c r="S43" s="62">
        <f ca="1">AVERAGE(OFFSET($R$3,0,0,'Données projet'!$E$9+1,1))-AVERAGE(OFFSET($H$3,0,0,'Données projet'!$E$9+1,1))</f>
        <v>157.98488572680344</v>
      </c>
      <c r="T43" s="62">
        <f t="shared" si="34"/>
        <v>269.20989374735825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89.736397949007483</v>
      </c>
      <c r="AA43" s="23">
        <f>EXP(-LN(2)/25)*AA42+(1-EXP(-LN(2)/25))/(LN(2)/25)*Calculateur!V43*Calculateur!X43*VLOOKUP('Données projet'!$B$9,Paramètres!$A$1:$I$89,3,0)*0.475*44/12</f>
        <v>2.533579020364924</v>
      </c>
      <c r="AB43" s="23">
        <f>EXP(-LN(2)/2)*AB42+(1-EXP(-LN(2)/2))/(LN(2)/2)*V43*Y43*VLOOKUP('Données projet'!$B$9,Paramètres!$A$1:$I$89,3,0)*0.475*44/12</f>
        <v>34.422457459032479</v>
      </c>
      <c r="AC43" s="24">
        <f t="shared" si="3"/>
        <v>126.69243442840488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170</v>
      </c>
      <c r="AG43" s="13">
        <f>VLOOKUP(A43,'Données projet'!$A$61:$I$81,9,0)</f>
        <v>8.1999999999999993</v>
      </c>
      <c r="AH43" s="13">
        <f t="array" ref="AH43">INDEX(AG:AG,MIN(IF(ISNUMBER(AG43:AG239),ROW(AG43:AG239),"")))</f>
        <v>8.1999999999999993</v>
      </c>
      <c r="AI43" s="14">
        <f>IF('Données projet'!$A$62&gt;35,AI42+AH43-AQ42,IF(A43&lt;'Données projet'!$A$62,$AF$205^A43,IF(A43='Données projet'!$A$62,'Données projet'!$B$62,AI42+AH43-AQ42)))</f>
        <v>169.99999999999986</v>
      </c>
      <c r="AJ43" s="14">
        <f>AI43*VLOOKUP('Données projet'!$B$10,Paramètres!$A$1:$I$89,3,0)*VLOOKUP('Données projet'!$B$10,Paramètres!$A$1:$I$89,5,0)</f>
        <v>148.51199999999989</v>
      </c>
      <c r="AK43" s="14">
        <f t="shared" si="35"/>
        <v>38.240236326053477</v>
      </c>
      <c r="AL43" s="22">
        <f t="shared" si="4"/>
        <v>325.26014493454295</v>
      </c>
      <c r="AM43" s="62">
        <f t="shared" si="5"/>
        <v>618.59347826787621</v>
      </c>
      <c r="AN43" s="62">
        <f ca="1">AVERAGE(OFFSET($AM$3,0,0,'Données projet'!$E$10+1,1))-AVERAGE(OFFSET($H$3,0,0,'Données projet'!$E$10+1,1))</f>
        <v>205.97834462530136</v>
      </c>
      <c r="AO43" s="62">
        <f t="shared" si="36"/>
        <v>235.08005253775002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28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130</v>
      </c>
      <c r="BB43" s="13">
        <f>VLOOKUP(A43,'Données projet'!$A$87:$I$107,9,0)</f>
        <v>6.2</v>
      </c>
      <c r="BC43" s="13">
        <f t="array" ref="BC43">INDEX(BB:BB,MIN(IF(ISNUMBER(BB43:BB239),ROW(BB43:BB239),"")))</f>
        <v>6.2</v>
      </c>
      <c r="BD43" s="13">
        <f>IF('Données projet'!$A$88&gt;35,BD42+BC43-BL42,IF(A43&lt;'Données projet'!$A$88,$BA$205^A43,IF(A43='Données projet'!$A$88,'Données projet'!$B$88,BD42+BC43-BL42)))</f>
        <v>130.00000000000003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19</v>
      </c>
      <c r="BM43" s="17" t="e">
        <f>IF(ISNA(VLOOKUP(A43,'Données projet'!$A$87:$I$107,5,0)),0%,VLOOKUP(A43,'Données projet'!$A$87:$I$107,5,0)*VLOOKUP('Données projet'!$B$11,Paramètres!$A$1:$I$89,7,0))</f>
        <v>#N/A</v>
      </c>
      <c r="BN43" s="17" t="e">
        <f>IF(ISNA(VLOOKUP(A43,'Données projet'!$A$87:$I$107,6,0)),0%,VLOOKUP(A43,'Données projet'!$A$87:$I$107,6,0)*VLOOKUP('Données projet'!$B$11,Paramètres!$A$1:$I$89,7,0))</f>
        <v>#N/A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293.33333333333439</v>
      </c>
      <c r="S44" s="62">
        <f ca="1">AVERAGE(OFFSET($R$3,0,0,'Données projet'!$E$9+1,1))-AVERAGE(OFFSET($H$3,0,0,'Données projet'!$E$9+1,1))</f>
        <v>157.98488572680344</v>
      </c>
      <c r="T44" s="62">
        <f t="shared" si="34"/>
        <v>269.20989374735825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87.976721919025678</v>
      </c>
      <c r="AA44" s="23">
        <f>EXP(-LN(2)/25)*AA43+(1-EXP(-LN(2)/25))/(LN(2)/25)*Calculateur!V44*Calculateur!X44*VLOOKUP('Données projet'!$B$9,Paramètres!$A$1:$I$89,3,0)*0.475*44/12</f>
        <v>2.4642981688179151</v>
      </c>
      <c r="AB44" s="23">
        <f>EXP(-LN(2)/2)*AB43+(1-EXP(-LN(2)/2))/(LN(2)/2)*V44*Y44*VLOOKUP('Données projet'!$B$9,Paramètres!$A$1:$I$89,3,0)*0.475*44/12</f>
        <v>24.340353094387321</v>
      </c>
      <c r="AC44" s="24">
        <f t="shared" si="3"/>
        <v>114.78137318223092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7.6</v>
      </c>
      <c r="AI44" s="14">
        <f>IF('Données projet'!$A$62&gt;35,AI43+AH44-AQ43,IF(A44&lt;'Données projet'!$A$62,$AF$205^A44,IF(A44='Données projet'!$A$62,'Données projet'!$B$62,AI43+AH44-AQ43)))</f>
        <v>149.59999999999985</v>
      </c>
      <c r="AJ44" s="14">
        <f>AI44*VLOOKUP('Données projet'!$B$10,Paramètres!$A$1:$I$89,3,0)*VLOOKUP('Données projet'!$B$10,Paramètres!$A$1:$I$89,5,0)</f>
        <v>130.69055999999989</v>
      </c>
      <c r="AK44" s="14">
        <f t="shared" si="35"/>
        <v>34.155878238422694</v>
      </c>
      <c r="AL44" s="22">
        <f t="shared" si="4"/>
        <v>287.107546598586</v>
      </c>
      <c r="AM44" s="62">
        <f t="shared" si="5"/>
        <v>580.44087993191931</v>
      </c>
      <c r="AN44" s="62">
        <f ca="1">AVERAGE(OFFSET($AM$3,0,0,'Données projet'!$E$10+1,1))-AVERAGE(OFFSET($H$3,0,0,'Données projet'!$E$10+1,1))</f>
        <v>205.97834462530136</v>
      </c>
      <c r="AO44" s="62">
        <f t="shared" si="36"/>
        <v>235.08005253775002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5.4</v>
      </c>
      <c r="BD44" s="13">
        <f>IF('Données projet'!$A$88&gt;35,BD43+BC44-BL43,IF(A44&lt;'Données projet'!$A$88,$BA$205^A44,IF(A44='Données projet'!$A$88,'Données projet'!$B$88,BD43+BC44-BL43)))</f>
        <v>116.40000000000003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293.33333333333439</v>
      </c>
      <c r="S45" s="62">
        <f ca="1">AVERAGE(OFFSET($R$3,0,0,'Données projet'!$E$9+1,1))-AVERAGE(OFFSET($H$3,0,0,'Données projet'!$E$9+1,1))</f>
        <v>157.98488572680344</v>
      </c>
      <c r="T45" s="62">
        <f t="shared" si="34"/>
        <v>269.20989374735825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86.251552062695424</v>
      </c>
      <c r="AA45" s="23">
        <f>EXP(-LN(2)/25)*AA44+(1-EXP(-LN(2)/25))/(LN(2)/25)*Calculateur!V45*Calculateur!X45*VLOOKUP('Données projet'!$B$9,Paramètres!$A$1:$I$89,3,0)*0.475*44/12</f>
        <v>2.3969118057997809</v>
      </c>
      <c r="AB45" s="23">
        <f>EXP(-LN(2)/2)*AB44+(1-EXP(-LN(2)/2))/(LN(2)/2)*V45*Y45*VLOOKUP('Données projet'!$B$9,Paramètres!$A$1:$I$89,3,0)*0.475*44/12</f>
        <v>17.211228729516243</v>
      </c>
      <c r="AC45" s="24">
        <f t="shared" si="3"/>
        <v>105.85969259801143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7.6</v>
      </c>
      <c r="AI45" s="14">
        <f>IF('Données projet'!$A$62&gt;35,AI44+AH45-AQ44,IF(A45&lt;'Données projet'!$A$62,$AF$205^A45,IF(A45='Données projet'!$A$62,'Données projet'!$B$62,AI44+AH45-AQ44)))</f>
        <v>157.19999999999985</v>
      </c>
      <c r="AJ45" s="14">
        <f>AI45*VLOOKUP('Données projet'!$B$10,Paramètres!$A$1:$I$89,3,0)*VLOOKUP('Données projet'!$B$10,Paramètres!$A$1:$I$89,5,0)</f>
        <v>137.3299199999999</v>
      </c>
      <c r="AK45" s="14">
        <f t="shared" si="35"/>
        <v>35.684643836992151</v>
      </c>
      <c r="AL45" s="22">
        <f t="shared" si="4"/>
        <v>301.33369868276117</v>
      </c>
      <c r="AM45" s="62">
        <f t="shared" si="5"/>
        <v>594.66703201609448</v>
      </c>
      <c r="AN45" s="62">
        <f ca="1">AVERAGE(OFFSET($AM$3,0,0,'Données projet'!$E$10+1,1))-AVERAGE(OFFSET($H$3,0,0,'Données projet'!$E$10+1,1))</f>
        <v>205.97834462530136</v>
      </c>
      <c r="AO45" s="62">
        <f t="shared" si="36"/>
        <v>235.08005253775002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5.4</v>
      </c>
      <c r="BD45" s="13">
        <f>IF('Données projet'!$A$88&gt;35,BD44+BC45-BL44,IF(A45&lt;'Données projet'!$A$88,$BA$205^A45,IF(A45='Données projet'!$A$88,'Données projet'!$B$88,BD44+BC45-BL44)))</f>
        <v>121.80000000000004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293.33333333333439</v>
      </c>
      <c r="S46" s="62">
        <f ca="1">AVERAGE(OFFSET($R$3,0,0,'Données projet'!$E$9+1,1))-AVERAGE(OFFSET($H$3,0,0,'Données projet'!$E$9+1,1))</f>
        <v>157.98488572680344</v>
      </c>
      <c r="T46" s="62">
        <f t="shared" si="34"/>
        <v>269.20989374735825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84.560211734998092</v>
      </c>
      <c r="AA46" s="23">
        <f>EXP(-LN(2)/25)*AA45+(1-EXP(-LN(2)/25))/(LN(2)/25)*Calculateur!V46*Calculateur!X46*VLOOKUP('Données projet'!$B$9,Paramètres!$A$1:$I$89,3,0)*0.475*44/12</f>
        <v>2.3313681264220723</v>
      </c>
      <c r="AB46" s="23">
        <f>EXP(-LN(2)/2)*AB45+(1-EXP(-LN(2)/2))/(LN(2)/2)*V46*Y46*VLOOKUP('Données projet'!$B$9,Paramètres!$A$1:$I$89,3,0)*0.475*44/12</f>
        <v>12.170176547193662</v>
      </c>
      <c r="AC46" s="24">
        <f t="shared" si="3"/>
        <v>99.061756408613832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7.6</v>
      </c>
      <c r="AI46" s="14">
        <f>IF('Données projet'!$A$62&gt;35,AI45+AH46-AQ45,IF(A46&lt;'Données projet'!$A$62,$AF$205^A46,IF(A46='Données projet'!$A$62,'Données projet'!$B$62,AI45+AH46-AQ45)))</f>
        <v>164.79999999999984</v>
      </c>
      <c r="AJ46" s="14">
        <f>AI46*VLOOKUP('Données projet'!$B$10,Paramètres!$A$1:$I$89,3,0)*VLOOKUP('Données projet'!$B$10,Paramètres!$A$1:$I$89,5,0)</f>
        <v>143.96927999999988</v>
      </c>
      <c r="AK46" s="14">
        <f t="shared" si="35"/>
        <v>37.204826967876741</v>
      </c>
      <c r="AL46" s="22">
        <f t="shared" si="4"/>
        <v>315.5449029690518</v>
      </c>
      <c r="AM46" s="62">
        <f t="shared" si="5"/>
        <v>608.87823630238518</v>
      </c>
      <c r="AN46" s="62">
        <f ca="1">AVERAGE(OFFSET($AM$3,0,0,'Données projet'!$E$10+1,1))-AVERAGE(OFFSET($H$3,0,0,'Données projet'!$E$10+1,1))</f>
        <v>205.97834462530136</v>
      </c>
      <c r="AO46" s="62">
        <f t="shared" si="36"/>
        <v>235.08005253775002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5.4</v>
      </c>
      <c r="BD46" s="13">
        <f>IF('Données projet'!$A$88&gt;35,BD45+BC46-BL45,IF(A46&lt;'Données projet'!$A$88,$BA$205^A46,IF(A46='Données projet'!$A$88,'Données projet'!$B$88,BD45+BC46-BL45)))</f>
        <v>127.20000000000005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293.33333333333439</v>
      </c>
      <c r="S47" s="62">
        <f ca="1">AVERAGE(OFFSET($R$3,0,0,'Données projet'!$E$9+1,1))-AVERAGE(OFFSET($H$3,0,0,'Données projet'!$E$9+1,1))</f>
        <v>157.98488572680344</v>
      </c>
      <c r="T47" s="62">
        <f t="shared" si="34"/>
        <v>269.20989374735825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82.902037559511172</v>
      </c>
      <c r="AA47" s="23">
        <f>EXP(-LN(2)/25)*AA46+(1-EXP(-LN(2)/25))/(LN(2)/25)*Calculateur!V47*Calculateur!X47*VLOOKUP('Données projet'!$B$9,Paramètres!$A$1:$I$89,3,0)*0.475*44/12</f>
        <v>2.2676167424037392</v>
      </c>
      <c r="AB47" s="23">
        <f>EXP(-LN(2)/2)*AB46+(1-EXP(-LN(2)/2))/(LN(2)/2)*V47*Y47*VLOOKUP('Données projet'!$B$9,Paramètres!$A$1:$I$89,3,0)*0.475*44/12</f>
        <v>8.6056143647581216</v>
      </c>
      <c r="AC47" s="24">
        <f t="shared" si="3"/>
        <v>93.775268666673043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7.6</v>
      </c>
      <c r="AI47" s="14">
        <f>IF('Données projet'!$A$62&gt;35,AI46+AH47-AQ46,IF(A47&lt;'Données projet'!$A$62,$AF$205^A47,IF(A47='Données projet'!$A$62,'Données projet'!$B$62,AI46+AH47-AQ46)))</f>
        <v>172.39999999999984</v>
      </c>
      <c r="AJ47" s="14">
        <f>AI47*VLOOKUP('Données projet'!$B$10,Paramètres!$A$1:$I$89,3,0)*VLOOKUP('Données projet'!$B$10,Paramètres!$A$1:$I$89,5,0)</f>
        <v>150.60863999999987</v>
      </c>
      <c r="AK47" s="14">
        <f t="shared" si="35"/>
        <v>38.716868630535259</v>
      </c>
      <c r="AL47" s="22">
        <f t="shared" si="4"/>
        <v>329.74192753151533</v>
      </c>
      <c r="AM47" s="62">
        <f t="shared" si="5"/>
        <v>623.07526086484859</v>
      </c>
      <c r="AN47" s="62">
        <f ca="1">AVERAGE(OFFSET($AM$3,0,0,'Données projet'!$E$10+1,1))-AVERAGE(OFFSET($H$3,0,0,'Données projet'!$E$10+1,1))</f>
        <v>205.97834462530136</v>
      </c>
      <c r="AO47" s="62">
        <f t="shared" si="36"/>
        <v>235.08005253775002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5.4</v>
      </c>
      <c r="BD47" s="13">
        <f>IF('Données projet'!$A$88&gt;35,BD46+BC47-BL46,IF(A47&lt;'Données projet'!$A$88,$BA$205^A47,IF(A47='Données projet'!$A$88,'Données projet'!$B$88,BD46+BC47-BL46)))</f>
        <v>132.60000000000005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157.98488572680344</v>
      </c>
      <c r="T48" s="62">
        <f t="shared" si="34"/>
        <v>269.20989374735825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81.276379168219165</v>
      </c>
      <c r="AA48" s="23">
        <f>EXP(-LN(2)/25)*AA47+(1-EXP(-LN(2)/25))/(LN(2)/25)*Calculateur!V48*Calculateur!X48*VLOOKUP('Données projet'!$B$9,Paramètres!$A$1:$I$89,3,0)*0.475*44/12</f>
        <v>2.2056086433339273</v>
      </c>
      <c r="AB48" s="23">
        <f>EXP(-LN(2)/2)*AB47+(1-EXP(-LN(2)/2))/(LN(2)/2)*V48*Y48*VLOOKUP('Données projet'!$B$9,Paramètres!$A$1:$I$89,3,0)*0.475*44/12</f>
        <v>6.0850882735968312</v>
      </c>
      <c r="AC48" s="24">
        <f t="shared" si="3"/>
        <v>89.567076085149921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180</v>
      </c>
      <c r="AG48" s="13">
        <f>VLOOKUP(A48,'Données projet'!$A$61:$I$81,9,0)</f>
        <v>7.6</v>
      </c>
      <c r="AH48" s="13">
        <f t="array" ref="AH48">INDEX(AG:AG,MIN(IF(ISNUMBER(AG48:AG244),ROW(AG48:AG244),"")))</f>
        <v>7.6</v>
      </c>
      <c r="AI48" s="14">
        <f>IF('Données projet'!$A$62&gt;35,AI47+AH48-AQ47,IF(A48&lt;'Données projet'!$A$62,$AF$205^A48,IF(A48='Données projet'!$A$62,'Données projet'!$B$62,AI47+AH48-AQ47)))</f>
        <v>179.99999999999983</v>
      </c>
      <c r="AJ48" s="14">
        <f>AI48*VLOOKUP('Données projet'!$B$10,Paramètres!$A$1:$I$89,3,0)*VLOOKUP('Données projet'!$B$10,Paramètres!$A$1:$I$89,5,0)</f>
        <v>157.24799999999988</v>
      </c>
      <c r="AK48" s="14">
        <f t="shared" si="35"/>
        <v>40.22116874434861</v>
      </c>
      <c r="AL48" s="22">
        <f t="shared" si="4"/>
        <v>343.92546889640693</v>
      </c>
      <c r="AM48" s="62">
        <f t="shared" si="5"/>
        <v>637.25880222974024</v>
      </c>
      <c r="AN48" s="62">
        <f ca="1">AVERAGE(OFFSET($AM$3,0,0,'Données projet'!$E$10+1,1))-AVERAGE(OFFSET($H$3,0,0,'Données projet'!$E$10+1,1))</f>
        <v>205.97834462530136</v>
      </c>
      <c r="AO48" s="62">
        <f t="shared" si="36"/>
        <v>235.08005253775002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26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138</v>
      </c>
      <c r="BB48" s="13">
        <f>VLOOKUP(A48,'Données projet'!$A$87:$I$107,9,0)</f>
        <v>5.4</v>
      </c>
      <c r="BC48" s="13">
        <f t="array" ref="BC48">INDEX(BB:BB,MIN(IF(ISNUMBER(BB48:BB244),ROW(BB48:BB244),"")))</f>
        <v>5.4</v>
      </c>
      <c r="BD48" s="13">
        <f>IF('Données projet'!$A$88&gt;35,BD47+BC48-BL47,IF(A48&lt;'Données projet'!$A$88,$BA$205^A48,IF(A48='Données projet'!$A$88,'Données projet'!$B$88,BD47+BC48-BL47)))</f>
        <v>138.00000000000006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17</v>
      </c>
      <c r="BM48" s="17" t="e">
        <f>IF(ISNA(VLOOKUP(A48,'Données projet'!$A$87:$I$107,5,0)),0%,VLOOKUP(A48,'Données projet'!$A$87:$I$107,5,0)*VLOOKUP('Données projet'!$B$11,Paramètres!$A$1:$I$89,7,0))</f>
        <v>#N/A</v>
      </c>
      <c r="BN48" s="17" t="e">
        <f>IF(ISNA(VLOOKUP(A48,'Données projet'!$A$87:$I$107,6,0)),0%,VLOOKUP(A48,'Données projet'!$A$87:$I$107,6,0)*VLOOKUP('Données projet'!$B$11,Paramètres!$A$1:$I$89,7,0))</f>
        <v>#N/A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157.98488572680344</v>
      </c>
      <c r="T49" s="62">
        <f t="shared" si="34"/>
        <v>269.20989374735825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79.68259894642668</v>
      </c>
      <c r="AA49" s="23">
        <f>EXP(-LN(2)/25)*AA48+(1-EXP(-LN(2)/25))/(LN(2)/25)*Calculateur!V49*Calculateur!X49*VLOOKUP('Données projet'!$B$9,Paramètres!$A$1:$I$89,3,0)*0.475*44/12</f>
        <v>2.1452961589940434</v>
      </c>
      <c r="AB49" s="23">
        <f>EXP(-LN(2)/2)*AB48+(1-EXP(-LN(2)/2))/(LN(2)/2)*V49*Y49*VLOOKUP('Données projet'!$B$9,Paramètres!$A$1:$I$89,3,0)*0.475*44/12</f>
        <v>4.3028071823790608</v>
      </c>
      <c r="AC49" s="24">
        <f t="shared" si="3"/>
        <v>86.130702287799778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6.8</v>
      </c>
      <c r="AI49" s="14">
        <f>IF('Données projet'!$A$62&gt;35,AI48+AH49-AQ48,IF(A49&lt;'Données projet'!$A$62,$AF$205^A49,IF(A49='Données projet'!$A$62,'Données projet'!$B$62,AI48+AH49-AQ48)))</f>
        <v>160.79999999999984</v>
      </c>
      <c r="AJ49" s="14">
        <f>AI49*VLOOKUP('Données projet'!$B$10,Paramètres!$A$1:$I$89,3,0)*VLOOKUP('Données projet'!$B$10,Paramètres!$A$1:$I$89,5,0)</f>
        <v>140.47487999999987</v>
      </c>
      <c r="AK49" s="14">
        <f t="shared" si="35"/>
        <v>36.405772385199647</v>
      </c>
      <c r="AL49" s="22">
        <f t="shared" si="4"/>
        <v>308.06713623755576</v>
      </c>
      <c r="AM49" s="62">
        <f t="shared" si="5"/>
        <v>601.40046957088907</v>
      </c>
      <c r="AN49" s="62">
        <f ca="1">AVERAGE(OFFSET($AM$3,0,0,'Données projet'!$E$10+1,1))-AVERAGE(OFFSET($H$3,0,0,'Données projet'!$E$10+1,1))</f>
        <v>205.97834462530136</v>
      </c>
      <c r="AO49" s="62">
        <f t="shared" si="36"/>
        <v>235.08005253775002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4.8</v>
      </c>
      <c r="BD49" s="13">
        <f>IF('Données projet'!$A$88&gt;35,BD48+BC49-BL48,IF(A49&lt;'Données projet'!$A$88,$BA$205^A49,IF(A49='Données projet'!$A$88,'Données projet'!$B$88,BD48+BC49-BL48)))</f>
        <v>125.80000000000007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157.98488572680344</v>
      </c>
      <c r="T50" s="62">
        <f t="shared" si="34"/>
        <v>269.20989374735825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78.120071782673605</v>
      </c>
      <c r="AA50" s="23">
        <f>EXP(-LN(2)/25)*AA49+(1-EXP(-LN(2)/25))/(LN(2)/25)*Calculateur!V50*Calculateur!X50*VLOOKUP('Données projet'!$B$9,Paramètres!$A$1:$I$89,3,0)*0.475*44/12</f>
        <v>2.0866329227101295</v>
      </c>
      <c r="AB50" s="23">
        <f>EXP(-LN(2)/2)*AB49+(1-EXP(-LN(2)/2))/(LN(2)/2)*V50*Y50*VLOOKUP('Données projet'!$B$9,Paramètres!$A$1:$I$89,3,0)*0.475*44/12</f>
        <v>3.0425441367984156</v>
      </c>
      <c r="AC50" s="24">
        <f t="shared" si="3"/>
        <v>83.249248842182141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6.8</v>
      </c>
      <c r="AI50" s="14">
        <f>IF('Données projet'!$A$62&gt;35,AI49+AH50-AQ49,IF(A50&lt;'Données projet'!$A$62,$AF$205^A50,IF(A50='Données projet'!$A$62,'Données projet'!$B$62,AI49+AH50-AQ49)))</f>
        <v>167.59999999999985</v>
      </c>
      <c r="AJ50" s="14">
        <f>AI50*VLOOKUP('Données projet'!$B$10,Paramètres!$A$1:$I$89,3,0)*VLOOKUP('Données projet'!$B$10,Paramètres!$A$1:$I$89,5,0)</f>
        <v>146.41535999999988</v>
      </c>
      <c r="AK50" s="14">
        <f t="shared" si="35"/>
        <v>37.762820103024438</v>
      </c>
      <c r="AL50" s="22">
        <f t="shared" si="4"/>
        <v>320.77699701276737</v>
      </c>
      <c r="AM50" s="62">
        <f t="shared" si="5"/>
        <v>614.11033034610068</v>
      </c>
      <c r="AN50" s="62">
        <f ca="1">AVERAGE(OFFSET($AM$3,0,0,'Données projet'!$E$10+1,1))-AVERAGE(OFFSET($H$3,0,0,'Données projet'!$E$10+1,1))</f>
        <v>205.97834462530136</v>
      </c>
      <c r="AO50" s="62">
        <f t="shared" si="36"/>
        <v>235.08005253775002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4.8</v>
      </c>
      <c r="BD50" s="13">
        <f>IF('Données projet'!$A$88&gt;35,BD49+BC50-BL49,IF(A50&lt;'Données projet'!$A$88,$BA$205^A50,IF(A50='Données projet'!$A$88,'Données projet'!$B$88,BD49+BC50-BL49)))</f>
        <v>130.60000000000008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157.98488572680344</v>
      </c>
      <c r="T51" s="62">
        <f t="shared" si="34"/>
        <v>269.20989374735825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76.588184823554258</v>
      </c>
      <c r="AA51" s="23">
        <f>EXP(-LN(2)/25)*AA50+(1-EXP(-LN(2)/25))/(LN(2)/25)*Calculateur!V51*Calculateur!X51*VLOOKUP('Données projet'!$B$9,Paramètres!$A$1:$I$89,3,0)*0.475*44/12</f>
        <v>2.0295738357073647</v>
      </c>
      <c r="AB51" s="23">
        <f>EXP(-LN(2)/2)*AB50+(1-EXP(-LN(2)/2))/(LN(2)/2)*V51*Y51*VLOOKUP('Données projet'!$B$9,Paramètres!$A$1:$I$89,3,0)*0.475*44/12</f>
        <v>2.1514035911895304</v>
      </c>
      <c r="AC51" s="24">
        <f t="shared" si="3"/>
        <v>80.76916225045116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6.8</v>
      </c>
      <c r="AI51" s="14">
        <f>IF('Données projet'!$A$62&gt;35,AI50+AH51-AQ50,IF(A51&lt;'Données projet'!$A$62,$AF$205^A51,IF(A51='Données projet'!$A$62,'Données projet'!$B$62,AI50+AH51-AQ50)))</f>
        <v>174.39999999999986</v>
      </c>
      <c r="AJ51" s="14">
        <f>AI51*VLOOKUP('Données projet'!$B$10,Paramètres!$A$1:$I$89,3,0)*VLOOKUP('Données projet'!$B$10,Paramètres!$A$1:$I$89,5,0)</f>
        <v>152.35583999999989</v>
      </c>
      <c r="AK51" s="14">
        <f t="shared" si="35"/>
        <v>39.113472184767602</v>
      </c>
      <c r="AL51" s="22">
        <f t="shared" si="4"/>
        <v>333.47571872180339</v>
      </c>
      <c r="AM51" s="62">
        <f t="shared" si="5"/>
        <v>626.8090520551367</v>
      </c>
      <c r="AN51" s="62">
        <f ca="1">AVERAGE(OFFSET($AM$3,0,0,'Données projet'!$E$10+1,1))-AVERAGE(OFFSET($H$3,0,0,'Données projet'!$E$10+1,1))</f>
        <v>205.97834462530136</v>
      </c>
      <c r="AO51" s="62">
        <f t="shared" si="36"/>
        <v>235.08005253775002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4.8</v>
      </c>
      <c r="BD51" s="13">
        <f>IF('Données projet'!$A$88&gt;35,BD50+BC51-BL50,IF(A51&lt;'Données projet'!$A$88,$BA$205^A51,IF(A51='Données projet'!$A$88,'Données projet'!$B$88,BD50+BC51-BL50)))</f>
        <v>135.40000000000009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157.98488572680344</v>
      </c>
      <c r="T52" s="62">
        <f t="shared" si="34"/>
        <v>269.20989374735825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75.086337233344466</v>
      </c>
      <c r="AA52" s="23">
        <f>EXP(-LN(2)/25)*AA51+(1-EXP(-LN(2)/25))/(LN(2)/25)*Calculateur!V52*Calculateur!X52*VLOOKUP('Données projet'!$B$9,Paramètres!$A$1:$I$89,3,0)*0.475*44/12</f>
        <v>1.9740750324392975</v>
      </c>
      <c r="AB52" s="23">
        <f>EXP(-LN(2)/2)*AB51+(1-EXP(-LN(2)/2))/(LN(2)/2)*V52*Y52*VLOOKUP('Données projet'!$B$9,Paramètres!$A$1:$I$89,3,0)*0.475*44/12</f>
        <v>1.5212720683992078</v>
      </c>
      <c r="AC52" s="24">
        <f t="shared" si="3"/>
        <v>78.581684334182981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6.8</v>
      </c>
      <c r="AI52" s="14">
        <f>IF('Données projet'!$A$62&gt;35,AI51+AH52-AQ51,IF(A52&lt;'Données projet'!$A$62,$AF$205^A52,IF(A52='Données projet'!$A$62,'Données projet'!$B$62,AI51+AH52-AQ51)))</f>
        <v>181.19999999999987</v>
      </c>
      <c r="AJ52" s="14">
        <f>AI52*VLOOKUP('Données projet'!$B$10,Paramètres!$A$1:$I$89,3,0)*VLOOKUP('Données projet'!$B$10,Paramètres!$A$1:$I$89,5,0)</f>
        <v>158.29631999999989</v>
      </c>
      <c r="AK52" s="14">
        <f t="shared" si="35"/>
        <v>40.458006540983703</v>
      </c>
      <c r="AL52" s="22">
        <f t="shared" si="4"/>
        <v>346.16378539221301</v>
      </c>
      <c r="AM52" s="62">
        <f t="shared" si="5"/>
        <v>639.49711872554633</v>
      </c>
      <c r="AN52" s="62">
        <f ca="1">AVERAGE(OFFSET($AM$3,0,0,'Données projet'!$E$10+1,1))-AVERAGE(OFFSET($H$3,0,0,'Données projet'!$E$10+1,1))</f>
        <v>205.97834462530136</v>
      </c>
      <c r="AO52" s="62">
        <f t="shared" si="36"/>
        <v>235.08005253775002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4.8</v>
      </c>
      <c r="BD52" s="13">
        <f>IF('Données projet'!$A$88&gt;35,BD51+BC52-BL51,IF(A52&lt;'Données projet'!$A$88,$BA$205^A52,IF(A52='Données projet'!$A$88,'Données projet'!$B$88,BD51+BC52-BL51)))</f>
        <v>140.2000000000001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157.98488572680344</v>
      </c>
      <c r="T53" s="62">
        <f t="shared" si="34"/>
        <v>269.20989374735825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73.613939958342101</v>
      </c>
      <c r="AA53" s="23">
        <f>EXP(-LN(2)/25)*AA52+(1-EXP(-LN(2)/25))/(LN(2)/25)*Calculateur!V53*Calculateur!X53*VLOOKUP('Données projet'!$B$9,Paramètres!$A$1:$I$89,3,0)*0.475*44/12</f>
        <v>1.9200938468651507</v>
      </c>
      <c r="AB53" s="23">
        <f>EXP(-LN(2)/2)*AB52+(1-EXP(-LN(2)/2))/(LN(2)/2)*V53*Y53*VLOOKUP('Données projet'!$B$9,Paramètres!$A$1:$I$89,3,0)*0.475*44/12</f>
        <v>1.0757017955947652</v>
      </c>
      <c r="AC53" s="24">
        <f t="shared" si="3"/>
        <v>76.609735600802026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188</v>
      </c>
      <c r="AG53" s="13">
        <f>VLOOKUP(A53,'Données projet'!$A$61:$I$81,9,0)</f>
        <v>6.8</v>
      </c>
      <c r="AH53" s="13">
        <f t="array" ref="AH53">INDEX(AG:AG,MIN(IF(ISNUMBER(AG53:AG249),ROW(AG53:AG249),"")))</f>
        <v>6.8</v>
      </c>
      <c r="AI53" s="14">
        <f>IF('Données projet'!$A$62&gt;35,AI52+AH53-AQ52,IF(A53&lt;'Données projet'!$A$62,$AF$205^A53,IF(A53='Données projet'!$A$62,'Données projet'!$B$62,AI52+AH53-AQ52)))</f>
        <v>187.99999999999989</v>
      </c>
      <c r="AJ53" s="14">
        <f>AI53*VLOOKUP('Données projet'!$B$10,Paramètres!$A$1:$I$89,3,0)*VLOOKUP('Données projet'!$B$10,Paramètres!$A$1:$I$89,5,0)</f>
        <v>164.23679999999993</v>
      </c>
      <c r="AK53" s="14">
        <f t="shared" si="35"/>
        <v>41.796679041964317</v>
      </c>
      <c r="AL53" s="22">
        <f t="shared" si="4"/>
        <v>358.84164266475437</v>
      </c>
      <c r="AM53" s="62">
        <f t="shared" si="5"/>
        <v>652.17497599808769</v>
      </c>
      <c r="AN53" s="62">
        <f ca="1">AVERAGE(OFFSET($AM$3,0,0,'Données projet'!$E$10+1,1))-AVERAGE(OFFSET($H$3,0,0,'Données projet'!$E$10+1,1))</f>
        <v>205.97834462530136</v>
      </c>
      <c r="AO53" s="62">
        <f t="shared" si="36"/>
        <v>235.08005253775002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24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145</v>
      </c>
      <c r="BB53" s="13">
        <f>VLOOKUP(A53,'Données projet'!$A$87:$I$107,9,0)</f>
        <v>4.8</v>
      </c>
      <c r="BC53" s="13">
        <f t="array" ref="BC53">INDEX(BB:BB,MIN(IF(ISNUMBER(BB53:BB249),ROW(BB53:BB249),"")))</f>
        <v>4.8</v>
      </c>
      <c r="BD53" s="13">
        <f>IF('Données projet'!$A$88&gt;35,BD52+BC53-BL52,IF(A53&lt;'Données projet'!$A$88,$BA$205^A53,IF(A53='Données projet'!$A$88,'Données projet'!$B$88,BD52+BC53-BL52)))</f>
        <v>145.00000000000011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16</v>
      </c>
      <c r="BM53" s="17" t="e">
        <f>IF(ISNA(VLOOKUP(A53,'Données projet'!$A$87:$I$107,5,0)),0%,VLOOKUP(A53,'Données projet'!$A$87:$I$107,5,0)*VLOOKUP('Données projet'!$B$11,Paramètres!$A$1:$I$89,7,0))</f>
        <v>#N/A</v>
      </c>
      <c r="BN53" s="17" t="e">
        <f>IF(ISNA(VLOOKUP(A53,'Données projet'!$A$87:$I$107,6,0)),0%,VLOOKUP(A53,'Données projet'!$A$87:$I$107,6,0)*VLOOKUP('Données projet'!$B$11,Paramètres!$A$1:$I$89,7,0))</f>
        <v>#N/A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157.98488572680344</v>
      </c>
      <c r="T54" s="62">
        <f t="shared" si="34"/>
        <v>269.20989374735825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72.170415495828877</v>
      </c>
      <c r="AA54" s="23">
        <f>EXP(-LN(2)/25)*AA53+(1-EXP(-LN(2)/25))/(LN(2)/25)*Calculateur!V54*Calculateur!X54*VLOOKUP('Données projet'!$B$9,Paramètres!$A$1:$I$89,3,0)*0.475*44/12</f>
        <v>1.8675887796492763</v>
      </c>
      <c r="AB54" s="23">
        <f>EXP(-LN(2)/2)*AB53+(1-EXP(-LN(2)/2))/(LN(2)/2)*V54*Y54*VLOOKUP('Données projet'!$B$9,Paramètres!$A$1:$I$89,3,0)*0.475*44/12</f>
        <v>0.76063603419960391</v>
      </c>
      <c r="AC54" s="24">
        <f t="shared" si="3"/>
        <v>74.798640309677765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5.8</v>
      </c>
      <c r="AI54" s="14">
        <f>IF('Données projet'!$A$62&gt;35,AI53+AH54-AQ53,IF(A54&lt;'Données projet'!$A$62,$AF$205^A54,IF(A54='Données projet'!$A$62,'Données projet'!$B$62,AI53+AH54-AQ53)))</f>
        <v>169.7999999999999</v>
      </c>
      <c r="AJ54" s="14">
        <f>AI54*VLOOKUP('Données projet'!$B$10,Paramètres!$A$1:$I$89,3,0)*VLOOKUP('Données projet'!$B$10,Paramètres!$A$1:$I$89,5,0)</f>
        <v>148.33727999999994</v>
      </c>
      <c r="AK54" s="14">
        <f t="shared" si="35"/>
        <v>38.200481752654802</v>
      </c>
      <c r="AL54" s="22">
        <f t="shared" si="4"/>
        <v>324.88660171920702</v>
      </c>
      <c r="AM54" s="62">
        <f t="shared" si="5"/>
        <v>618.21993505254034</v>
      </c>
      <c r="AN54" s="62">
        <f ca="1">AVERAGE(OFFSET($AM$3,0,0,'Données projet'!$E$10+1,1))-AVERAGE(OFFSET($H$3,0,0,'Données projet'!$E$10+1,1))</f>
        <v>205.97834462530136</v>
      </c>
      <c r="AO54" s="62">
        <f t="shared" si="36"/>
        <v>235.08005253775002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4.4000000000000004</v>
      </c>
      <c r="BD54" s="13">
        <f>IF('Données projet'!$A$88&gt;35,BD53+BC54-BL53,IF(A54&lt;'Données projet'!$A$88,$BA$205^A54,IF(A54='Données projet'!$A$88,'Données projet'!$B$88,BD53+BC54-BL53)))</f>
        <v>133.40000000000012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157.98488572680344</v>
      </c>
      <c r="T55" s="62">
        <f t="shared" si="34"/>
        <v>269.20989374735825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70.755197667562555</v>
      </c>
      <c r="AA55" s="23">
        <f>EXP(-LN(2)/25)*AA54+(1-EXP(-LN(2)/25))/(LN(2)/25)*Calculateur!V55*Calculateur!X55*VLOOKUP('Données projet'!$B$9,Paramètres!$A$1:$I$89,3,0)*0.475*44/12</f>
        <v>1.8165194662575412</v>
      </c>
      <c r="AB55" s="23">
        <f>EXP(-LN(2)/2)*AB54+(1-EXP(-LN(2)/2))/(LN(2)/2)*V55*Y55*VLOOKUP('Données projet'!$B$9,Paramètres!$A$1:$I$89,3,0)*0.475*44/12</f>
        <v>0.5378508977973826</v>
      </c>
      <c r="AC55" s="24">
        <f t="shared" si="3"/>
        <v>73.109568031617485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5.8</v>
      </c>
      <c r="AI55" s="14">
        <f>IF('Données projet'!$A$62&gt;35,AI54+AH55-AQ54,IF(A55&lt;'Données projet'!$A$62,$AF$205^A55,IF(A55='Données projet'!$A$62,'Données projet'!$B$62,AI54+AH55-AQ54)))</f>
        <v>175.59999999999991</v>
      </c>
      <c r="AJ55" s="14">
        <f>AI55*VLOOKUP('Données projet'!$B$10,Paramètres!$A$1:$I$89,3,0)*VLOOKUP('Données projet'!$B$10,Paramètres!$A$1:$I$89,5,0)</f>
        <v>153.40415999999993</v>
      </c>
      <c r="AK55" s="14">
        <f t="shared" si="35"/>
        <v>39.351179931647387</v>
      </c>
      <c r="AL55" s="22">
        <f t="shared" si="4"/>
        <v>335.71555038095238</v>
      </c>
      <c r="AM55" s="62">
        <f t="shared" si="5"/>
        <v>629.04888371428569</v>
      </c>
      <c r="AN55" s="62">
        <f ca="1">AVERAGE(OFFSET($AM$3,0,0,'Données projet'!$E$10+1,1))-AVERAGE(OFFSET($H$3,0,0,'Données projet'!$E$10+1,1))</f>
        <v>205.97834462530136</v>
      </c>
      <c r="AO55" s="62">
        <f t="shared" si="36"/>
        <v>235.08005253775002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4.4000000000000004</v>
      </c>
      <c r="BD55" s="13">
        <f>IF('Données projet'!$A$88&gt;35,BD54+BC55-BL54,IF(A55&lt;'Données projet'!$A$88,$BA$205^A55,IF(A55='Données projet'!$A$88,'Données projet'!$B$88,BD54+BC55-BL54)))</f>
        <v>137.80000000000013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157.98488572680344</v>
      </c>
      <c r="T56" s="62">
        <f t="shared" si="34"/>
        <v>269.20989374735825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69.367731397710884</v>
      </c>
      <c r="AA56" s="23">
        <f>EXP(-LN(2)/25)*AA55+(1-EXP(-LN(2)/25))/(LN(2)/25)*Calculateur!V56*Calculateur!X56*VLOOKUP('Données projet'!$B$9,Paramètres!$A$1:$I$89,3,0)*0.475*44/12</f>
        <v>1.7668466459261218</v>
      </c>
      <c r="AB56" s="23">
        <f>EXP(-LN(2)/2)*AB55+(1-EXP(-LN(2)/2))/(LN(2)/2)*V56*Y56*VLOOKUP('Données projet'!$B$9,Paramètres!$A$1:$I$89,3,0)*0.475*44/12</f>
        <v>0.38031801709980195</v>
      </c>
      <c r="AC56" s="24">
        <f t="shared" si="3"/>
        <v>71.514896060736802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5.8</v>
      </c>
      <c r="AI56" s="14">
        <f>IF('Données projet'!$A$62&gt;35,AI55+AH56-AQ55,IF(A56&lt;'Données projet'!$A$62,$AF$205^A56,IF(A56='Données projet'!$A$62,'Données projet'!$B$62,AI55+AH56-AQ55)))</f>
        <v>181.39999999999992</v>
      </c>
      <c r="AJ56" s="14">
        <f>AI56*VLOOKUP('Données projet'!$B$10,Paramètres!$A$1:$I$89,3,0)*VLOOKUP('Données projet'!$B$10,Paramètres!$A$1:$I$89,5,0)</f>
        <v>158.47103999999993</v>
      </c>
      <c r="AK56" s="14">
        <f t="shared" si="35"/>
        <v>40.497461727609561</v>
      </c>
      <c r="AL56" s="22">
        <f t="shared" si="4"/>
        <v>346.53680717558649</v>
      </c>
      <c r="AM56" s="62">
        <f t="shared" si="5"/>
        <v>639.8701405089198</v>
      </c>
      <c r="AN56" s="62">
        <f ca="1">AVERAGE(OFFSET($AM$3,0,0,'Données projet'!$E$10+1,1))-AVERAGE(OFFSET($H$3,0,0,'Données projet'!$E$10+1,1))</f>
        <v>205.97834462530136</v>
      </c>
      <c r="AO56" s="62">
        <f t="shared" si="36"/>
        <v>235.08005253775002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4.4000000000000004</v>
      </c>
      <c r="BD56" s="13">
        <f>IF('Données projet'!$A$88&gt;35,BD55+BC56-BL55,IF(A56&lt;'Données projet'!$A$88,$BA$205^A56,IF(A56='Données projet'!$A$88,'Données projet'!$B$88,BD55+BC56-BL55)))</f>
        <v>142.20000000000013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157.98488572680344</v>
      </c>
      <c r="T57" s="62">
        <f t="shared" si="34"/>
        <v>269.20989374735825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68.007472495140149</v>
      </c>
      <c r="AA57" s="23">
        <f>EXP(-LN(2)/25)*AA56+(1-EXP(-LN(2)/25))/(LN(2)/25)*Calculateur!V57*Calculateur!X57*VLOOKUP('Données projet'!$B$9,Paramètres!$A$1:$I$89,3,0)*0.475*44/12</f>
        <v>1.7185321314788451</v>
      </c>
      <c r="AB57" s="23">
        <f>EXP(-LN(2)/2)*AB56+(1-EXP(-LN(2)/2))/(LN(2)/2)*V57*Y57*VLOOKUP('Données projet'!$B$9,Paramètres!$A$1:$I$89,3,0)*0.475*44/12</f>
        <v>0.2689254488986913</v>
      </c>
      <c r="AC57" s="24">
        <f t="shared" si="3"/>
        <v>69.994930075517672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5.8</v>
      </c>
      <c r="AI57" s="14">
        <f>IF('Données projet'!$A$62&gt;35,AI56+AH57-AQ56,IF(A57&lt;'Données projet'!$A$62,$AF$205^A57,IF(A57='Données projet'!$A$62,'Données projet'!$B$62,AI56+AH57-AQ56)))</f>
        <v>187.19999999999993</v>
      </c>
      <c r="AJ57" s="14">
        <f>AI57*VLOOKUP('Données projet'!$B$10,Paramètres!$A$1:$I$89,3,0)*VLOOKUP('Données projet'!$B$10,Paramètres!$A$1:$I$89,5,0)</f>
        <v>163.53791999999996</v>
      </c>
      <c r="AK57" s="14">
        <f t="shared" si="35"/>
        <v>41.639484545926599</v>
      </c>
      <c r="AL57" s="22">
        <f t="shared" si="4"/>
        <v>357.35064625082208</v>
      </c>
      <c r="AM57" s="62">
        <f t="shared" si="5"/>
        <v>650.6839795841554</v>
      </c>
      <c r="AN57" s="62">
        <f ca="1">AVERAGE(OFFSET($AM$3,0,0,'Données projet'!$E$10+1,1))-AVERAGE(OFFSET($H$3,0,0,'Données projet'!$E$10+1,1))</f>
        <v>205.97834462530136</v>
      </c>
      <c r="AO57" s="62">
        <f t="shared" si="36"/>
        <v>235.08005253775002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4.4000000000000004</v>
      </c>
      <c r="BD57" s="13">
        <f>IF('Données projet'!$A$88&gt;35,BD56+BC57-BL56,IF(A57&lt;'Données projet'!$A$88,$BA$205^A57,IF(A57='Données projet'!$A$88,'Données projet'!$B$88,BD56+BC57-BL56)))</f>
        <v>146.60000000000014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157.98488572680344</v>
      </c>
      <c r="T58" s="62">
        <f t="shared" si="34"/>
        <v>269.20989374735825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66.673887439972816</v>
      </c>
      <c r="AA58" s="23">
        <f>EXP(-LN(2)/25)*AA57+(1-EXP(-LN(2)/25))/(LN(2)/25)*Calculateur!V58*Calculateur!X58*VLOOKUP('Données projet'!$B$9,Paramètres!$A$1:$I$89,3,0)*0.475*44/12</f>
        <v>1.6715387799698791</v>
      </c>
      <c r="AB58" s="23">
        <f>EXP(-LN(2)/2)*AB57+(1-EXP(-LN(2)/2))/(LN(2)/2)*V58*Y58*VLOOKUP('Données projet'!$B$9,Paramètres!$A$1:$I$89,3,0)*0.475*44/12</f>
        <v>0.19015900854990098</v>
      </c>
      <c r="AC58" s="24">
        <f t="shared" si="3"/>
        <v>68.535585228492593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193</v>
      </c>
      <c r="AG58" s="13">
        <f>VLOOKUP(A58,'Données projet'!$A$61:$I$81,9,0)</f>
        <v>5.8</v>
      </c>
      <c r="AH58" s="13">
        <f t="array" ref="AH58">INDEX(AG:AG,MIN(IF(ISNUMBER(AG58:AG254),ROW(AG58:AG254),"")))</f>
        <v>5.8</v>
      </c>
      <c r="AI58" s="14">
        <f>IF('Données projet'!$A$62&gt;35,AI57+AH58-AQ57,IF(A58&lt;'Données projet'!$A$62,$AF$205^A58,IF(A58='Données projet'!$A$62,'Données projet'!$B$62,AI57+AH58-AQ57)))</f>
        <v>192.99999999999994</v>
      </c>
      <c r="AJ58" s="14">
        <f>AI58*VLOOKUP('Données projet'!$B$10,Paramètres!$A$1:$I$89,3,0)*VLOOKUP('Données projet'!$B$10,Paramètres!$A$1:$I$89,5,0)</f>
        <v>168.60479999999998</v>
      </c>
      <c r="AK58" s="14">
        <f t="shared" si="35"/>
        <v>42.777395484149757</v>
      </c>
      <c r="AL58" s="22">
        <f t="shared" si="4"/>
        <v>368.15732380156078</v>
      </c>
      <c r="AM58" s="62">
        <f t="shared" si="5"/>
        <v>661.49065713489404</v>
      </c>
      <c r="AN58" s="62">
        <f ca="1">AVERAGE(OFFSET($AM$3,0,0,'Données projet'!$E$10+1,1))-AVERAGE(OFFSET($H$3,0,0,'Données projet'!$E$10+1,1))</f>
        <v>205.97834462530136</v>
      </c>
      <c r="AO58" s="62">
        <f t="shared" si="36"/>
        <v>235.08005253775002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21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151</v>
      </c>
      <c r="BB58" s="13">
        <f>VLOOKUP(A58,'Données projet'!$A$87:$I$107,9,0)</f>
        <v>4.4000000000000004</v>
      </c>
      <c r="BC58" s="13">
        <f t="array" ref="BC58">INDEX(BB:BB,MIN(IF(ISNUMBER(BB58:BB254),ROW(BB58:BB254),"")))</f>
        <v>4.4000000000000004</v>
      </c>
      <c r="BD58" s="13">
        <f>IF('Données projet'!$A$88&gt;35,BD57+BC58-BL57,IF(A58&lt;'Données projet'!$A$88,$BA$205^A58,IF(A58='Données projet'!$A$88,'Données projet'!$B$88,BD57+BC58-BL57)))</f>
        <v>151.00000000000014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8</v>
      </c>
      <c r="BL58" s="16">
        <f>IF(ISNA(VLOOKUP(A58,'Données projet'!$A$87:$I$107,4,0)),0,VLOOKUP(A58,'Données projet'!$A$87:$I$107,4,0))</f>
        <v>14</v>
      </c>
      <c r="BM58" s="17" t="e">
        <f>IF(ISNA(VLOOKUP(A58,'Données projet'!$A$87:$I$107,5,0)),0%,VLOOKUP(A58,'Données projet'!$A$87:$I$107,5,0)*VLOOKUP('Données projet'!$B$11,Paramètres!$A$1:$I$89,7,0))</f>
        <v>#N/A</v>
      </c>
      <c r="BN58" s="17" t="e">
        <f>IF(ISNA(VLOOKUP(A58,'Données projet'!$A$87:$I$107,6,0)),0%,VLOOKUP(A58,'Données projet'!$A$87:$I$107,6,0)*VLOOKUP('Données projet'!$B$11,Paramètres!$A$1:$I$89,7,0))</f>
        <v>#N/A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157.98488572680344</v>
      </c>
      <c r="T59" s="62">
        <f t="shared" si="34"/>
        <v>269.20989374735825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65.366453174330744</v>
      </c>
      <c r="AA59" s="23">
        <f>EXP(-LN(2)/25)*AA58+(1-EXP(-LN(2)/25))/(LN(2)/25)*Calculateur!V59*Calculateur!X59*VLOOKUP('Données projet'!$B$9,Paramètres!$A$1:$I$89,3,0)*0.475*44/12</f>
        <v>1.6258304641291987</v>
      </c>
      <c r="AB59" s="23">
        <f>EXP(-LN(2)/2)*AB58+(1-EXP(-LN(2)/2))/(LN(2)/2)*V59*Y59*VLOOKUP('Données projet'!$B$9,Paramètres!$A$1:$I$89,3,0)*0.475*44/12</f>
        <v>0.13446272444934565</v>
      </c>
      <c r="AC59" s="24">
        <f t="shared" si="3"/>
        <v>67.126746362909287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5.2</v>
      </c>
      <c r="AI59" s="14">
        <f>IF('Données projet'!$A$62&gt;35,AI58+AH59-AQ58,IF(A59&lt;'Données projet'!$A$62,$AF$205^A59,IF(A59='Données projet'!$A$62,'Données projet'!$B$62,AI58+AH59-AQ58)))</f>
        <v>177.19999999999993</v>
      </c>
      <c r="AJ59" s="14">
        <f>AI59*VLOOKUP('Données projet'!$B$10,Paramètres!$A$1:$I$89,3,0)*VLOOKUP('Données projet'!$B$10,Paramètres!$A$1:$I$89,5,0)</f>
        <v>154.80191999999997</v>
      </c>
      <c r="AK59" s="14">
        <f t="shared" si="35"/>
        <v>39.667829827227919</v>
      </c>
      <c r="AL59" s="22">
        <f t="shared" si="4"/>
        <v>338.70148094908853</v>
      </c>
      <c r="AM59" s="62">
        <f t="shared" si="5"/>
        <v>632.03481428242185</v>
      </c>
      <c r="AN59" s="62">
        <f ca="1">AVERAGE(OFFSET($AM$3,0,0,'Données projet'!$E$10+1,1))-AVERAGE(OFFSET($H$3,0,0,'Données projet'!$E$10+1,1))</f>
        <v>205.97834462530136</v>
      </c>
      <c r="AO59" s="62">
        <f t="shared" si="36"/>
        <v>235.08005253775002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3.8</v>
      </c>
      <c r="BD59" s="13">
        <f>IF('Données projet'!$A$88&gt;35,BD58+BC59-BL58,IF(A59&lt;'Données projet'!$A$88,$BA$205^A59,IF(A59='Données projet'!$A$88,'Données projet'!$B$88,BD58+BC59-BL58)))</f>
        <v>140.80000000000015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157.98488572680344</v>
      </c>
      <c r="T60" s="62">
        <f t="shared" si="34"/>
        <v>269.20989374735825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64.084656897181759</v>
      </c>
      <c r="AA60" s="23">
        <f>EXP(-LN(2)/25)*AA59+(1-EXP(-LN(2)/25))/(LN(2)/25)*Calculateur!V60*Calculateur!X60*VLOOKUP('Données projet'!$B$9,Paramètres!$A$1:$I$89,3,0)*0.475*44/12</f>
        <v>1.5813720445888775</v>
      </c>
      <c r="AB60" s="23">
        <f>EXP(-LN(2)/2)*AB59+(1-EXP(-LN(2)/2))/(LN(2)/2)*V60*Y60*VLOOKUP('Données projet'!$B$9,Paramètres!$A$1:$I$89,3,0)*0.475*44/12</f>
        <v>9.5079504274950488E-2</v>
      </c>
      <c r="AC60" s="24">
        <f t="shared" si="3"/>
        <v>65.761108446045583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5.2</v>
      </c>
      <c r="AI60" s="14">
        <f>IF('Données projet'!$A$62&gt;35,AI59+AH60-AQ59,IF(A60&lt;'Données projet'!$A$62,$AF$205^A60,IF(A60='Données projet'!$A$62,'Données projet'!$B$62,AI59+AH60-AQ59)))</f>
        <v>182.39999999999992</v>
      </c>
      <c r="AJ60" s="14">
        <f>AI60*VLOOKUP('Données projet'!$B$10,Paramètres!$A$1:$I$89,3,0)*VLOOKUP('Données projet'!$B$10,Paramètres!$A$1:$I$89,5,0)</f>
        <v>159.34463999999994</v>
      </c>
      <c r="AK60" s="14">
        <f t="shared" si="35"/>
        <v>40.694661837553809</v>
      </c>
      <c r="AL60" s="22">
        <f t="shared" si="4"/>
        <v>348.40178403373943</v>
      </c>
      <c r="AM60" s="62">
        <f t="shared" si="5"/>
        <v>641.73511736707269</v>
      </c>
      <c r="AN60" s="62">
        <f ca="1">AVERAGE(OFFSET($AM$3,0,0,'Données projet'!$E$10+1,1))-AVERAGE(OFFSET($H$3,0,0,'Données projet'!$E$10+1,1))</f>
        <v>205.97834462530136</v>
      </c>
      <c r="AO60" s="62">
        <f t="shared" si="36"/>
        <v>235.08005253775002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3.8</v>
      </c>
      <c r="BD60" s="13">
        <f>IF('Données projet'!$A$88&gt;35,BD59+BC60-BL59,IF(A60&lt;'Données projet'!$A$88,$BA$205^A60,IF(A60='Données projet'!$A$88,'Données projet'!$B$88,BD59+BC60-BL59)))</f>
        <v>144.60000000000016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157.98488572680344</v>
      </c>
      <c r="T61" s="62">
        <f t="shared" si="34"/>
        <v>269.20989374735825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62.827995863209132</v>
      </c>
      <c r="AA61" s="23">
        <f>EXP(-LN(2)/25)*AA60+(1-EXP(-LN(2)/25))/(LN(2)/25)*Calculateur!V61*Calculateur!X61*VLOOKUP('Données projet'!$B$9,Paramètres!$A$1:$I$89,3,0)*0.475*44/12</f>
        <v>1.5381293428688532</v>
      </c>
      <c r="AB61" s="23">
        <f>EXP(-LN(2)/2)*AB60+(1-EXP(-LN(2)/2))/(LN(2)/2)*V61*Y61*VLOOKUP('Données projet'!$B$9,Paramètres!$A$1:$I$89,3,0)*0.475*44/12</f>
        <v>6.7231362224672825E-2</v>
      </c>
      <c r="AC61" s="24">
        <f t="shared" si="3"/>
        <v>64.433356568302656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5.2</v>
      </c>
      <c r="AI61" s="14">
        <f>IF('Données projet'!$A$62&gt;35,AI60+AH61-AQ60,IF(A61&lt;'Données projet'!$A$62,$AF$205^A61,IF(A61='Données projet'!$A$62,'Données projet'!$B$62,AI60+AH61-AQ60)))</f>
        <v>187.59999999999991</v>
      </c>
      <c r="AJ61" s="14">
        <f>AI61*VLOOKUP('Données projet'!$B$10,Paramètres!$A$1:$I$89,3,0)*VLOOKUP('Données projet'!$B$10,Paramètres!$A$1:$I$89,5,0)</f>
        <v>163.88735999999994</v>
      </c>
      <c r="AK61" s="14">
        <f t="shared" si="35"/>
        <v>41.718091547385683</v>
      </c>
      <c r="AL61" s="22">
        <f t="shared" si="4"/>
        <v>358.09616144502996</v>
      </c>
      <c r="AM61" s="62">
        <f t="shared" si="5"/>
        <v>651.42949477836328</v>
      </c>
      <c r="AN61" s="62">
        <f ca="1">AVERAGE(OFFSET($AM$3,0,0,'Données projet'!$E$10+1,1))-AVERAGE(OFFSET($H$3,0,0,'Données projet'!$E$10+1,1))</f>
        <v>205.97834462530136</v>
      </c>
      <c r="AO61" s="62">
        <f t="shared" si="36"/>
        <v>235.08005253775002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3.8</v>
      </c>
      <c r="BD61" s="13">
        <f>IF('Données projet'!$A$88&gt;35,BD60+BC61-BL60,IF(A61&lt;'Données projet'!$A$88,$BA$205^A61,IF(A61='Données projet'!$A$88,'Données projet'!$B$88,BD60+BC61-BL60)))</f>
        <v>148.40000000000018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157.98488572680344</v>
      </c>
      <c r="T62" s="62">
        <f t="shared" si="34"/>
        <v>269.20989374735825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61.595977185625166</v>
      </c>
      <c r="AA62" s="23">
        <f>EXP(-LN(2)/25)*AA61+(1-EXP(-LN(2)/25))/(LN(2)/25)*Calculateur!V62*Calculateur!X62*VLOOKUP('Données projet'!$B$9,Paramètres!$A$1:$I$89,3,0)*0.475*44/12</f>
        <v>1.4960691151013976</v>
      </c>
      <c r="AB62" s="23">
        <f>EXP(-LN(2)/2)*AB61+(1-EXP(-LN(2)/2))/(LN(2)/2)*V62*Y62*VLOOKUP('Données projet'!$B$9,Paramètres!$A$1:$I$89,3,0)*0.475*44/12</f>
        <v>4.7539752137475244E-2</v>
      </c>
      <c r="AC62" s="24">
        <f t="shared" si="3"/>
        <v>63.13958605286404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5.2</v>
      </c>
      <c r="AI62" s="14">
        <f>IF('Données projet'!$A$62&gt;35,AI61+AH62-AQ61,IF(A62&lt;'Données projet'!$A$62,$AF$205^A62,IF(A62='Données projet'!$A$62,'Données projet'!$B$62,AI61+AH62-AQ61)))</f>
        <v>192.7999999999999</v>
      </c>
      <c r="AJ62" s="14">
        <f>AI62*VLOOKUP('Données projet'!$B$10,Paramètres!$A$1:$I$89,3,0)*VLOOKUP('Données projet'!$B$10,Paramètres!$A$1:$I$89,5,0)</f>
        <v>168.43007999999992</v>
      </c>
      <c r="AK62" s="14">
        <f t="shared" si="35"/>
        <v>42.738224098484984</v>
      </c>
      <c r="AL62" s="22">
        <f t="shared" si="4"/>
        <v>367.78479630486117</v>
      </c>
      <c r="AM62" s="62">
        <f t="shared" si="5"/>
        <v>661.11812963819443</v>
      </c>
      <c r="AN62" s="62">
        <f ca="1">AVERAGE(OFFSET($AM$3,0,0,'Données projet'!$E$10+1,1))-AVERAGE(OFFSET($H$3,0,0,'Données projet'!$E$10+1,1))</f>
        <v>205.97834462530136</v>
      </c>
      <c r="AO62" s="62">
        <f t="shared" si="36"/>
        <v>235.08005253775002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3.8</v>
      </c>
      <c r="BD62" s="13">
        <f>IF('Données projet'!$A$88&gt;35,BD61+BC62-BL61,IF(A62&lt;'Données projet'!$A$88,$BA$205^A62,IF(A62='Données projet'!$A$88,'Données projet'!$B$88,BD61+BC62-BL61)))</f>
        <v>152.20000000000019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157.98488572680344</v>
      </c>
      <c r="T63" s="62">
        <f t="shared" si="34"/>
        <v>269.20989374735825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60.388117642851427</v>
      </c>
      <c r="AA63" s="23">
        <f>EXP(-LN(2)/25)*AA62+(1-EXP(-LN(2)/25))/(LN(2)/25)*Calculateur!V63*Calculateur!X63*VLOOKUP('Données projet'!$B$9,Paramètres!$A$1:$I$89,3,0)*0.475*44/12</f>
        <v>1.4551590264740943</v>
      </c>
      <c r="AB63" s="23">
        <f>EXP(-LN(2)/2)*AB62+(1-EXP(-LN(2)/2))/(LN(2)/2)*V63*Y63*VLOOKUP('Données projet'!$B$9,Paramètres!$A$1:$I$89,3,0)*0.475*44/12</f>
        <v>3.3615681112336412E-2</v>
      </c>
      <c r="AC63" s="24">
        <f t="shared" si="3"/>
        <v>61.876892350437856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198</v>
      </c>
      <c r="AG63" s="13">
        <f>VLOOKUP(A63,'Données projet'!$A$61:$I$81,9,0)</f>
        <v>5.2</v>
      </c>
      <c r="AH63" s="13">
        <f t="array" ref="AH63">INDEX(AG:AG,MIN(IF(ISNUMBER(AG63:AG259),ROW(AG63:AG259),"")))</f>
        <v>5.2</v>
      </c>
      <c r="AI63" s="14">
        <f>IF('Données projet'!$A$62&gt;35,AI62+AH63-AQ62,IF(A63&lt;'Données projet'!$A$62,$AF$205^A63,IF(A63='Données projet'!$A$62,'Données projet'!$B$62,AI62+AH63-AQ62)))</f>
        <v>197.99999999999989</v>
      </c>
      <c r="AJ63" s="14">
        <f>AI63*VLOOKUP('Données projet'!$B$10,Paramètres!$A$1:$I$89,3,0)*VLOOKUP('Données projet'!$B$10,Paramètres!$A$1:$I$89,5,0)</f>
        <v>172.97279999999992</v>
      </c>
      <c r="AK63" s="14">
        <f t="shared" si="35"/>
        <v>43.755158638197244</v>
      </c>
      <c r="AL63" s="22">
        <f t="shared" si="4"/>
        <v>377.46786129486003</v>
      </c>
      <c r="AM63" s="62">
        <f t="shared" si="5"/>
        <v>670.80119462819334</v>
      </c>
      <c r="AN63" s="62">
        <f ca="1">AVERAGE(OFFSET($AM$3,0,0,'Données projet'!$E$10+1,1))-AVERAGE(OFFSET($H$3,0,0,'Données projet'!$E$10+1,1))</f>
        <v>205.97834462530136</v>
      </c>
      <c r="AO63" s="62">
        <f t="shared" si="36"/>
        <v>235.08005253775002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19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156</v>
      </c>
      <c r="BB63" s="13">
        <f>VLOOKUP(A63,'Données projet'!$A$87:$I$107,9,0)</f>
        <v>3.8</v>
      </c>
      <c r="BC63" s="13">
        <f t="array" ref="BC63">INDEX(BB:BB,MIN(IF(ISNUMBER(BB63:BB259),ROW(BB63:BB259),"")))</f>
        <v>3.8</v>
      </c>
      <c r="BD63" s="13">
        <f>IF('Données projet'!$A$88&gt;35,BD62+BC63-BL62,IF(A63&lt;'Données projet'!$A$88,$BA$205^A63,IF(A63='Données projet'!$A$88,'Données projet'!$B$88,BD62+BC63-BL62)))</f>
        <v>156.0000000000002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9</v>
      </c>
      <c r="BL63" s="16">
        <f>IF(ISNA(VLOOKUP(A63,'Données projet'!$A$87:$I$107,4,0)),0,VLOOKUP(A63,'Données projet'!$A$87:$I$107,4,0))</f>
        <v>13</v>
      </c>
      <c r="BM63" s="17" t="e">
        <f>IF(ISNA(VLOOKUP(A63,'Données projet'!$A$87:$I$107,5,0)),0%,VLOOKUP(A63,'Données projet'!$A$87:$I$107,5,0)*VLOOKUP('Données projet'!$B$11,Paramètres!$A$1:$I$89,7,0))</f>
        <v>#N/A</v>
      </c>
      <c r="BN63" s="17" t="e">
        <f>IF(ISNA(VLOOKUP(A63,'Données projet'!$A$87:$I$107,6,0)),0%,VLOOKUP(A63,'Données projet'!$A$87:$I$107,6,0)*VLOOKUP('Données projet'!$B$11,Paramètres!$A$1:$I$89,7,0))</f>
        <v>#N/A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157.98488572680344</v>
      </c>
      <c r="T64" s="62">
        <f t="shared" si="34"/>
        <v>269.20989374735825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59.203943488989907</v>
      </c>
      <c r="AA64" s="23">
        <f>EXP(-LN(2)/25)*AA63+(1-EXP(-LN(2)/25))/(LN(2)/25)*Calculateur!V64*Calculateur!X64*VLOOKUP('Données projet'!$B$9,Paramètres!$A$1:$I$89,3,0)*0.475*44/12</f>
        <v>1.4153676263716728</v>
      </c>
      <c r="AB64" s="23">
        <f>EXP(-LN(2)/2)*AB63+(1-EXP(-LN(2)/2))/(LN(2)/2)*V64*Y64*VLOOKUP('Données projet'!$B$9,Paramètres!$A$1:$I$89,3,0)*0.475*44/12</f>
        <v>2.3769876068737622E-2</v>
      </c>
      <c r="AC64" s="24">
        <f t="shared" si="3"/>
        <v>60.643080991430324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4.5999999999999996</v>
      </c>
      <c r="AI64" s="14">
        <f>IF('Données projet'!$A$62&gt;35,AI63+AH64-AQ63,IF(A64&lt;'Données projet'!$A$62,$AF$205^A64,IF(A64='Données projet'!$A$62,'Données projet'!$B$62,AI63+AH64-AQ63)))</f>
        <v>183.59999999999988</v>
      </c>
      <c r="AJ64" s="14">
        <f>AI64*VLOOKUP('Données projet'!$B$10,Paramètres!$A$1:$I$89,3,0)*VLOOKUP('Données projet'!$B$10,Paramètres!$A$1:$I$89,5,0)</f>
        <v>160.39295999999993</v>
      </c>
      <c r="AK64" s="14">
        <f t="shared" si="35"/>
        <v>40.931135973980041</v>
      </c>
      <c r="AL64" s="22">
        <f t="shared" si="4"/>
        <v>350.63946715468182</v>
      </c>
      <c r="AM64" s="62">
        <f t="shared" si="5"/>
        <v>643.97280048801508</v>
      </c>
      <c r="AN64" s="62">
        <f ca="1">AVERAGE(OFFSET($AM$3,0,0,'Données projet'!$E$10+1,1))-AVERAGE(OFFSET($H$3,0,0,'Données projet'!$E$10+1,1))</f>
        <v>205.97834462530136</v>
      </c>
      <c r="AO64" s="62">
        <f t="shared" si="36"/>
        <v>235.08005253775002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3.4</v>
      </c>
      <c r="BD64" s="13">
        <f>IF('Données projet'!$A$88&gt;35,BD63+BC64-BL63,IF(A64&lt;'Données projet'!$A$88,$BA$205^A64,IF(A64='Données projet'!$A$88,'Données projet'!$B$88,BD63+BC64-BL63)))</f>
        <v>146.4000000000002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157.98488572680344</v>
      </c>
      <c r="T65" s="62">
        <f t="shared" si="34"/>
        <v>269.20989374735825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58.042990268010691</v>
      </c>
      <c r="AA65" s="23">
        <f>EXP(-LN(2)/25)*AA64+(1-EXP(-LN(2)/25))/(LN(2)/25)*Calculateur!V65*Calculateur!X65*VLOOKUP('Données projet'!$B$9,Paramètres!$A$1:$I$89,3,0)*0.475*44/12</f>
        <v>1.3766643241975909</v>
      </c>
      <c r="AB65" s="23">
        <f>EXP(-LN(2)/2)*AB64+(1-EXP(-LN(2)/2))/(LN(2)/2)*V65*Y65*VLOOKUP('Données projet'!$B$9,Paramètres!$A$1:$I$89,3,0)*0.475*44/12</f>
        <v>1.6807840556168206E-2</v>
      </c>
      <c r="AC65" s="24">
        <f t="shared" si="3"/>
        <v>59.436462432764451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4.5999999999999996</v>
      </c>
      <c r="AI65" s="14">
        <f>IF('Données projet'!$A$62&gt;35,AI64+AH65-AQ64,IF(A65&lt;'Données projet'!$A$62,$AF$205^A65,IF(A65='Données projet'!$A$62,'Données projet'!$B$62,AI64+AH65-AQ64)))</f>
        <v>188.19999999999987</v>
      </c>
      <c r="AJ65" s="14">
        <f>AI65*VLOOKUP('Données projet'!$B$10,Paramètres!$A$1:$I$89,3,0)*VLOOKUP('Données projet'!$B$10,Paramètres!$A$1:$I$89,5,0)</f>
        <v>164.41151999999991</v>
      </c>
      <c r="AK65" s="14">
        <f t="shared" si="35"/>
        <v>41.835965488659497</v>
      </c>
      <c r="AL65" s="22">
        <f t="shared" si="4"/>
        <v>359.2143705594151</v>
      </c>
      <c r="AM65" s="62">
        <f t="shared" si="5"/>
        <v>652.54770389274836</v>
      </c>
      <c r="AN65" s="62">
        <f ca="1">AVERAGE(OFFSET($AM$3,0,0,'Données projet'!$E$10+1,1))-AVERAGE(OFFSET($H$3,0,0,'Données projet'!$E$10+1,1))</f>
        <v>205.97834462530136</v>
      </c>
      <c r="AO65" s="62">
        <f t="shared" si="36"/>
        <v>235.08005253775002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3.4</v>
      </c>
      <c r="BD65" s="13">
        <f>IF('Données projet'!$A$88&gt;35,BD64+BC65-BL64,IF(A65&lt;'Données projet'!$A$88,$BA$205^A65,IF(A65='Données projet'!$A$88,'Données projet'!$B$88,BD64+BC65-BL64)))</f>
        <v>149.80000000000021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157.98488572680344</v>
      </c>
      <c r="T66" s="62">
        <f t="shared" si="34"/>
        <v>269.20989374735825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56.904802631583337</v>
      </c>
      <c r="AA66" s="23">
        <f>EXP(-LN(2)/25)*AA65+(1-EXP(-LN(2)/25))/(LN(2)/25)*Calculateur!V66*Calculateur!X66*VLOOKUP('Données projet'!$B$9,Paramètres!$A$1:$I$89,3,0)*0.475*44/12</f>
        <v>1.3390193658567773</v>
      </c>
      <c r="AB66" s="23">
        <f>EXP(-LN(2)/2)*AB65+(1-EXP(-LN(2)/2))/(LN(2)/2)*V66*Y66*VLOOKUP('Données projet'!$B$9,Paramètres!$A$1:$I$89,3,0)*0.475*44/12</f>
        <v>1.1884938034368811E-2</v>
      </c>
      <c r="AC66" s="24">
        <f t="shared" si="3"/>
        <v>58.255706935474485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4.5999999999999996</v>
      </c>
      <c r="AI66" s="14">
        <f>IF('Données projet'!$A$62&gt;35,AI65+AH66-AQ65,IF(A66&lt;'Données projet'!$A$62,$AF$205^A66,IF(A66='Données projet'!$A$62,'Données projet'!$B$62,AI65+AH66-AQ65)))</f>
        <v>192.79999999999987</v>
      </c>
      <c r="AJ66" s="14">
        <f>AI66*VLOOKUP('Données projet'!$B$10,Paramètres!$A$1:$I$89,3,0)*VLOOKUP('Données projet'!$B$10,Paramètres!$A$1:$I$89,5,0)</f>
        <v>168.43007999999989</v>
      </c>
      <c r="AK66" s="14">
        <f t="shared" si="35"/>
        <v>42.738224098484984</v>
      </c>
      <c r="AL66" s="22">
        <f t="shared" si="4"/>
        <v>367.78479630486117</v>
      </c>
      <c r="AM66" s="62">
        <f t="shared" si="5"/>
        <v>661.11812963819443</v>
      </c>
      <c r="AN66" s="62">
        <f ca="1">AVERAGE(OFFSET($AM$3,0,0,'Données projet'!$E$10+1,1))-AVERAGE(OFFSET($H$3,0,0,'Données projet'!$E$10+1,1))</f>
        <v>205.97834462530136</v>
      </c>
      <c r="AO66" s="62">
        <f t="shared" si="36"/>
        <v>235.08005253775002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3.4</v>
      </c>
      <c r="BD66" s="13">
        <f>IF('Données projet'!$A$88&gt;35,BD65+BC66-BL65,IF(A66&lt;'Données projet'!$A$88,$BA$205^A66,IF(A66='Données projet'!$A$88,'Données projet'!$B$88,BD65+BC66-BL65)))</f>
        <v>153.20000000000022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157.98488572680344</v>
      </c>
      <c r="T67" s="62">
        <f t="shared" si="34"/>
        <v>269.20989374735825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55.788934160480416</v>
      </c>
      <c r="AA67" s="23">
        <f>EXP(-LN(2)/25)*AA66+(1-EXP(-LN(2)/25))/(LN(2)/25)*Calculateur!V67*Calculateur!X67*VLOOKUP('Données projet'!$B$9,Paramètres!$A$1:$I$89,3,0)*0.475*44/12</f>
        <v>1.3024038108814555</v>
      </c>
      <c r="AB67" s="23">
        <f>EXP(-LN(2)/2)*AB66+(1-EXP(-LN(2)/2))/(LN(2)/2)*V67*Y67*VLOOKUP('Données projet'!$B$9,Paramètres!$A$1:$I$89,3,0)*0.475*44/12</f>
        <v>8.4039202780841031E-3</v>
      </c>
      <c r="AC67" s="24">
        <f t="shared" si="3"/>
        <v>57.099741891639958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4.5999999999999996</v>
      </c>
      <c r="AI67" s="14">
        <f>IF('Données projet'!$A$62&gt;35,AI66+AH67-AQ66,IF(A67&lt;'Données projet'!$A$62,$AF$205^A67,IF(A67='Données projet'!$A$62,'Données projet'!$B$62,AI66+AH67-AQ66)))</f>
        <v>197.39999999999986</v>
      </c>
      <c r="AJ67" s="14">
        <f>AI67*VLOOKUP('Données projet'!$B$10,Paramètres!$A$1:$I$89,3,0)*VLOOKUP('Données projet'!$B$10,Paramètres!$A$1:$I$89,5,0)</f>
        <v>172.44863999999993</v>
      </c>
      <c r="AK67" s="14">
        <f t="shared" si="35"/>
        <v>43.637980200453676</v>
      </c>
      <c r="AL67" s="22">
        <f t="shared" si="4"/>
        <v>376.35086351579002</v>
      </c>
      <c r="AM67" s="62">
        <f t="shared" si="5"/>
        <v>669.68419684912328</v>
      </c>
      <c r="AN67" s="62">
        <f ca="1">AVERAGE(OFFSET($AM$3,0,0,'Données projet'!$E$10+1,1))-AVERAGE(OFFSET($H$3,0,0,'Données projet'!$E$10+1,1))</f>
        <v>205.97834462530136</v>
      </c>
      <c r="AO67" s="62">
        <f t="shared" si="36"/>
        <v>235.08005253775002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3.4</v>
      </c>
      <c r="BD67" s="13">
        <f>IF('Données projet'!$A$88&gt;35,BD66+BC67-BL66,IF(A67&lt;'Données projet'!$A$88,$BA$205^A67,IF(A67='Données projet'!$A$88,'Données projet'!$B$88,BD66+BC67-BL66)))</f>
        <v>156.60000000000022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157.98488572680344</v>
      </c>
      <c r="T68" s="62">
        <f t="shared" si="34"/>
        <v>269.20989374735825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54.694947189483258</v>
      </c>
      <c r="AA68" s="23">
        <f>EXP(-LN(2)/25)*AA67+(1-EXP(-LN(2)/25))/(LN(2)/25)*Calculateur!V68*Calculateur!X68*VLOOKUP('Données projet'!$B$9,Paramètres!$A$1:$I$89,3,0)*0.475*44/12</f>
        <v>1.2667895101824624</v>
      </c>
      <c r="AB68" s="23">
        <f>EXP(-LN(2)/2)*AB67+(1-EXP(-LN(2)/2))/(LN(2)/2)*V68*Y68*VLOOKUP('Données projet'!$B$9,Paramètres!$A$1:$I$89,3,0)*0.475*44/12</f>
        <v>5.9424690171844055E-3</v>
      </c>
      <c r="AC68" s="24">
        <f t="shared" ref="AC68:AC131" si="57">SUM(Z68:AB68)</f>
        <v>55.967679168682906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202</v>
      </c>
      <c r="AG68" s="13">
        <f>VLOOKUP(A68,'Données projet'!$A$61:$I$81,9,0)</f>
        <v>4.5999999999999996</v>
      </c>
      <c r="AH68" s="13">
        <f t="array" ref="AH68">INDEX(AG:AG,MIN(IF(ISNUMBER(AG68:AG264),ROW(AG68:AG264),"")))</f>
        <v>4.5999999999999996</v>
      </c>
      <c r="AI68" s="14">
        <f>IF('Données projet'!$A$62&gt;35,AI67+AH68-AQ67,IF(A68&lt;'Données projet'!$A$62,$AF$205^A68,IF(A68='Données projet'!$A$62,'Données projet'!$B$62,AI67+AH68-AQ67)))</f>
        <v>201.99999999999986</v>
      </c>
      <c r="AJ68" s="14">
        <f>AI68*VLOOKUP('Données projet'!$B$10,Paramètres!$A$1:$I$89,3,0)*VLOOKUP('Données projet'!$B$10,Paramètres!$A$1:$I$89,5,0)</f>
        <v>176.46719999999991</v>
      </c>
      <c r="AK68" s="14">
        <f t="shared" si="35"/>
        <v>44.535298821989393</v>
      </c>
      <c r="AL68" s="22">
        <f t="shared" ref="AL68:AL131" si="58">(AJ68+AK68)*0.475*44/12</f>
        <v>384.91268544829796</v>
      </c>
      <c r="AM68" s="62">
        <f t="shared" ref="AM68:AM131" si="59">AL68+(AD68+AE68)*44/12</f>
        <v>678.24601878163128</v>
      </c>
      <c r="AN68" s="62">
        <f ca="1">AVERAGE(OFFSET($AM$3,0,0,'Données projet'!$E$10+1,1))-AVERAGE(OFFSET($H$3,0,0,'Données projet'!$E$10+1,1))</f>
        <v>205.97834462530136</v>
      </c>
      <c r="AO68" s="62">
        <f t="shared" si="36"/>
        <v>235.08005253775002</v>
      </c>
      <c r="AP68" s="16">
        <f>IF(ISNA(VLOOKUP(A68,'Données projet'!$A$61:$I$81,3,0)),0,VLOOKUP(A68,'Données projet'!$A$61:$I$81,3,0))</f>
        <v>10</v>
      </c>
      <c r="AQ68" s="16">
        <f>IF(ISNA(VLOOKUP(A68,'Données projet'!$A$61:$I$81,4,0)),0,VLOOKUP(A68,'Données projet'!$A$61:$I$81,4,0))</f>
        <v>17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160</v>
      </c>
      <c r="BB68" s="13">
        <f>VLOOKUP(A68,'Données projet'!$A$87:$I$107,9,0)</f>
        <v>3.4</v>
      </c>
      <c r="BC68" s="13">
        <f t="array" ref="BC68">INDEX(BB:BB,MIN(IF(ISNUMBER(BB68:BB264),ROW(BB68:BB264),"")))</f>
        <v>3.4</v>
      </c>
      <c r="BD68" s="13">
        <f>IF('Données projet'!$A$88&gt;35,BD67+BC68-BL67,IF(A68&lt;'Données projet'!$A$88,$BA$205^A68,IF(A68='Données projet'!$A$88,'Données projet'!$B$88,BD67+BC68-BL67)))</f>
        <v>160.00000000000023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10</v>
      </c>
      <c r="BL68" s="16">
        <f>IF(ISNA(VLOOKUP(A68,'Données projet'!$A$87:$I$107,4,0)),0,VLOOKUP(A68,'Données projet'!$A$87:$I$107,4,0))</f>
        <v>11</v>
      </c>
      <c r="BM68" s="17" t="e">
        <f>IF(ISNA(VLOOKUP(A68,'Données projet'!$A$87:$I$107,5,0)),0%,VLOOKUP(A68,'Données projet'!$A$87:$I$107,5,0)*VLOOKUP('Données projet'!$B$11,Paramètres!$A$1:$I$89,7,0))</f>
        <v>#N/A</v>
      </c>
      <c r="BN68" s="17" t="e">
        <f>IF(ISNA(VLOOKUP(A68,'Données projet'!$A$87:$I$107,6,0)),0%,VLOOKUP(A68,'Données projet'!$A$87:$I$107,6,0)*VLOOKUP('Données projet'!$B$11,Paramètres!$A$1:$I$89,7,0))</f>
        <v>#N/A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157.98488572680344</v>
      </c>
      <c r="T69" s="62">
        <f t="shared" ref="T69:T132" si="88">$T$3</f>
        <v>269.20989374735825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53.62241263572119</v>
      </c>
      <c r="AA69" s="23">
        <f>EXP(-LN(2)/25)*AA68+(1-EXP(-LN(2)/25))/(LN(2)/25)*Calculateur!V69*Calculateur!X69*VLOOKUP('Données projet'!$B$9,Paramètres!$A$1:$I$89,3,0)*0.475*44/12</f>
        <v>1.232149084408958</v>
      </c>
      <c r="AB69" s="23">
        <f>EXP(-LN(2)/2)*AB68+(1-EXP(-LN(2)/2))/(LN(2)/2)*V69*Y69*VLOOKUP('Données projet'!$B$9,Paramètres!$A$1:$I$89,3,0)*0.475*44/12</f>
        <v>4.2019601390420516E-3</v>
      </c>
      <c r="AC69" s="24">
        <f t="shared" si="57"/>
        <v>54.858763680269192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4</v>
      </c>
      <c r="AI69" s="14">
        <f>IF('Données projet'!$A$62&gt;35,AI68+AH69-AQ68,IF(A69&lt;'Données projet'!$A$62,$AF$205^A69,IF(A69='Données projet'!$A$62,'Données projet'!$B$62,AI68+AH69-AQ68)))</f>
        <v>188.99999999999986</v>
      </c>
      <c r="AJ69" s="14">
        <f>AI69*VLOOKUP('Données projet'!$B$10,Paramètres!$A$1:$I$89,3,0)*VLOOKUP('Données projet'!$B$10,Paramètres!$A$1:$I$89,5,0)</f>
        <v>165.11039999999991</v>
      </c>
      <c r="AK69" s="14">
        <f t="shared" ref="AK69:AK132" si="89">EXP(-1.0587+0.8836*LN(AJ69)+0.284)</f>
        <v>41.993062739333446</v>
      </c>
      <c r="AL69" s="22">
        <f t="shared" si="58"/>
        <v>360.70519760433893</v>
      </c>
      <c r="AM69" s="62">
        <f t="shared" si="59"/>
        <v>654.03853093767225</v>
      </c>
      <c r="AN69" s="62">
        <f ca="1">AVERAGE(OFFSET($AM$3,0,0,'Données projet'!$E$10+1,1))-AVERAGE(OFFSET($H$3,0,0,'Données projet'!$E$10+1,1))</f>
        <v>205.97834462530136</v>
      </c>
      <c r="AO69" s="62">
        <f t="shared" ref="AO69:AO132" si="90">$AO$3</f>
        <v>235.08005253775002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2.8</v>
      </c>
      <c r="BD69" s="13">
        <f>IF('Données projet'!$A$88&gt;35,BD68+BC69-BL68,IF(A69&lt;'Données projet'!$A$88,$BA$205^A69,IF(A69='Données projet'!$A$88,'Données projet'!$B$88,BD68+BC69-BL68)))</f>
        <v>151.80000000000024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157.98488572680344</v>
      </c>
      <c r="T70" s="62">
        <f t="shared" si="88"/>
        <v>269.20989374735825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52.570909830376912</v>
      </c>
      <c r="AA70" s="23">
        <f>EXP(-LN(2)/25)*AA69+(1-EXP(-LN(2)/25))/(LN(2)/25)*Calculateur!V70*Calculateur!X70*VLOOKUP('Données projet'!$B$9,Paramètres!$A$1:$I$89,3,0)*0.475*44/12</f>
        <v>1.1984559028998909</v>
      </c>
      <c r="AB70" s="23">
        <f>EXP(-LN(2)/2)*AB69+(1-EXP(-LN(2)/2))/(LN(2)/2)*V70*Y70*VLOOKUP('Données projet'!$B$9,Paramètres!$A$1:$I$89,3,0)*0.475*44/12</f>
        <v>2.9712345085922028E-3</v>
      </c>
      <c r="AC70" s="24">
        <f t="shared" si="57"/>
        <v>53.772336967785392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4</v>
      </c>
      <c r="AI70" s="14">
        <f>IF('Données projet'!$A$62&gt;35,AI69+AH70-AQ69,IF(A70&lt;'Données projet'!$A$62,$AF$205^A70,IF(A70='Données projet'!$A$62,'Données projet'!$B$62,AI69+AH70-AQ69)))</f>
        <v>192.99999999999986</v>
      </c>
      <c r="AJ70" s="14">
        <f>AI70*VLOOKUP('Données projet'!$B$10,Paramètres!$A$1:$I$89,3,0)*VLOOKUP('Données projet'!$B$10,Paramètres!$A$1:$I$89,5,0)</f>
        <v>168.6047999999999</v>
      </c>
      <c r="AK70" s="14">
        <f t="shared" si="89"/>
        <v>42.777395484149757</v>
      </c>
      <c r="AL70" s="22">
        <f t="shared" si="58"/>
        <v>368.15732380156061</v>
      </c>
      <c r="AM70" s="62">
        <f t="shared" si="59"/>
        <v>661.49065713489392</v>
      </c>
      <c r="AN70" s="62">
        <f ca="1">AVERAGE(OFFSET($AM$3,0,0,'Données projet'!$E$10+1,1))-AVERAGE(OFFSET($H$3,0,0,'Données projet'!$E$10+1,1))</f>
        <v>205.97834462530136</v>
      </c>
      <c r="AO70" s="62">
        <f t="shared" si="90"/>
        <v>235.08005253775002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2.8</v>
      </c>
      <c r="BD70" s="13">
        <f>IF('Données projet'!$A$88&gt;35,BD69+BC70-BL69,IF(A70&lt;'Données projet'!$A$88,$BA$205^A70,IF(A70='Données projet'!$A$88,'Données projet'!$B$88,BD69+BC70-BL69)))</f>
        <v>154.60000000000025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157.98488572680344</v>
      </c>
      <c r="T71" s="62">
        <f t="shared" si="88"/>
        <v>269.20989374735825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51.540026353692056</v>
      </c>
      <c r="AA71" s="23">
        <f>EXP(-LN(2)/25)*AA70+(1-EXP(-LN(2)/25))/(LN(2)/25)*Calculateur!V71*Calculateur!X71*VLOOKUP('Données projet'!$B$9,Paramètres!$A$1:$I$89,3,0)*0.475*44/12</f>
        <v>1.1656840632110366</v>
      </c>
      <c r="AB71" s="23">
        <f>EXP(-LN(2)/2)*AB70+(1-EXP(-LN(2)/2))/(LN(2)/2)*V71*Y71*VLOOKUP('Données projet'!$B$9,Paramètres!$A$1:$I$89,3,0)*0.475*44/12</f>
        <v>2.1009800695210258E-3</v>
      </c>
      <c r="AC71" s="24">
        <f t="shared" si="57"/>
        <v>52.707811396972616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4</v>
      </c>
      <c r="AI71" s="14">
        <f>IF('Données projet'!$A$62&gt;35,AI70+AH71-AQ70,IF(A71&lt;'Données projet'!$A$62,$AF$205^A71,IF(A71='Données projet'!$A$62,'Données projet'!$B$62,AI70+AH71-AQ70)))</f>
        <v>196.99999999999986</v>
      </c>
      <c r="AJ71" s="14">
        <f>AI71*VLOOKUP('Données projet'!$B$10,Paramètres!$A$1:$I$89,3,0)*VLOOKUP('Données projet'!$B$10,Paramètres!$A$1:$I$89,5,0)</f>
        <v>172.09919999999991</v>
      </c>
      <c r="AK71" s="14">
        <f t="shared" si="89"/>
        <v>43.559838214506954</v>
      </c>
      <c r="AL71" s="22">
        <f t="shared" si="58"/>
        <v>375.60615822359938</v>
      </c>
      <c r="AM71" s="62">
        <f t="shared" si="59"/>
        <v>668.93949155693269</v>
      </c>
      <c r="AN71" s="62">
        <f ca="1">AVERAGE(OFFSET($AM$3,0,0,'Données projet'!$E$10+1,1))-AVERAGE(OFFSET($H$3,0,0,'Données projet'!$E$10+1,1))</f>
        <v>205.97834462530136</v>
      </c>
      <c r="AO71" s="62">
        <f t="shared" si="90"/>
        <v>235.08005253775002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2.8</v>
      </c>
      <c r="BD71" s="13">
        <f>IF('Données projet'!$A$88&gt;35,BD70+BC71-BL70,IF(A71&lt;'Données projet'!$A$88,$BA$205^A71,IF(A71='Données projet'!$A$88,'Données projet'!$B$88,BD70+BC71-BL70)))</f>
        <v>157.40000000000026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157.98488572680344</v>
      </c>
      <c r="T72" s="62">
        <f t="shared" si="88"/>
        <v>269.20989374735825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50.529357873208156</v>
      </c>
      <c r="AA72" s="23">
        <f>EXP(-LN(2)/25)*AA71+(1-EXP(-LN(2)/25))/(LN(2)/25)*Calculateur!V72*Calculateur!X72*VLOOKUP('Données projet'!$B$9,Paramètres!$A$1:$I$89,3,0)*0.475*44/12</f>
        <v>1.1338083712018701</v>
      </c>
      <c r="AB72" s="23">
        <f>EXP(-LN(2)/2)*AB71+(1-EXP(-LN(2)/2))/(LN(2)/2)*V72*Y72*VLOOKUP('Données projet'!$B$9,Paramètres!$A$1:$I$89,3,0)*0.475*44/12</f>
        <v>1.4856172542961014E-3</v>
      </c>
      <c r="AC72" s="24">
        <f t="shared" si="57"/>
        <v>51.664651861664325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4</v>
      </c>
      <c r="AI72" s="14">
        <f>IF('Données projet'!$A$62&gt;35,AI71+AH72-AQ71,IF(A72&lt;'Données projet'!$A$62,$AF$205^A72,IF(A72='Données projet'!$A$62,'Données projet'!$B$62,AI71+AH72-AQ71)))</f>
        <v>200.99999999999986</v>
      </c>
      <c r="AJ72" s="14">
        <f>AI72*VLOOKUP('Données projet'!$B$10,Paramètres!$A$1:$I$89,3,0)*VLOOKUP('Données projet'!$B$10,Paramètres!$A$1:$I$89,5,0)</f>
        <v>175.5935999999999</v>
      </c>
      <c r="AK72" s="14">
        <f t="shared" si="89"/>
        <v>44.340433728638573</v>
      </c>
      <c r="AL72" s="22">
        <f t="shared" si="58"/>
        <v>383.05177541071203</v>
      </c>
      <c r="AM72" s="62">
        <f t="shared" si="59"/>
        <v>676.38510874404528</v>
      </c>
      <c r="AN72" s="62">
        <f ca="1">AVERAGE(OFFSET($AM$3,0,0,'Données projet'!$E$10+1,1))-AVERAGE(OFFSET($H$3,0,0,'Données projet'!$E$10+1,1))</f>
        <v>205.97834462530136</v>
      </c>
      <c r="AO72" s="62">
        <f t="shared" si="90"/>
        <v>235.08005253775002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2.8</v>
      </c>
      <c r="BD72" s="13">
        <f>IF('Données projet'!$A$88&gt;35,BD71+BC72-BL71,IF(A72&lt;'Données projet'!$A$88,$BA$205^A72,IF(A72='Données projet'!$A$88,'Données projet'!$B$88,BD71+BC72-BL71)))</f>
        <v>160.20000000000027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157.98488572680344</v>
      </c>
      <c r="T73" s="62">
        <f t="shared" si="88"/>
        <v>269.20989374735825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49.538507985179635</v>
      </c>
      <c r="AA73" s="23">
        <f>EXP(-LN(2)/25)*AA72+(1-EXP(-LN(2)/25))/(LN(2)/25)*Calculateur!V73*Calculateur!X73*VLOOKUP('Données projet'!$B$9,Paramètres!$A$1:$I$89,3,0)*0.475*44/12</f>
        <v>1.1028043216669641</v>
      </c>
      <c r="AB73" s="23">
        <f>EXP(-LN(2)/2)*AB72+(1-EXP(-LN(2)/2))/(LN(2)/2)*V73*Y73*VLOOKUP('Données projet'!$B$9,Paramètres!$A$1:$I$89,3,0)*0.475*44/12</f>
        <v>1.0504900347605129E-3</v>
      </c>
      <c r="AC73" s="24">
        <f t="shared" si="57"/>
        <v>50.642362796881358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205</v>
      </c>
      <c r="AG73" s="13">
        <f>VLOOKUP(A73,'Données projet'!$A$61:$I$81,9,0)</f>
        <v>4</v>
      </c>
      <c r="AH73" s="13">
        <f t="array" ref="AH73">INDEX(AG:AG,MIN(IF(ISNUMBER(AG73:AG269),ROW(AG73:AG269),"")))</f>
        <v>4</v>
      </c>
      <c r="AI73" s="14">
        <f>IF('Données projet'!$A$62&gt;35,AI72+AH73-AQ72,IF(A73&lt;'Données projet'!$A$62,$AF$205^A73,IF(A73='Données projet'!$A$62,'Données projet'!$B$62,AI72+AH73-AQ72)))</f>
        <v>204.99999999999986</v>
      </c>
      <c r="AJ73" s="14">
        <f>AI73*VLOOKUP('Données projet'!$B$10,Paramètres!$A$1:$I$89,3,0)*VLOOKUP('Données projet'!$B$10,Paramètres!$A$1:$I$89,5,0)</f>
        <v>179.08799999999988</v>
      </c>
      <c r="AK73" s="14">
        <f t="shared" si="89"/>
        <v>45.119223023956792</v>
      </c>
      <c r="AL73" s="22">
        <f t="shared" si="58"/>
        <v>390.49424676672447</v>
      </c>
      <c r="AM73" s="62">
        <f t="shared" si="59"/>
        <v>683.82758010005773</v>
      </c>
      <c r="AN73" s="62">
        <f ca="1">AVERAGE(OFFSET($AM$3,0,0,'Données projet'!$E$10+1,1))-AVERAGE(OFFSET($H$3,0,0,'Données projet'!$E$10+1,1))</f>
        <v>205.97834462530136</v>
      </c>
      <c r="AO73" s="62">
        <f t="shared" si="90"/>
        <v>235.08005253775002</v>
      </c>
      <c r="AP73" s="16">
        <f>IF(ISNA(VLOOKUP(A73,'Données projet'!$A$61:$I$81,3,0)),0,VLOOKUP(A73,'Données projet'!$A$61:$I$81,3,0))</f>
        <v>11</v>
      </c>
      <c r="AQ73" s="16">
        <f>IF(ISNA(VLOOKUP(A73,'Données projet'!$A$61:$I$81,4,0)),0,VLOOKUP(A73,'Données projet'!$A$61:$I$81,4,0))</f>
        <v>15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163</v>
      </c>
      <c r="BB73" s="13">
        <f>VLOOKUP(A73,'Données projet'!$A$87:$I$107,9,0)</f>
        <v>2.8</v>
      </c>
      <c r="BC73" s="13">
        <f t="array" ref="BC73">INDEX(BB:BB,MIN(IF(ISNUMBER(BB73:BB269),ROW(BB73:BB269),"")))</f>
        <v>2.8</v>
      </c>
      <c r="BD73" s="13">
        <f>IF('Données projet'!$A$88&gt;35,BD72+BC73-BL72,IF(A73&lt;'Données projet'!$A$88,$BA$205^A73,IF(A73='Données projet'!$A$88,'Données projet'!$B$88,BD72+BC73-BL72)))</f>
        <v>163.00000000000028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11</v>
      </c>
      <c r="BL73" s="16">
        <f>IF(ISNA(VLOOKUP(A73,'Données projet'!$A$87:$I$107,4,0)),0,VLOOKUP(A73,'Données projet'!$A$87:$I$107,4,0))</f>
        <v>10</v>
      </c>
      <c r="BM73" s="17" t="e">
        <f>IF(ISNA(VLOOKUP(A73,'Données projet'!$A$87:$I$107,5,0)),0%,VLOOKUP(A73,'Données projet'!$A$87:$I$107,5,0)*VLOOKUP('Données projet'!$B$11,Paramètres!$A$1:$I$89,7,0))</f>
        <v>#N/A</v>
      </c>
      <c r="BN73" s="17" t="e">
        <f>IF(ISNA(VLOOKUP(A73,'Données projet'!$A$87:$I$107,6,0)),0%,VLOOKUP(A73,'Données projet'!$A$87:$I$107,6,0)*VLOOKUP('Données projet'!$B$11,Paramètres!$A$1:$I$89,7,0))</f>
        <v>#N/A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157.98488572680344</v>
      </c>
      <c r="T74" s="62">
        <f t="shared" si="88"/>
        <v>269.20989374735825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48.567088059096598</v>
      </c>
      <c r="AA74" s="23">
        <f>EXP(-LN(2)/25)*AA73+(1-EXP(-LN(2)/25))/(LN(2)/25)*Calculateur!V74*Calculateur!X74*VLOOKUP('Données projet'!$B$9,Paramètres!$A$1:$I$89,3,0)*0.475*44/12</f>
        <v>1.0726480794970221</v>
      </c>
      <c r="AB74" s="23">
        <f>EXP(-LN(2)/2)*AB73+(1-EXP(-LN(2)/2))/(LN(2)/2)*V74*Y74*VLOOKUP('Données projet'!$B$9,Paramètres!$A$1:$I$89,3,0)*0.475*44/12</f>
        <v>7.4280862714805069E-4</v>
      </c>
      <c r="AC74" s="24">
        <f t="shared" si="57"/>
        <v>49.640478947220764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3.6</v>
      </c>
      <c r="AI74" s="14">
        <f>IF('Données projet'!$A$62&gt;35,AI73+AH74-AQ73,IF(A74&lt;'Données projet'!$A$62,$AF$205^A74,IF(A74='Données projet'!$A$62,'Données projet'!$B$62,AI73+AH74-AQ73)))</f>
        <v>193.59999999999985</v>
      </c>
      <c r="AJ74" s="14">
        <f>AI74*VLOOKUP('Données projet'!$B$10,Paramètres!$A$1:$I$89,3,0)*VLOOKUP('Données projet'!$B$10,Paramètres!$A$1:$I$89,5,0)</f>
        <v>169.12895999999989</v>
      </c>
      <c r="AK74" s="14">
        <f t="shared" si="89"/>
        <v>42.894881315146733</v>
      </c>
      <c r="AL74" s="22">
        <f t="shared" si="58"/>
        <v>369.27485695721367</v>
      </c>
      <c r="AM74" s="62">
        <f t="shared" si="59"/>
        <v>662.60819029054699</v>
      </c>
      <c r="AN74" s="62">
        <f ca="1">AVERAGE(OFFSET($AM$3,0,0,'Données projet'!$E$10+1,1))-AVERAGE(OFFSET($H$3,0,0,'Données projet'!$E$10+1,1))</f>
        <v>205.97834462530136</v>
      </c>
      <c r="AO74" s="62">
        <f t="shared" si="90"/>
        <v>235.08005253775002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2.6</v>
      </c>
      <c r="BD74" s="13">
        <f>IF('Données projet'!$A$88&gt;35,BD73+BC74-BL73,IF(A74&lt;'Données projet'!$A$88,$BA$205^A74,IF(A74='Données projet'!$A$88,'Données projet'!$B$88,BD73+BC74-BL73)))</f>
        <v>155.60000000000028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157.98488572680344</v>
      </c>
      <c r="T75" s="62">
        <f t="shared" si="88"/>
        <v>269.20989374735825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47.614717085256402</v>
      </c>
      <c r="AA75" s="23">
        <f>EXP(-LN(2)/25)*AA74+(1-EXP(-LN(2)/25))/(LN(2)/25)*Calculateur!V75*Calculateur!X75*VLOOKUP('Données projet'!$B$9,Paramètres!$A$1:$I$89,3,0)*0.475*44/12</f>
        <v>1.0433164613550652</v>
      </c>
      <c r="AB75" s="23">
        <f>EXP(-LN(2)/2)*AB74+(1-EXP(-LN(2)/2))/(LN(2)/2)*V75*Y75*VLOOKUP('Données projet'!$B$9,Paramètres!$A$1:$I$89,3,0)*0.475*44/12</f>
        <v>5.2524501738025644E-4</v>
      </c>
      <c r="AC75" s="24">
        <f t="shared" si="57"/>
        <v>48.658558791628842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3.6</v>
      </c>
      <c r="AI75" s="14">
        <f>IF('Données projet'!$A$62&gt;35,AI74+AH75-AQ74,IF(A75&lt;'Données projet'!$A$62,$AF$205^A75,IF(A75='Données projet'!$A$62,'Données projet'!$B$62,AI74+AH75-AQ74)))</f>
        <v>197.19999999999985</v>
      </c>
      <c r="AJ75" s="14">
        <f>AI75*VLOOKUP('Données projet'!$B$10,Paramètres!$A$1:$I$89,3,0)*VLOOKUP('Données projet'!$B$10,Paramètres!$A$1:$I$89,5,0)</f>
        <v>172.27391999999989</v>
      </c>
      <c r="AK75" s="14">
        <f t="shared" si="89"/>
        <v>43.598911513699562</v>
      </c>
      <c r="AL75" s="22">
        <f t="shared" si="58"/>
        <v>375.97851488635985</v>
      </c>
      <c r="AM75" s="62">
        <f t="shared" si="59"/>
        <v>669.31184821969316</v>
      </c>
      <c r="AN75" s="62">
        <f ca="1">AVERAGE(OFFSET($AM$3,0,0,'Données projet'!$E$10+1,1))-AVERAGE(OFFSET($H$3,0,0,'Données projet'!$E$10+1,1))</f>
        <v>205.97834462530136</v>
      </c>
      <c r="AO75" s="62">
        <f t="shared" si="90"/>
        <v>235.08005253775002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2.6</v>
      </c>
      <c r="BD75" s="13">
        <f>IF('Données projet'!$A$88&gt;35,BD74+BC75-BL74,IF(A75&lt;'Données projet'!$A$88,$BA$205^A75,IF(A75='Données projet'!$A$88,'Données projet'!$B$88,BD74+BC75-BL74)))</f>
        <v>158.20000000000027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157.98488572680344</v>
      </c>
      <c r="T76" s="62">
        <f t="shared" si="88"/>
        <v>269.20989374735825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46.681021525324276</v>
      </c>
      <c r="AA76" s="23">
        <f>EXP(-LN(2)/25)*AA75+(1-EXP(-LN(2)/25))/(LN(2)/25)*Calculateur!V76*Calculateur!X76*VLOOKUP('Données projet'!$B$9,Paramètres!$A$1:$I$89,3,0)*0.475*44/12</f>
        <v>1.0147869178536828</v>
      </c>
      <c r="AB76" s="23">
        <f>EXP(-LN(2)/2)*AB75+(1-EXP(-LN(2)/2))/(LN(2)/2)*V76*Y76*VLOOKUP('Données projet'!$B$9,Paramètres!$A$1:$I$89,3,0)*0.475*44/12</f>
        <v>3.7140431357402534E-4</v>
      </c>
      <c r="AC76" s="24">
        <f t="shared" si="57"/>
        <v>47.696179847491535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3.6</v>
      </c>
      <c r="AI76" s="14">
        <f>IF('Données projet'!$A$62&gt;35,AI75+AH76-AQ75,IF(A76&lt;'Données projet'!$A$62,$AF$205^A76,IF(A76='Données projet'!$A$62,'Données projet'!$B$62,AI75+AH76-AQ75)))</f>
        <v>200.79999999999984</v>
      </c>
      <c r="AJ76" s="14">
        <f>AI76*VLOOKUP('Données projet'!$B$10,Paramètres!$A$1:$I$89,3,0)*VLOOKUP('Données projet'!$B$10,Paramètres!$A$1:$I$89,5,0)</f>
        <v>175.41887999999989</v>
      </c>
      <c r="AK76" s="14">
        <f t="shared" si="89"/>
        <v>44.301447184391158</v>
      </c>
      <c r="AL76" s="22">
        <f t="shared" si="58"/>
        <v>382.67956984614779</v>
      </c>
      <c r="AM76" s="62">
        <f t="shared" si="59"/>
        <v>676.0129031794811</v>
      </c>
      <c r="AN76" s="62">
        <f ca="1">AVERAGE(OFFSET($AM$3,0,0,'Données projet'!$E$10+1,1))-AVERAGE(OFFSET($H$3,0,0,'Données projet'!$E$10+1,1))</f>
        <v>205.97834462530136</v>
      </c>
      <c r="AO76" s="62">
        <f t="shared" si="90"/>
        <v>235.08005253775002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2.6</v>
      </c>
      <c r="BD76" s="13">
        <f>IF('Données projet'!$A$88&gt;35,BD75+BC76-BL75,IF(A76&lt;'Données projet'!$A$88,$BA$205^A76,IF(A76='Données projet'!$A$88,'Données projet'!$B$88,BD75+BC76-BL75)))</f>
        <v>160.80000000000027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157.98488572680344</v>
      </c>
      <c r="T77" s="62">
        <f t="shared" si="88"/>
        <v>269.20989374735825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45.765635165824364</v>
      </c>
      <c r="AA77" s="23">
        <f>EXP(-LN(2)/25)*AA76+(1-EXP(-LN(2)/25))/(LN(2)/25)*Calculateur!V77*Calculateur!X77*VLOOKUP('Données projet'!$B$9,Paramètres!$A$1:$I$89,3,0)*0.475*44/12</f>
        <v>0.98703751621964919</v>
      </c>
      <c r="AB77" s="23">
        <f>EXP(-LN(2)/2)*AB76+(1-EXP(-LN(2)/2))/(LN(2)/2)*V77*Y77*VLOOKUP('Données projet'!$B$9,Paramètres!$A$1:$I$89,3,0)*0.475*44/12</f>
        <v>2.6262250869012822E-4</v>
      </c>
      <c r="AC77" s="24">
        <f t="shared" si="57"/>
        <v>46.752935304552707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3.6</v>
      </c>
      <c r="AI77" s="14">
        <f>IF('Données projet'!$A$62&gt;35,AI76+AH77-AQ76,IF(A77&lt;'Données projet'!$A$62,$AF$205^A77,IF(A77='Données projet'!$A$62,'Données projet'!$B$62,AI76+AH77-AQ76)))</f>
        <v>204.39999999999984</v>
      </c>
      <c r="AJ77" s="14">
        <f>AI77*VLOOKUP('Données projet'!$B$10,Paramètres!$A$1:$I$89,3,0)*VLOOKUP('Données projet'!$B$10,Paramètres!$A$1:$I$89,5,0)</f>
        <v>178.56383999999986</v>
      </c>
      <c r="AK77" s="14">
        <f t="shared" si="89"/>
        <v>45.002518212442546</v>
      </c>
      <c r="AL77" s="22">
        <f t="shared" si="58"/>
        <v>389.37807388667051</v>
      </c>
      <c r="AM77" s="62">
        <f t="shared" si="59"/>
        <v>682.71140722000382</v>
      </c>
      <c r="AN77" s="62">
        <f ca="1">AVERAGE(OFFSET($AM$3,0,0,'Données projet'!$E$10+1,1))-AVERAGE(OFFSET($H$3,0,0,'Données projet'!$E$10+1,1))</f>
        <v>205.97834462530136</v>
      </c>
      <c r="AO77" s="62">
        <f t="shared" si="90"/>
        <v>235.08005253775002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2.6</v>
      </c>
      <c r="BD77" s="13">
        <f>IF('Données projet'!$A$88&gt;35,BD76+BC77-BL76,IF(A77&lt;'Données projet'!$A$88,$BA$205^A77,IF(A77='Données projet'!$A$88,'Données projet'!$B$88,BD76+BC77-BL76)))</f>
        <v>163.40000000000026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157.98488572680344</v>
      </c>
      <c r="T78" s="62">
        <f t="shared" si="88"/>
        <v>269.20989374735825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44.868198974503692</v>
      </c>
      <c r="AA78" s="23">
        <f>EXP(-LN(2)/25)*AA77+(1-EXP(-LN(2)/25))/(LN(2)/25)*Calculateur!V78*Calculateur!X78*VLOOKUP('Données projet'!$B$9,Paramètres!$A$1:$I$89,3,0)*0.475*44/12</f>
        <v>0.96004692343257581</v>
      </c>
      <c r="AB78" s="23">
        <f>EXP(-LN(2)/2)*AB77+(1-EXP(-LN(2)/2))/(LN(2)/2)*V78*Y78*VLOOKUP('Données projet'!$B$9,Paramètres!$A$1:$I$89,3,0)*0.475*44/12</f>
        <v>1.8570215678701267E-4</v>
      </c>
      <c r="AC78" s="24">
        <f t="shared" si="57"/>
        <v>45.828431600093054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208</v>
      </c>
      <c r="AG78" s="13">
        <f>VLOOKUP(A78,'Données projet'!$A$61:$I$81,9,0)</f>
        <v>3.6</v>
      </c>
      <c r="AH78" s="13">
        <f t="array" ref="AH78">INDEX(AG:AG,MIN(IF(ISNUMBER(AG78:AG274),ROW(AG78:AG274),"")))</f>
        <v>3.6</v>
      </c>
      <c r="AI78" s="14">
        <f>IF('Données projet'!$A$62&gt;35,AI77+AH78-AQ77,IF(A78&lt;'Données projet'!$A$62,$AF$205^A78,IF(A78='Données projet'!$A$62,'Données projet'!$B$62,AI77+AH78-AQ77)))</f>
        <v>207.99999999999983</v>
      </c>
      <c r="AJ78" s="14">
        <f>AI78*VLOOKUP('Données projet'!$B$10,Paramètres!$A$1:$I$89,3,0)*VLOOKUP('Données projet'!$B$10,Paramètres!$A$1:$I$89,5,0)</f>
        <v>181.70879999999988</v>
      </c>
      <c r="AK78" s="14">
        <f t="shared" si="89"/>
        <v>45.702153370067769</v>
      </c>
      <c r="AL78" s="22">
        <f t="shared" si="58"/>
        <v>396.07407711953448</v>
      </c>
      <c r="AM78" s="62">
        <f t="shared" si="59"/>
        <v>689.40741045286779</v>
      </c>
      <c r="AN78" s="62">
        <f ca="1">AVERAGE(OFFSET($AM$3,0,0,'Données projet'!$E$10+1,1))-AVERAGE(OFFSET($H$3,0,0,'Données projet'!$E$10+1,1))</f>
        <v>205.97834462530136</v>
      </c>
      <c r="AO78" s="62">
        <f t="shared" si="90"/>
        <v>235.08005253775002</v>
      </c>
      <c r="AP78" s="16">
        <f>IF(ISNA(VLOOKUP(A78,'Données projet'!$A$61:$I$81,3,0)),0,VLOOKUP(A78,'Données projet'!$A$61:$I$81,3,0))</f>
        <v>12</v>
      </c>
      <c r="AQ78" s="16">
        <f>IF(ISNA(VLOOKUP(A78,'Données projet'!$A$61:$I$81,4,0)),0,VLOOKUP(A78,'Données projet'!$A$61:$I$81,4,0))</f>
        <v>13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166</v>
      </c>
      <c r="BB78" s="13">
        <f>VLOOKUP(A78,'Données projet'!$A$87:$I$107,9,0)</f>
        <v>2.6</v>
      </c>
      <c r="BC78" s="13">
        <f t="array" ref="BC78">INDEX(BB:BB,MIN(IF(ISNUMBER(BB78:BB274),ROW(BB78:BB274),"")))</f>
        <v>2.6</v>
      </c>
      <c r="BD78" s="13">
        <f>IF('Données projet'!$A$88&gt;35,BD77+BC78-BL77,IF(A78&lt;'Données projet'!$A$88,$BA$205^A78,IF(A78='Données projet'!$A$88,'Données projet'!$B$88,BD77+BC78-BL77)))</f>
        <v>166.00000000000026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12</v>
      </c>
      <c r="BL78" s="16">
        <f>IF(ISNA(VLOOKUP(A78,'Données projet'!$A$87:$I$107,4,0)),0,VLOOKUP(A78,'Données projet'!$A$87:$I$107,4,0))</f>
        <v>9</v>
      </c>
      <c r="BM78" s="17" t="e">
        <f>IF(ISNA(VLOOKUP(A78,'Données projet'!$A$87:$I$107,5,0)),0%,VLOOKUP(A78,'Données projet'!$A$87:$I$107,5,0)*VLOOKUP('Données projet'!$B$11,Paramètres!$A$1:$I$89,7,0))</f>
        <v>#N/A</v>
      </c>
      <c r="BN78" s="17" t="e">
        <f>IF(ISNA(VLOOKUP(A78,'Données projet'!$A$87:$I$107,6,0)),0%,VLOOKUP(A78,'Données projet'!$A$87:$I$107,6,0)*VLOOKUP('Données projet'!$B$11,Paramètres!$A$1:$I$89,7,0))</f>
        <v>#N/A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157.98488572680344</v>
      </c>
      <c r="T79" s="62">
        <f t="shared" si="88"/>
        <v>269.20989374735825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43.988360959512789</v>
      </c>
      <c r="AA79" s="23">
        <f>EXP(-LN(2)/25)*AA78+(1-EXP(-LN(2)/25))/(LN(2)/25)*Calculateur!V79*Calculateur!X79*VLOOKUP('Données projet'!$B$9,Paramètres!$A$1:$I$89,3,0)*0.475*44/12</f>
        <v>0.93379438982463858</v>
      </c>
      <c r="AB79" s="23">
        <f>EXP(-LN(2)/2)*AB78+(1-EXP(-LN(2)/2))/(LN(2)/2)*V79*Y79*VLOOKUP('Données projet'!$B$9,Paramètres!$A$1:$I$89,3,0)*0.475*44/12</f>
        <v>1.3131125434506411E-4</v>
      </c>
      <c r="AC79" s="24">
        <f t="shared" si="57"/>
        <v>44.922286660591773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3</v>
      </c>
      <c r="AI79" s="14">
        <f>IF('Données projet'!$A$62&gt;35,AI78+AH79-AQ78,IF(A79&lt;'Données projet'!$A$62,$AF$205^A79,IF(A79='Données projet'!$A$62,'Données projet'!$B$62,AI78+AH79-AQ78)))</f>
        <v>197.99999999999983</v>
      </c>
      <c r="AJ79" s="14">
        <f>AI79*VLOOKUP('Données projet'!$B$10,Paramètres!$A$1:$I$89,3,0)*VLOOKUP('Données projet'!$B$10,Paramètres!$A$1:$I$89,5,0)</f>
        <v>172.97279999999986</v>
      </c>
      <c r="AK79" s="14">
        <f t="shared" si="89"/>
        <v>43.755158638197244</v>
      </c>
      <c r="AL79" s="22">
        <f t="shared" si="58"/>
        <v>377.46786129485992</v>
      </c>
      <c r="AM79" s="62">
        <f t="shared" si="59"/>
        <v>670.80119462819323</v>
      </c>
      <c r="AN79" s="62">
        <f ca="1">AVERAGE(OFFSET($AM$3,0,0,'Données projet'!$E$10+1,1))-AVERAGE(OFFSET($H$3,0,0,'Données projet'!$E$10+1,1))</f>
        <v>205.97834462530136</v>
      </c>
      <c r="AO79" s="62">
        <f t="shared" si="90"/>
        <v>235.08005253775002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2.2000000000000002</v>
      </c>
      <c r="BD79" s="13">
        <f>IF('Données projet'!$A$88&gt;35,BD78+BC79-BL78,IF(A79&lt;'Données projet'!$A$88,$BA$205^A79,IF(A79='Données projet'!$A$88,'Données projet'!$B$88,BD78+BC79-BL78)))</f>
        <v>159.20000000000024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157.98488572680344</v>
      </c>
      <c r="T80" s="62">
        <f t="shared" si="88"/>
        <v>269.20989374735825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43.125776031347662</v>
      </c>
      <c r="AA80" s="23">
        <f>EXP(-LN(2)/25)*AA79+(1-EXP(-LN(2)/25))/(LN(2)/25)*Calculateur!V80*Calculateur!X80*VLOOKUP('Données projet'!$B$9,Paramètres!$A$1:$I$89,3,0)*0.475*44/12</f>
        <v>0.90825973312877106</v>
      </c>
      <c r="AB80" s="23">
        <f>EXP(-LN(2)/2)*AB79+(1-EXP(-LN(2)/2))/(LN(2)/2)*V80*Y80*VLOOKUP('Données projet'!$B$9,Paramètres!$A$1:$I$89,3,0)*0.475*44/12</f>
        <v>9.2851078393506336E-5</v>
      </c>
      <c r="AC80" s="24">
        <f t="shared" si="57"/>
        <v>44.034128615554827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3</v>
      </c>
      <c r="AI80" s="14">
        <f>IF('Données projet'!$A$62&gt;35,AI79+AH80-AQ79,IF(A80&lt;'Données projet'!$A$62,$AF$205^A80,IF(A80='Données projet'!$A$62,'Données projet'!$B$62,AI79+AH80-AQ79)))</f>
        <v>200.99999999999983</v>
      </c>
      <c r="AJ80" s="14">
        <f>AI80*VLOOKUP('Données projet'!$B$10,Paramètres!$A$1:$I$89,3,0)*VLOOKUP('Données projet'!$B$10,Paramètres!$A$1:$I$89,5,0)</f>
        <v>175.59359999999987</v>
      </c>
      <c r="AK80" s="14">
        <f t="shared" si="89"/>
        <v>44.340433728638573</v>
      </c>
      <c r="AL80" s="22">
        <f t="shared" si="58"/>
        <v>383.05177541071197</v>
      </c>
      <c r="AM80" s="62">
        <f t="shared" si="59"/>
        <v>676.38510874404528</v>
      </c>
      <c r="AN80" s="62">
        <f ca="1">AVERAGE(OFFSET($AM$3,0,0,'Données projet'!$E$10+1,1))-AVERAGE(OFFSET($H$3,0,0,'Données projet'!$E$10+1,1))</f>
        <v>205.97834462530136</v>
      </c>
      <c r="AO80" s="62">
        <f t="shared" si="90"/>
        <v>235.08005253775002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2.2000000000000002</v>
      </c>
      <c r="BD80" s="13">
        <f>IF('Données projet'!$A$88&gt;35,BD79+BC80-BL79,IF(A80&lt;'Données projet'!$A$88,$BA$205^A80,IF(A80='Données projet'!$A$88,'Données projet'!$B$88,BD79+BC80-BL79)))</f>
        <v>161.40000000000023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157.98488572680344</v>
      </c>
      <c r="T81" s="62">
        <f t="shared" si="88"/>
        <v>269.20989374735825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42.280105867498996</v>
      </c>
      <c r="AA81" s="23">
        <f>EXP(-LN(2)/25)*AA80+(1-EXP(-LN(2)/25))/(LN(2)/25)*Calculateur!V81*Calculateur!X81*VLOOKUP('Données projet'!$B$9,Paramètres!$A$1:$I$89,3,0)*0.475*44/12</f>
        <v>0.88342332296306136</v>
      </c>
      <c r="AB81" s="23">
        <f>EXP(-LN(2)/2)*AB80+(1-EXP(-LN(2)/2))/(LN(2)/2)*V81*Y81*VLOOKUP('Données projet'!$B$9,Paramètres!$A$1:$I$89,3,0)*0.475*44/12</f>
        <v>6.5655627172532056E-5</v>
      </c>
      <c r="AC81" s="24">
        <f t="shared" si="57"/>
        <v>43.163594846089232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3</v>
      </c>
      <c r="AI81" s="14">
        <f>IF('Données projet'!$A$62&gt;35,AI80+AH81-AQ80,IF(A81&lt;'Données projet'!$A$62,$AF$205^A81,IF(A81='Données projet'!$A$62,'Données projet'!$B$62,AI80+AH81-AQ80)))</f>
        <v>203.99999999999983</v>
      </c>
      <c r="AJ81" s="14">
        <f>AI81*VLOOKUP('Données projet'!$B$10,Paramètres!$A$1:$I$89,3,0)*VLOOKUP('Données projet'!$B$10,Paramètres!$A$1:$I$89,5,0)</f>
        <v>178.21439999999987</v>
      </c>
      <c r="AK81" s="14">
        <f t="shared" si="89"/>
        <v>44.924692855664325</v>
      </c>
      <c r="AL81" s="22">
        <f t="shared" si="58"/>
        <v>388.63392005694845</v>
      </c>
      <c r="AM81" s="62">
        <f t="shared" si="59"/>
        <v>681.96725339028171</v>
      </c>
      <c r="AN81" s="62">
        <f ca="1">AVERAGE(OFFSET($AM$3,0,0,'Données projet'!$E$10+1,1))-AVERAGE(OFFSET($H$3,0,0,'Données projet'!$E$10+1,1))</f>
        <v>205.97834462530136</v>
      </c>
      <c r="AO81" s="62">
        <f t="shared" si="90"/>
        <v>235.08005253775002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2.2000000000000002</v>
      </c>
      <c r="BD81" s="13">
        <f>IF('Données projet'!$A$88&gt;35,BD80+BC81-BL80,IF(A81&lt;'Données projet'!$A$88,$BA$205^A81,IF(A81='Données projet'!$A$88,'Données projet'!$B$88,BD80+BC81-BL80)))</f>
        <v>163.60000000000022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157.98488572680344</v>
      </c>
      <c r="T82" s="62">
        <f t="shared" si="88"/>
        <v>269.20989374735825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41.451018779755536</v>
      </c>
      <c r="AA82" s="23">
        <f>EXP(-LN(2)/25)*AA81+(1-EXP(-LN(2)/25))/(LN(2)/25)*Calculateur!V82*Calculateur!X82*VLOOKUP('Données projet'!$B$9,Paramètres!$A$1:$I$89,3,0)*0.475*44/12</f>
        <v>0.85926606573942299</v>
      </c>
      <c r="AB82" s="23">
        <f>EXP(-LN(2)/2)*AB81+(1-EXP(-LN(2)/2))/(LN(2)/2)*V82*Y82*VLOOKUP('Données projet'!$B$9,Paramètres!$A$1:$I$89,3,0)*0.475*44/12</f>
        <v>4.6425539196753168E-5</v>
      </c>
      <c r="AC82" s="24">
        <f t="shared" si="57"/>
        <v>42.310331271034158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3</v>
      </c>
      <c r="AI82" s="14">
        <f>IF('Données projet'!$A$62&gt;35,AI81+AH82-AQ81,IF(A82&lt;'Données projet'!$A$62,$AF$205^A82,IF(A82='Données projet'!$A$62,'Données projet'!$B$62,AI81+AH82-AQ81)))</f>
        <v>206.99999999999983</v>
      </c>
      <c r="AJ82" s="14">
        <f>AI82*VLOOKUP('Données projet'!$B$10,Paramètres!$A$1:$I$89,3,0)*VLOOKUP('Données projet'!$B$10,Paramètres!$A$1:$I$89,5,0)</f>
        <v>180.83519999999987</v>
      </c>
      <c r="AK82" s="14">
        <f t="shared" si="89"/>
        <v>45.507952685945099</v>
      </c>
      <c r="AL82" s="22">
        <f t="shared" si="58"/>
        <v>394.21432426135419</v>
      </c>
      <c r="AM82" s="62">
        <f t="shared" si="59"/>
        <v>687.54765759468751</v>
      </c>
      <c r="AN82" s="62">
        <f ca="1">AVERAGE(OFFSET($AM$3,0,0,'Données projet'!$E$10+1,1))-AVERAGE(OFFSET($H$3,0,0,'Données projet'!$E$10+1,1))</f>
        <v>205.97834462530136</v>
      </c>
      <c r="AO82" s="62">
        <f t="shared" si="90"/>
        <v>235.08005253775002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2.2000000000000002</v>
      </c>
      <c r="BD82" s="13">
        <f>IF('Données projet'!$A$88&gt;35,BD81+BC82-BL81,IF(A82&lt;'Données projet'!$A$88,$BA$205^A82,IF(A82='Données projet'!$A$88,'Données projet'!$B$88,BD81+BC82-BL81)))</f>
        <v>165.80000000000021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157.98488572680344</v>
      </c>
      <c r="T83" s="62">
        <f t="shared" si="88"/>
        <v>269.20989374735825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40.638189584109533</v>
      </c>
      <c r="AA83" s="23">
        <f>EXP(-LN(2)/25)*AA82+(1-EXP(-LN(2)/25))/(LN(2)/25)*Calculateur!V83*Calculateur!X83*VLOOKUP('Données projet'!$B$9,Paramètres!$A$1:$I$89,3,0)*0.475*44/12</f>
        <v>0.83576938998493999</v>
      </c>
      <c r="AB83" s="23">
        <f>EXP(-LN(2)/2)*AB82+(1-EXP(-LN(2)/2))/(LN(2)/2)*V83*Y83*VLOOKUP('Données projet'!$B$9,Paramètres!$A$1:$I$89,3,0)*0.475*44/12</f>
        <v>3.2827813586266028E-5</v>
      </c>
      <c r="AC83" s="24">
        <f t="shared" si="57"/>
        <v>41.473991801908056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210</v>
      </c>
      <c r="AG83" s="13">
        <f>VLOOKUP(A83,'Données projet'!$A$61:$I$81,9,0)</f>
        <v>3</v>
      </c>
      <c r="AH83" s="13">
        <f t="array" ref="AH83">INDEX(AG:AG,MIN(IF(ISNUMBER(AG83:AG279),ROW(AG83:AG279),"")))</f>
        <v>3</v>
      </c>
      <c r="AI83" s="14">
        <f>IF('Données projet'!$A$62&gt;35,AI82+AH83-AQ82,IF(A83&lt;'Données projet'!$A$62,$AF$205^A83,IF(A83='Données projet'!$A$62,'Données projet'!$B$62,AI82+AH83-AQ82)))</f>
        <v>209.99999999999983</v>
      </c>
      <c r="AJ83" s="14">
        <f>AI83*VLOOKUP('Données projet'!$B$10,Paramètres!$A$1:$I$89,3,0)*VLOOKUP('Données projet'!$B$10,Paramètres!$A$1:$I$89,5,0)</f>
        <v>183.45599999999988</v>
      </c>
      <c r="AK83" s="14">
        <f t="shared" si="89"/>
        <v>46.090229375321108</v>
      </c>
      <c r="AL83" s="22">
        <f t="shared" si="58"/>
        <v>399.79301616201741</v>
      </c>
      <c r="AM83" s="62">
        <f t="shared" si="59"/>
        <v>693.12634949535072</v>
      </c>
      <c r="AN83" s="62">
        <f ca="1">AVERAGE(OFFSET($AM$3,0,0,'Données projet'!$E$10+1,1))-AVERAGE(OFFSET($H$3,0,0,'Données projet'!$E$10+1,1))</f>
        <v>205.97834462530136</v>
      </c>
      <c r="AO83" s="62">
        <f t="shared" si="90"/>
        <v>235.08005253775002</v>
      </c>
      <c r="AP83" s="16">
        <f>IF(ISNA(VLOOKUP(A83,'Données projet'!$A$61:$I$81,3,0)),0,VLOOKUP(A83,'Données projet'!$A$61:$I$81,3,0))</f>
        <v>13</v>
      </c>
      <c r="AQ83" s="16">
        <f>IF(ISNA(VLOOKUP(A83,'Données projet'!$A$61:$I$81,4,0)),0,VLOOKUP(A83,'Données projet'!$A$61:$I$81,4,0))</f>
        <v>11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168</v>
      </c>
      <c r="BB83" s="13">
        <f>VLOOKUP(A83,'Données projet'!$A$87:$I$107,9,0)</f>
        <v>2.2000000000000002</v>
      </c>
      <c r="BC83" s="13">
        <f t="array" ref="BC83">INDEX(BB:BB,MIN(IF(ISNUMBER(BB83:BB279),ROW(BB83:BB279),"")))</f>
        <v>2.2000000000000002</v>
      </c>
      <c r="BD83" s="13">
        <f>IF('Données projet'!$A$88&gt;35,BD82+BC83-BL82,IF(A83&lt;'Données projet'!$A$88,$BA$205^A83,IF(A83='Données projet'!$A$88,'Données projet'!$B$88,BD82+BC83-BL82)))</f>
        <v>168.0000000000002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13</v>
      </c>
      <c r="BL83" s="23">
        <f>IF(ISNA(VLOOKUP(A83,'Données projet'!$A$87:$I$107,4,0)),0,VLOOKUP(A83,'Données projet'!$A$87:$I$107,4,0))</f>
        <v>8</v>
      </c>
      <c r="BM83" s="17" t="e">
        <f>IF(ISNA(VLOOKUP(A83,'Données projet'!$A$87:$I$107,5,0)),0%,VLOOKUP(A83,'Données projet'!$A$87:$I$107,5,0)*VLOOKUP('Données projet'!$B$11,Paramètres!$A$1:$I$89,7,0))</f>
        <v>#N/A</v>
      </c>
      <c r="BN83" s="17" t="e">
        <f>IF(ISNA(VLOOKUP(A83,'Données projet'!$A$87:$I$107,6,0)),0%,VLOOKUP(A83,'Données projet'!$A$87:$I$107,6,0)*VLOOKUP('Données projet'!$B$11,Paramètres!$A$1:$I$89,7,0))</f>
        <v>#N/A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157.98488572680344</v>
      </c>
      <c r="T84" s="62">
        <f t="shared" si="88"/>
        <v>269.20989374735825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39.84129947321329</v>
      </c>
      <c r="AA84" s="23">
        <f>EXP(-LN(2)/25)*AA83+(1-EXP(-LN(2)/25))/(LN(2)/25)*Calculateur!V84*Calculateur!X84*VLOOKUP('Données projet'!$B$9,Paramètres!$A$1:$I$89,3,0)*0.475*44/12</f>
        <v>0.81291523206459981</v>
      </c>
      <c r="AB84" s="23">
        <f>EXP(-LN(2)/2)*AB83+(1-EXP(-LN(2)/2))/(LN(2)/2)*V84*Y84*VLOOKUP('Données projet'!$B$9,Paramètres!$A$1:$I$89,3,0)*0.475*44/12</f>
        <v>2.3212769598376584E-5</v>
      </c>
      <c r="AC84" s="24">
        <f t="shared" si="57"/>
        <v>40.654237918047485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2.8</v>
      </c>
      <c r="AI84" s="14">
        <f>IF('Données projet'!$A$62&gt;35,AI83+AH84-AQ83,IF(A84&lt;'Données projet'!$A$62,$AF$205^A84,IF(A84='Données projet'!$A$62,'Données projet'!$B$62,AI83+AH84-AQ83)))</f>
        <v>201.79999999999984</v>
      </c>
      <c r="AJ84" s="14">
        <f>AI84*VLOOKUP('Données projet'!$B$10,Paramètres!$A$1:$I$89,3,0)*VLOOKUP('Données projet'!$B$10,Paramètres!$A$1:$I$89,5,0)</f>
        <v>176.2924799999999</v>
      </c>
      <c r="AK84" s="14">
        <f t="shared" si="89"/>
        <v>44.496334803721858</v>
      </c>
      <c r="AL84" s="22">
        <f t="shared" si="58"/>
        <v>384.54051911648202</v>
      </c>
      <c r="AM84" s="62">
        <f t="shared" si="59"/>
        <v>677.87385244981533</v>
      </c>
      <c r="AN84" s="62">
        <f ca="1">AVERAGE(OFFSET($AM$3,0,0,'Données projet'!$E$10+1,1))-AVERAGE(OFFSET($H$3,0,0,'Données projet'!$E$10+1,1))</f>
        <v>205.97834462530136</v>
      </c>
      <c r="AO84" s="62">
        <f t="shared" si="90"/>
        <v>235.08005253775002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2</v>
      </c>
      <c r="BD84" s="13">
        <f>IF('Données projet'!$A$88&gt;35,BD83+BC84-BL83,IF(A84&lt;'Données projet'!$A$88,$BA$205^A84,IF(A84='Données projet'!$A$88,'Données projet'!$B$88,BD83+BC84-BL83)))</f>
        <v>162.0000000000002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157.98488572680344</v>
      </c>
      <c r="T85" s="62">
        <f t="shared" si="88"/>
        <v>269.20989374735825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39.060035891336753</v>
      </c>
      <c r="AA85" s="23">
        <f>EXP(-LN(2)/25)*AA84+(1-EXP(-LN(2)/25))/(LN(2)/25)*Calculateur!V85*Calculateur!X85*VLOOKUP('Données projet'!$B$9,Paramètres!$A$1:$I$89,3,0)*0.475*44/12</f>
        <v>0.79068602229443918</v>
      </c>
      <c r="AB85" s="23">
        <f>EXP(-LN(2)/2)*AB84+(1-EXP(-LN(2)/2))/(LN(2)/2)*V85*Y85*VLOOKUP('Données projet'!$B$9,Paramètres!$A$1:$I$89,3,0)*0.475*44/12</f>
        <v>1.6413906793133014E-5</v>
      </c>
      <c r="AC85" s="24">
        <f t="shared" si="57"/>
        <v>39.850738327537982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2.8</v>
      </c>
      <c r="AI85" s="14">
        <f>IF('Données projet'!$A$62&gt;35,AI84+AH85-AQ84,IF(A85&lt;'Données projet'!$A$62,$AF$205^A85,IF(A85='Données projet'!$A$62,'Données projet'!$B$62,AI84+AH85-AQ84)))</f>
        <v>204.59999999999985</v>
      </c>
      <c r="AJ85" s="14">
        <f>AI85*VLOOKUP('Données projet'!$B$10,Paramètres!$A$1:$I$89,3,0)*VLOOKUP('Données projet'!$B$10,Paramètres!$A$1:$I$89,5,0)</f>
        <v>178.73855999999989</v>
      </c>
      <c r="AK85" s="14">
        <f t="shared" si="89"/>
        <v>45.04142424126529</v>
      </c>
      <c r="AL85" s="22">
        <f t="shared" si="58"/>
        <v>389.75013922020349</v>
      </c>
      <c r="AM85" s="62">
        <f t="shared" si="59"/>
        <v>683.08347255353681</v>
      </c>
      <c r="AN85" s="62">
        <f ca="1">AVERAGE(OFFSET($AM$3,0,0,'Données projet'!$E$10+1,1))-AVERAGE(OFFSET($H$3,0,0,'Données projet'!$E$10+1,1))</f>
        <v>205.97834462530136</v>
      </c>
      <c r="AO85" s="62">
        <f t="shared" si="90"/>
        <v>235.08005253775002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2</v>
      </c>
      <c r="BD85" s="13">
        <f>IF('Données projet'!$A$88&gt;35,BD84+BC85-BL84,IF(A85&lt;'Données projet'!$A$88,$BA$205^A85,IF(A85='Données projet'!$A$88,'Données projet'!$B$88,BD84+BC85-BL84)))</f>
        <v>164.0000000000002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157.98488572680344</v>
      </c>
      <c r="T86" s="62">
        <f t="shared" si="88"/>
        <v>269.20989374735825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38.294092411777079</v>
      </c>
      <c r="AA86" s="23">
        <f>EXP(-LN(2)/25)*AA85+(1-EXP(-LN(2)/25))/(LN(2)/25)*Calculateur!V86*Calculateur!X86*VLOOKUP('Données projet'!$B$9,Paramètres!$A$1:$I$89,3,0)*0.475*44/12</f>
        <v>0.76906467143442692</v>
      </c>
      <c r="AB86" s="23">
        <f>EXP(-LN(2)/2)*AB85+(1-EXP(-LN(2)/2))/(LN(2)/2)*V86*Y86*VLOOKUP('Données projet'!$B$9,Paramètres!$A$1:$I$89,3,0)*0.475*44/12</f>
        <v>1.1606384799188292E-5</v>
      </c>
      <c r="AC86" s="24">
        <f t="shared" si="57"/>
        <v>39.06316868959631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2.8</v>
      </c>
      <c r="AI86" s="14">
        <f>IF('Données projet'!$A$62&gt;35,AI85+AH86-AQ85,IF(A86&lt;'Données projet'!$A$62,$AF$205^A86,IF(A86='Données projet'!$A$62,'Données projet'!$B$62,AI85+AH86-AQ85)))</f>
        <v>207.39999999999986</v>
      </c>
      <c r="AJ86" s="14">
        <f>AI86*VLOOKUP('Données projet'!$B$10,Paramètres!$A$1:$I$89,3,0)*VLOOKUP('Données projet'!$B$10,Paramètres!$A$1:$I$89,5,0)</f>
        <v>181.18463999999992</v>
      </c>
      <c r="AK86" s="14">
        <f t="shared" si="89"/>
        <v>45.585646034700282</v>
      </c>
      <c r="AL86" s="22">
        <f t="shared" si="58"/>
        <v>394.95824817710286</v>
      </c>
      <c r="AM86" s="62">
        <f t="shared" si="59"/>
        <v>688.29158151043612</v>
      </c>
      <c r="AN86" s="62">
        <f ca="1">AVERAGE(OFFSET($AM$3,0,0,'Données projet'!$E$10+1,1))-AVERAGE(OFFSET($H$3,0,0,'Données projet'!$E$10+1,1))</f>
        <v>205.97834462530136</v>
      </c>
      <c r="AO86" s="62">
        <f t="shared" si="90"/>
        <v>235.08005253775002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2</v>
      </c>
      <c r="BD86" s="13">
        <f>IF('Données projet'!$A$88&gt;35,BD85+BC86-BL85,IF(A86&lt;'Données projet'!$A$88,$BA$205^A86,IF(A86='Données projet'!$A$88,'Données projet'!$B$88,BD85+BC86-BL85)))</f>
        <v>166.0000000000002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157.98488572680344</v>
      </c>
      <c r="T87" s="62">
        <f t="shared" si="88"/>
        <v>269.20989374735825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37.543168616672183</v>
      </c>
      <c r="AA87" s="23">
        <f>EXP(-LN(2)/25)*AA86+(1-EXP(-LN(2)/25))/(LN(2)/25)*Calculateur!V87*Calculateur!X87*VLOOKUP('Données projet'!$B$9,Paramètres!$A$1:$I$89,3,0)*0.475*44/12</f>
        <v>0.74803455755069914</v>
      </c>
      <c r="AB87" s="23">
        <f>EXP(-LN(2)/2)*AB86+(1-EXP(-LN(2)/2))/(LN(2)/2)*V87*Y87*VLOOKUP('Données projet'!$B$9,Paramètres!$A$1:$I$89,3,0)*0.475*44/12</f>
        <v>8.2069533965665069E-6</v>
      </c>
      <c r="AC87" s="24">
        <f t="shared" si="57"/>
        <v>38.291211381176275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2.8</v>
      </c>
      <c r="AI87" s="14">
        <f>IF('Données projet'!$A$62&gt;35,AI86+AH87-AQ86,IF(A87&lt;'Données projet'!$A$62,$AF$205^A87,IF(A87='Données projet'!$A$62,'Données projet'!$B$62,AI86+AH87-AQ86)))</f>
        <v>210.19999999999987</v>
      </c>
      <c r="AJ87" s="14">
        <f>AI87*VLOOKUP('Données projet'!$B$10,Paramètres!$A$1:$I$89,3,0)*VLOOKUP('Données projet'!$B$10,Paramètres!$A$1:$I$89,5,0)</f>
        <v>183.63071999999991</v>
      </c>
      <c r="AK87" s="14">
        <f t="shared" si="89"/>
        <v>46.129013251634447</v>
      </c>
      <c r="AL87" s="22">
        <f t="shared" si="58"/>
        <v>400.16486874659654</v>
      </c>
      <c r="AM87" s="62">
        <f t="shared" si="59"/>
        <v>693.4982020799298</v>
      </c>
      <c r="AN87" s="62">
        <f ca="1">AVERAGE(OFFSET($AM$3,0,0,'Données projet'!$E$10+1,1))-AVERAGE(OFFSET($H$3,0,0,'Données projet'!$E$10+1,1))</f>
        <v>205.97834462530136</v>
      </c>
      <c r="AO87" s="62">
        <f t="shared" si="90"/>
        <v>235.08005253775002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2</v>
      </c>
      <c r="BD87" s="13">
        <f>IF('Données projet'!$A$88&gt;35,BD86+BC87-BL86,IF(A87&lt;'Données projet'!$A$88,$BA$205^A87,IF(A87='Données projet'!$A$88,'Données projet'!$B$88,BD86+BC87-BL86)))</f>
        <v>168.0000000000002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157.98488572680344</v>
      </c>
      <c r="T88" s="62">
        <f t="shared" si="88"/>
        <v>269.20989374735825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36.806969979171001</v>
      </c>
      <c r="AA88" s="23">
        <f>EXP(-LN(2)/25)*AA87+(1-EXP(-LN(2)/25))/(LN(2)/25)*Calculateur!V88*Calculateur!X88*VLOOKUP('Données projet'!$B$9,Paramètres!$A$1:$I$89,3,0)*0.475*44/12</f>
        <v>0.7275795132370475</v>
      </c>
      <c r="AB88" s="23">
        <f>EXP(-LN(2)/2)*AB87+(1-EXP(-LN(2)/2))/(LN(2)/2)*V88*Y88*VLOOKUP('Données projet'!$B$9,Paramètres!$A$1:$I$89,3,0)*0.475*44/12</f>
        <v>5.803192399594146E-6</v>
      </c>
      <c r="AC88" s="24">
        <f t="shared" si="57"/>
        <v>37.534555295600448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213</v>
      </c>
      <c r="AG88" s="13">
        <f>VLOOKUP(A88,'Données projet'!$A$61:$I$81,9,0)</f>
        <v>2.8</v>
      </c>
      <c r="AH88" s="13">
        <f t="array" ref="AH88">INDEX(AG:AG,MIN(IF(ISNUMBER(AG88:AG284),ROW(AG88:AG284),"")))</f>
        <v>2.8</v>
      </c>
      <c r="AI88" s="14">
        <f>IF('Données projet'!$A$62&gt;35,AI87+AH88-AQ87,IF(A88&lt;'Données projet'!$A$62,$AF$205^A88,IF(A88='Données projet'!$A$62,'Données projet'!$B$62,AI87+AH88-AQ87)))</f>
        <v>212.99999999999989</v>
      </c>
      <c r="AJ88" s="14">
        <f>AI88*VLOOKUP('Données projet'!$B$10,Paramètres!$A$1:$I$89,3,0)*VLOOKUP('Données projet'!$B$10,Paramètres!$A$1:$I$89,5,0)</f>
        <v>186.07679999999991</v>
      </c>
      <c r="AK88" s="14">
        <f t="shared" si="89"/>
        <v>46.671538591528673</v>
      </c>
      <c r="AL88" s="22">
        <f t="shared" si="58"/>
        <v>405.37002304691231</v>
      </c>
      <c r="AM88" s="62">
        <f t="shared" si="59"/>
        <v>698.70335638024562</v>
      </c>
      <c r="AN88" s="62">
        <f ca="1">AVERAGE(OFFSET($AM$3,0,0,'Données projet'!$E$10+1,1))-AVERAGE(OFFSET($H$3,0,0,'Données projet'!$E$10+1,1))</f>
        <v>205.97834462530136</v>
      </c>
      <c r="AO88" s="62">
        <f t="shared" si="90"/>
        <v>235.08005253775002</v>
      </c>
      <c r="AP88" s="16">
        <f>IF(ISNA(VLOOKUP(A88,'Données projet'!$A$61:$I$81,3,0)),0,VLOOKUP(A88,'Données projet'!$A$61:$I$81,3,0))</f>
        <v>14</v>
      </c>
      <c r="AQ88" s="16">
        <f>IF(ISNA(VLOOKUP(A88,'Données projet'!$A$61:$I$81,4,0)),0,VLOOKUP(A88,'Données projet'!$A$61:$I$81,4,0))</f>
        <v>10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170</v>
      </c>
      <c r="BB88" s="13">
        <f>VLOOKUP(A88,'Données projet'!$A$87:$I$107,9,0)</f>
        <v>2</v>
      </c>
      <c r="BC88" s="13">
        <f t="array" ref="BC88">INDEX(BB:BB,MIN(IF(ISNUMBER(BB88:BB284),ROW(BB88:BB284),"")))</f>
        <v>2</v>
      </c>
      <c r="BD88" s="13">
        <f>IF('Données projet'!$A$88&gt;35,BD87+BC88-BL87,IF(A88&lt;'Données projet'!$A$88,$BA$205^A88,IF(A88='Données projet'!$A$88,'Données projet'!$B$88,BD87+BC88-BL87)))</f>
        <v>170.0000000000002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14</v>
      </c>
      <c r="BL88" s="16">
        <f>IF(ISNA(VLOOKUP(A88,'Données projet'!$A$87:$I$107,4,0)),0,VLOOKUP(A88,'Données projet'!$A$87:$I$107,4,0))</f>
        <v>7</v>
      </c>
      <c r="BM88" s="17" t="e">
        <f>IF(ISNA(VLOOKUP(A88,'Données projet'!$A$87:$I$107,5,0)),0%,VLOOKUP(A88,'Données projet'!$A$87:$I$107,5,0)*VLOOKUP('Données projet'!$B$11,Paramètres!$A$1:$I$89,7,0))</f>
        <v>#N/A</v>
      </c>
      <c r="BN88" s="17" t="e">
        <f>IF(ISNA(VLOOKUP(A88,'Données projet'!$A$87:$I$107,6,0)),0%,VLOOKUP(A88,'Données projet'!$A$87:$I$107,6,0)*VLOOKUP('Données projet'!$B$11,Paramètres!$A$1:$I$89,7,0))</f>
        <v>#N/A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157.98488572680344</v>
      </c>
      <c r="T89" s="62">
        <f t="shared" si="88"/>
        <v>269.20989374735825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36.085207747914389</v>
      </c>
      <c r="AA89" s="23">
        <f>EXP(-LN(2)/25)*AA88+(1-EXP(-LN(2)/25))/(LN(2)/25)*Calculateur!V89*Calculateur!X89*VLOOKUP('Données projet'!$B$9,Paramètres!$A$1:$I$89,3,0)*0.475*44/12</f>
        <v>0.70768381318583673</v>
      </c>
      <c r="AB89" s="23">
        <f>EXP(-LN(2)/2)*AB88+(1-EXP(-LN(2)/2))/(LN(2)/2)*V89*Y89*VLOOKUP('Données projet'!$B$9,Paramètres!$A$1:$I$89,3,0)*0.475*44/12</f>
        <v>4.1034766982832535E-6</v>
      </c>
      <c r="AC89" s="24">
        <f t="shared" si="57"/>
        <v>36.792895664576925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2.2000000000000002</v>
      </c>
      <c r="AI89" s="14">
        <f>IF('Données projet'!$A$62&gt;35,AI88+AH89-AQ88,IF(A89&lt;'Données projet'!$A$62,$AF$205^A89,IF(A89='Données projet'!$A$62,'Données projet'!$B$62,AI88+AH89-AQ88)))</f>
        <v>205.19999999999987</v>
      </c>
      <c r="AJ89" s="14">
        <f>AI89*VLOOKUP('Données projet'!$B$10,Paramètres!$A$1:$I$89,3,0)*VLOOKUP('Données projet'!$B$10,Paramètres!$A$1:$I$89,5,0)</f>
        <v>179.26271999999992</v>
      </c>
      <c r="AK89" s="14">
        <f t="shared" si="89"/>
        <v>45.158115787467111</v>
      </c>
      <c r="AL89" s="22">
        <f t="shared" si="58"/>
        <v>390.86628899650503</v>
      </c>
      <c r="AM89" s="62">
        <f t="shared" si="59"/>
        <v>684.19962232983835</v>
      </c>
      <c r="AN89" s="62">
        <f ca="1">AVERAGE(OFFSET($AM$3,0,0,'Données projet'!$E$10+1,1))-AVERAGE(OFFSET($H$3,0,0,'Données projet'!$E$10+1,1))</f>
        <v>205.97834462530136</v>
      </c>
      <c r="AO89" s="62">
        <f t="shared" si="90"/>
        <v>235.08005253775002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1.6</v>
      </c>
      <c r="BD89" s="13">
        <f>IF('Données projet'!$A$88&gt;35,BD88+BC89-BL88,IF(A89&lt;'Données projet'!$A$88,$BA$205^A89,IF(A89='Données projet'!$A$88,'Données projet'!$B$88,BD88+BC89-BL88)))</f>
        <v>164.60000000000019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157.98488572680344</v>
      </c>
      <c r="T90" s="62">
        <f t="shared" si="88"/>
        <v>269.20989374735825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35.377598833781228</v>
      </c>
      <c r="AA90" s="23">
        <f>EXP(-LN(2)/25)*AA89+(1-EXP(-LN(2)/25))/(LN(2)/25)*Calculateur!V90*Calculateur!X90*VLOOKUP('Données projet'!$B$9,Paramètres!$A$1:$I$89,3,0)*0.475*44/12</f>
        <v>0.68833216209879577</v>
      </c>
      <c r="AB90" s="23">
        <f>EXP(-LN(2)/2)*AB89+(1-EXP(-LN(2)/2))/(LN(2)/2)*V90*Y90*VLOOKUP('Données projet'!$B$9,Paramètres!$A$1:$I$89,3,0)*0.475*44/12</f>
        <v>2.901596199797073E-6</v>
      </c>
      <c r="AC90" s="24">
        <f t="shared" si="57"/>
        <v>36.065933897476221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2.2000000000000002</v>
      </c>
      <c r="AI90" s="14">
        <f>IF('Données projet'!$A$62&gt;35,AI89+AH90-AQ89,IF(A90&lt;'Données projet'!$A$62,$AF$205^A90,IF(A90='Données projet'!$A$62,'Données projet'!$B$62,AI89+AH90-AQ89)))</f>
        <v>207.39999999999986</v>
      </c>
      <c r="AJ90" s="14">
        <f>AI90*VLOOKUP('Données projet'!$B$10,Paramètres!$A$1:$I$89,3,0)*VLOOKUP('Données projet'!$B$10,Paramètres!$A$1:$I$89,5,0)</f>
        <v>181.18463999999992</v>
      </c>
      <c r="AK90" s="14">
        <f t="shared" si="89"/>
        <v>45.585646034700282</v>
      </c>
      <c r="AL90" s="22">
        <f t="shared" si="58"/>
        <v>394.95824817710286</v>
      </c>
      <c r="AM90" s="62">
        <f t="shared" si="59"/>
        <v>688.29158151043612</v>
      </c>
      <c r="AN90" s="62">
        <f ca="1">AVERAGE(OFFSET($AM$3,0,0,'Données projet'!$E$10+1,1))-AVERAGE(OFFSET($H$3,0,0,'Données projet'!$E$10+1,1))</f>
        <v>205.97834462530136</v>
      </c>
      <c r="AO90" s="62">
        <f t="shared" si="90"/>
        <v>235.08005253775002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1.6</v>
      </c>
      <c r="BD90" s="13">
        <f>IF('Données projet'!$A$88&gt;35,BD89+BC90-BL89,IF(A90&lt;'Données projet'!$A$88,$BA$205^A90,IF(A90='Données projet'!$A$88,'Données projet'!$B$88,BD89+BC90-BL89)))</f>
        <v>166.20000000000019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157.98488572680344</v>
      </c>
      <c r="T91" s="62">
        <f t="shared" si="88"/>
        <v>269.20989374735825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34.683865698855399</v>
      </c>
      <c r="AA91" s="23">
        <f>EXP(-LN(2)/25)*AA90+(1-EXP(-LN(2)/25))/(LN(2)/25)*Calculateur!V91*Calculateur!X91*VLOOKUP('Données projet'!$B$9,Paramètres!$A$1:$I$89,3,0)*0.475*44/12</f>
        <v>0.66950968292838897</v>
      </c>
      <c r="AB91" s="23">
        <f>EXP(-LN(2)/2)*AB90+(1-EXP(-LN(2)/2))/(LN(2)/2)*V91*Y91*VLOOKUP('Données projet'!$B$9,Paramètres!$A$1:$I$89,3,0)*0.475*44/12</f>
        <v>2.0517383491416267E-6</v>
      </c>
      <c r="AC91" s="24">
        <f t="shared" si="57"/>
        <v>35.353377433522134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2.2000000000000002</v>
      </c>
      <c r="AI91" s="14">
        <f>IF('Données projet'!$A$62&gt;35,AI90+AH91-AQ90,IF(A91&lt;'Données projet'!$A$62,$AF$205^A91,IF(A91='Données projet'!$A$62,'Données projet'!$B$62,AI90+AH91-AQ90)))</f>
        <v>209.59999999999985</v>
      </c>
      <c r="AJ91" s="14">
        <f>AI91*VLOOKUP('Données projet'!$B$10,Paramètres!$A$1:$I$89,3,0)*VLOOKUP('Données projet'!$B$10,Paramètres!$A$1:$I$89,5,0)</f>
        <v>183.10655999999992</v>
      </c>
      <c r="AK91" s="14">
        <f t="shared" si="89"/>
        <v>46.012648718992047</v>
      </c>
      <c r="AL91" s="22">
        <f t="shared" si="58"/>
        <v>399.049288518911</v>
      </c>
      <c r="AM91" s="62">
        <f t="shared" si="59"/>
        <v>692.38262185224426</v>
      </c>
      <c r="AN91" s="62">
        <f ca="1">AVERAGE(OFFSET($AM$3,0,0,'Données projet'!$E$10+1,1))-AVERAGE(OFFSET($H$3,0,0,'Données projet'!$E$10+1,1))</f>
        <v>205.97834462530136</v>
      </c>
      <c r="AO91" s="62">
        <f t="shared" si="90"/>
        <v>235.08005253775002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1.6</v>
      </c>
      <c r="BD91" s="13">
        <f>IF('Données projet'!$A$88&gt;35,BD90+BC91-BL90,IF(A91&lt;'Données projet'!$A$88,$BA$205^A91,IF(A91='Données projet'!$A$88,'Données projet'!$B$88,BD90+BC91-BL90)))</f>
        <v>167.80000000000018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157.98488572680344</v>
      </c>
      <c r="T92" s="62">
        <f t="shared" si="88"/>
        <v>269.20989374735825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34.003736247570032</v>
      </c>
      <c r="AA92" s="23">
        <f>EXP(-LN(2)/25)*AA91+(1-EXP(-LN(2)/25))/(LN(2)/25)*Calculateur!V92*Calculateur!X92*VLOOKUP('Données projet'!$B$9,Paramètres!$A$1:$I$89,3,0)*0.475*44/12</f>
        <v>0.65120190544072809</v>
      </c>
      <c r="AB92" s="23">
        <f>EXP(-LN(2)/2)*AB91+(1-EXP(-LN(2)/2))/(LN(2)/2)*V92*Y92*VLOOKUP('Données projet'!$B$9,Paramètres!$A$1:$I$89,3,0)*0.475*44/12</f>
        <v>1.4507980998985365E-6</v>
      </c>
      <c r="AC92" s="24">
        <f t="shared" si="57"/>
        <v>34.654939603808863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2.2000000000000002</v>
      </c>
      <c r="AI92" s="14">
        <f>IF('Données projet'!$A$62&gt;35,AI91+AH92-AQ91,IF(A92&lt;'Données projet'!$A$62,$AF$205^A92,IF(A92='Données projet'!$A$62,'Données projet'!$B$62,AI91+AH92-AQ91)))</f>
        <v>211.79999999999984</v>
      </c>
      <c r="AJ92" s="14">
        <f>AI92*VLOOKUP('Données projet'!$B$10,Paramètres!$A$1:$I$89,3,0)*VLOOKUP('Données projet'!$B$10,Paramètres!$A$1:$I$89,5,0)</f>
        <v>185.02847999999989</v>
      </c>
      <c r="AK92" s="14">
        <f t="shared" si="89"/>
        <v>46.439130018745807</v>
      </c>
      <c r="AL92" s="22">
        <f t="shared" si="58"/>
        <v>403.13942078264876</v>
      </c>
      <c r="AM92" s="62">
        <f t="shared" si="59"/>
        <v>696.47275411598207</v>
      </c>
      <c r="AN92" s="62">
        <f ca="1">AVERAGE(OFFSET($AM$3,0,0,'Données projet'!$E$10+1,1))-AVERAGE(OFFSET($H$3,0,0,'Données projet'!$E$10+1,1))</f>
        <v>205.97834462530136</v>
      </c>
      <c r="AO92" s="62">
        <f t="shared" si="90"/>
        <v>235.08005253775002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1.6</v>
      </c>
      <c r="BD92" s="13">
        <f>IF('Données projet'!$A$88&gt;35,BD91+BC92-BL91,IF(A92&lt;'Données projet'!$A$88,$BA$205^A92,IF(A92='Données projet'!$A$88,'Données projet'!$B$88,BD91+BC92-BL91)))</f>
        <v>169.40000000000018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157.98488572680344</v>
      </c>
      <c r="T93" s="62">
        <f t="shared" si="88"/>
        <v>269.20989374735825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33.336943719986365</v>
      </c>
      <c r="AA93" s="23">
        <f>EXP(-LN(2)/25)*AA92+(1-EXP(-LN(2)/25))/(LN(2)/25)*Calculateur!V93*Calculateur!X93*VLOOKUP('Données projet'!$B$9,Paramètres!$A$1:$I$89,3,0)*0.475*44/12</f>
        <v>0.63339475509123155</v>
      </c>
      <c r="AB93" s="23">
        <f>EXP(-LN(2)/2)*AB92+(1-EXP(-LN(2)/2))/(LN(2)/2)*V93*Y93*VLOOKUP('Données projet'!$B$9,Paramètres!$A$1:$I$89,3,0)*0.475*44/12</f>
        <v>1.0258691745708134E-6</v>
      </c>
      <c r="AC93" s="24">
        <f t="shared" si="57"/>
        <v>33.970339500946771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214</v>
      </c>
      <c r="AG93" s="13">
        <f>VLOOKUP(A93,'Données projet'!$A$61:$I$81,9,0)</f>
        <v>2.2000000000000002</v>
      </c>
      <c r="AH93" s="13">
        <f t="array" ref="AH93">INDEX(AG:AG,MIN(IF(ISNUMBER(AG93:AG289),ROW(AG93:AG289),"")))</f>
        <v>2.2000000000000002</v>
      </c>
      <c r="AI93" s="14">
        <f>IF('Données projet'!$A$62&gt;35,AI92+AH93-AQ92,IF(A93&lt;'Données projet'!$A$62,$AF$205^A93,IF(A93='Données projet'!$A$62,'Données projet'!$B$62,AI92+AH93-AQ92)))</f>
        <v>213.99999999999983</v>
      </c>
      <c r="AJ93" s="14">
        <f>AI93*VLOOKUP('Données projet'!$B$10,Paramètres!$A$1:$I$89,3,0)*VLOOKUP('Données projet'!$B$10,Paramètres!$A$1:$I$89,5,0)</f>
        <v>186.95039999999989</v>
      </c>
      <c r="AK93" s="14">
        <f t="shared" si="89"/>
        <v>46.86509597661761</v>
      </c>
      <c r="AL93" s="22">
        <f t="shared" si="58"/>
        <v>407.22865549260882</v>
      </c>
      <c r="AM93" s="62">
        <f t="shared" si="59"/>
        <v>700.56198882594208</v>
      </c>
      <c r="AN93" s="62">
        <f ca="1">AVERAGE(OFFSET($AM$3,0,0,'Données projet'!$E$10+1,1))-AVERAGE(OFFSET($H$3,0,0,'Données projet'!$E$10+1,1))</f>
        <v>205.97834462530136</v>
      </c>
      <c r="AO93" s="62">
        <f t="shared" si="90"/>
        <v>235.08005253775002</v>
      </c>
      <c r="AP93" s="16">
        <f>IF(ISNA(VLOOKUP(A93,'Données projet'!$A$61:$I$81,3,0)),0,VLOOKUP(A93,'Données projet'!$A$61:$I$81,3,0))</f>
        <v>15</v>
      </c>
      <c r="AQ93" s="16">
        <f>IF(ISNA(VLOOKUP(A93,'Données projet'!$A$61:$I$81,4,0)),0,VLOOKUP(A93,'Données projet'!$A$61:$I$81,4,0))</f>
        <v>214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171</v>
      </c>
      <c r="BB93" s="13">
        <f>VLOOKUP(A93,'Données projet'!$A$87:$I$107,9,0)</f>
        <v>1.6</v>
      </c>
      <c r="BC93" s="13">
        <f t="array" ref="BC93">INDEX(BB:BB,MIN(IF(ISNUMBER(BB93:BB289),ROW(BB93:BB289),"")))</f>
        <v>1.6</v>
      </c>
      <c r="BD93" s="13">
        <f>IF('Données projet'!$A$88&gt;35,BD92+BC93-BL92,IF(A93&lt;'Données projet'!$A$88,$BA$205^A93,IF(A93='Données projet'!$A$88,'Données projet'!$B$88,BD92+BC93-BL92)))</f>
        <v>171.00000000000017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15</v>
      </c>
      <c r="BL93" s="16">
        <f>IF(ISNA(VLOOKUP(A93,'Données projet'!$A$87:$I$107,4,0)),0,VLOOKUP(A93,'Données projet'!$A$87:$I$107,4,0))</f>
        <v>171</v>
      </c>
      <c r="BM93" s="17" t="e">
        <f>IF(ISNA(VLOOKUP(A93,'Données projet'!$A$87:$I$107,5,0)),0%,VLOOKUP(A93,'Données projet'!$A$87:$I$107,5,0)*VLOOKUP('Données projet'!$B$11,Paramètres!$A$1:$I$89,7,0))</f>
        <v>#N/A</v>
      </c>
      <c r="BN93" s="17" t="e">
        <f>IF(ISNA(VLOOKUP(A93,'Données projet'!$A$87:$I$107,6,0)),0%,VLOOKUP(A93,'Données projet'!$A$87:$I$107,6,0)*VLOOKUP('Données projet'!$B$11,Paramètres!$A$1:$I$89,7,0))</f>
        <v>#N/A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157.98488572680344</v>
      </c>
      <c r="T94" s="62">
        <f t="shared" si="88"/>
        <v>269.20989374735825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32.683226587165336</v>
      </c>
      <c r="AA94" s="23">
        <f>EXP(-LN(2)/25)*AA93+(1-EXP(-LN(2)/25))/(LN(2)/25)*Calculateur!V94*Calculateur!X94*VLOOKUP('Données projet'!$B$9,Paramètres!$A$1:$I$89,3,0)*0.475*44/12</f>
        <v>0.61607454220447933</v>
      </c>
      <c r="AB94" s="23">
        <f>EXP(-LN(2)/2)*AB93+(1-EXP(-LN(2)/2))/(LN(2)/2)*V94*Y94*VLOOKUP('Données projet'!$B$9,Paramètres!$A$1:$I$89,3,0)*0.475*44/12</f>
        <v>7.2539904994926825E-7</v>
      </c>
      <c r="AC94" s="24">
        <f t="shared" si="57"/>
        <v>33.299301854768864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-1.7053025658242404E-13</v>
      </c>
      <c r="AJ94" s="14">
        <f>AI94*VLOOKUP('Données projet'!$B$10,Paramètres!$A$1:$I$89,3,0)*VLOOKUP('Données projet'!$B$10,Paramètres!$A$1:$I$89,5,0)</f>
        <v>-1.4897523215040567E-13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205.97834462530136</v>
      </c>
      <c r="AO94" s="62">
        <f t="shared" si="90"/>
        <v>235.08005253775002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1.7053025658242404E-13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157.98488572680344</v>
      </c>
      <c r="T95" s="62">
        <f t="shared" si="88"/>
        <v>269.20989374735825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32.042328448590844</v>
      </c>
      <c r="AA95" s="23">
        <f>EXP(-LN(2)/25)*AA94+(1-EXP(-LN(2)/25))/(LN(2)/25)*Calculateur!V95*Calculateur!X95*VLOOKUP('Données projet'!$B$9,Paramètres!$A$1:$I$89,3,0)*0.475*44/12</f>
        <v>0.59922795144994567</v>
      </c>
      <c r="AB95" s="23">
        <f>EXP(-LN(2)/2)*AB94+(1-EXP(-LN(2)/2))/(LN(2)/2)*V95*Y95*VLOOKUP('Données projet'!$B$9,Paramètres!$A$1:$I$89,3,0)*0.475*44/12</f>
        <v>5.1293458728540668E-7</v>
      </c>
      <c r="AC95" s="24">
        <f t="shared" si="57"/>
        <v>32.641556912975382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-1.7053025658242404E-13</v>
      </c>
      <c r="AJ95" s="14">
        <f>AI95*VLOOKUP('Données projet'!$B$10,Paramètres!$A$1:$I$89,3,0)*VLOOKUP('Données projet'!$B$10,Paramètres!$A$1:$I$89,5,0)</f>
        <v>-1.4897523215040567E-13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205.97834462530136</v>
      </c>
      <c r="AO95" s="62">
        <f t="shared" si="90"/>
        <v>235.08005253775002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1.7053025658242404E-13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157.98488572680344</v>
      </c>
      <c r="T96" s="62">
        <f t="shared" si="88"/>
        <v>269.20989374735825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31.413997931604531</v>
      </c>
      <c r="AA96" s="23">
        <f>EXP(-LN(2)/25)*AA95+(1-EXP(-LN(2)/25))/(LN(2)/25)*Calculateur!V96*Calculateur!X96*VLOOKUP('Données projet'!$B$9,Paramètres!$A$1:$I$89,3,0)*0.475*44/12</f>
        <v>0.58284203160551851</v>
      </c>
      <c r="AB96" s="23">
        <f>EXP(-LN(2)/2)*AB95+(1-EXP(-LN(2)/2))/(LN(2)/2)*V96*Y96*VLOOKUP('Données projet'!$B$9,Paramètres!$A$1:$I$89,3,0)*0.475*44/12</f>
        <v>3.6269952497463413E-7</v>
      </c>
      <c r="AC96" s="24">
        <f t="shared" si="57"/>
        <v>31.996840325909574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-1.7053025658242404E-13</v>
      </c>
      <c r="AJ96" s="14">
        <f>AI96*VLOOKUP('Données projet'!$B$10,Paramètres!$A$1:$I$89,3,0)*VLOOKUP('Données projet'!$B$10,Paramètres!$A$1:$I$89,5,0)</f>
        <v>-1.4897523215040567E-13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205.97834462530136</v>
      </c>
      <c r="AO96" s="62">
        <f t="shared" si="90"/>
        <v>235.08005253775002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1.7053025658242404E-13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157.98488572680344</v>
      </c>
      <c r="T97" s="62">
        <f t="shared" si="88"/>
        <v>269.20989374735825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30.797988592812548</v>
      </c>
      <c r="AA97" s="23">
        <f>EXP(-LN(2)/25)*AA96+(1-EXP(-LN(2)/25))/(LN(2)/25)*Calculateur!V97*Calculateur!X97*VLOOKUP('Données projet'!$B$9,Paramètres!$A$1:$I$89,3,0)*0.475*44/12</f>
        <v>0.56690418560093525</v>
      </c>
      <c r="AB97" s="23">
        <f>EXP(-LN(2)/2)*AB96+(1-EXP(-LN(2)/2))/(LN(2)/2)*V97*Y97*VLOOKUP('Données projet'!$B$9,Paramètres!$A$1:$I$89,3,0)*0.475*44/12</f>
        <v>2.5646729364270334E-7</v>
      </c>
      <c r="AC97" s="24">
        <f t="shared" si="57"/>
        <v>31.36489303488078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-1.7053025658242404E-13</v>
      </c>
      <c r="AJ97" s="14">
        <f>AI97*VLOOKUP('Données projet'!$B$10,Paramètres!$A$1:$I$89,3,0)*VLOOKUP('Données projet'!$B$10,Paramètres!$A$1:$I$89,5,0)</f>
        <v>-1.4897523215040567E-13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205.97834462530136</v>
      </c>
      <c r="AO97" s="62">
        <f t="shared" si="90"/>
        <v>235.08005253775002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1.7053025658242404E-13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157.98488572680344</v>
      </c>
      <c r="T98" s="62">
        <f t="shared" si="88"/>
        <v>269.20989374735825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30.194058821425678</v>
      </c>
      <c r="AA98" s="23">
        <f>EXP(-LN(2)/25)*AA97+(1-EXP(-LN(2)/25))/(LN(2)/25)*Calculateur!V98*Calculateur!X98*VLOOKUP('Données projet'!$B$9,Paramètres!$A$1:$I$89,3,0)*0.475*44/12</f>
        <v>0.55140216083348226</v>
      </c>
      <c r="AB98" s="23">
        <f>EXP(-LN(2)/2)*AB97+(1-EXP(-LN(2)/2))/(LN(2)/2)*V98*Y98*VLOOKUP('Données projet'!$B$9,Paramètres!$A$1:$I$89,3,0)*0.475*44/12</f>
        <v>1.8134976248731706E-7</v>
      </c>
      <c r="AC98" s="24">
        <f t="shared" si="57"/>
        <v>30.745461163608923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-1.7053025658242404E-13</v>
      </c>
      <c r="AJ98" s="14">
        <f>AI98*VLOOKUP('Données projet'!$B$10,Paramètres!$A$1:$I$89,3,0)*VLOOKUP('Données projet'!$B$10,Paramètres!$A$1:$I$89,5,0)</f>
        <v>-1.4897523215040567E-13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205.97834462530136</v>
      </c>
      <c r="AO98" s="62">
        <f t="shared" si="90"/>
        <v>235.08005253775002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1.7053025658242404E-13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157.98488572680344</v>
      </c>
      <c r="T99" s="62">
        <f t="shared" si="88"/>
        <v>269.20989374735825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29.601971744494918</v>
      </c>
      <c r="AA99" s="23">
        <f>EXP(-LN(2)/25)*AA98+(1-EXP(-LN(2)/25))/(LN(2)/25)*Calculateur!V99*Calculateur!X99*VLOOKUP('Données projet'!$B$9,Paramètres!$A$1:$I$89,3,0)*0.475*44/12</f>
        <v>0.53632403974851128</v>
      </c>
      <c r="AB99" s="23">
        <f>EXP(-LN(2)/2)*AB98+(1-EXP(-LN(2)/2))/(LN(2)/2)*V99*Y99*VLOOKUP('Données projet'!$B$9,Paramètres!$A$1:$I$89,3,0)*0.475*44/12</f>
        <v>1.2823364682135167E-7</v>
      </c>
      <c r="AC99" s="24">
        <f t="shared" si="57"/>
        <v>30.138295912477076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-1.7053025658242404E-13</v>
      </c>
      <c r="AJ99" s="14">
        <f>AI99*VLOOKUP('Données projet'!$B$10,Paramètres!$A$1:$I$89,3,0)*VLOOKUP('Données projet'!$B$10,Paramètres!$A$1:$I$89,5,0)</f>
        <v>-1.4897523215040567E-13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205.97834462530136</v>
      </c>
      <c r="AO99" s="62">
        <f t="shared" si="90"/>
        <v>235.08005253775002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1.7053025658242404E-13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157.98488572680344</v>
      </c>
      <c r="T100" s="62">
        <f t="shared" si="88"/>
        <v>269.20989374735825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29.021495134005313</v>
      </c>
      <c r="AA100" s="23">
        <f>EXP(-LN(2)/25)*AA99+(1-EXP(-LN(2)/25))/(LN(2)/25)*Calculateur!V100*Calculateur!X100*VLOOKUP('Données projet'!$B$9,Paramètres!$A$1:$I$89,3,0)*0.475*44/12</f>
        <v>0.52165823067753281</v>
      </c>
      <c r="AB100" s="23">
        <f>EXP(-LN(2)/2)*AB99+(1-EXP(-LN(2)/2))/(LN(2)/2)*V100*Y100*VLOOKUP('Données projet'!$B$9,Paramètres!$A$1:$I$89,3,0)*0.475*44/12</f>
        <v>9.0674881243658531E-8</v>
      </c>
      <c r="AC100" s="24">
        <f t="shared" si="57"/>
        <v>29.543153455357729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-1.7053025658242404E-13</v>
      </c>
      <c r="AJ100" s="14">
        <f>AI100*VLOOKUP('Données projet'!$B$10,Paramètres!$A$1:$I$89,3,0)*VLOOKUP('Données projet'!$B$10,Paramètres!$A$1:$I$89,5,0)</f>
        <v>-1.4897523215040567E-13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205.97834462530136</v>
      </c>
      <c r="AO100" s="62">
        <f t="shared" si="90"/>
        <v>235.08005253775002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1.7053025658242404E-13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157.98488572680344</v>
      </c>
      <c r="T101" s="62">
        <f t="shared" si="88"/>
        <v>269.20989374735825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28.452401315791636</v>
      </c>
      <c r="AA101" s="23">
        <f>EXP(-LN(2)/25)*AA100+(1-EXP(-LN(2)/25))/(LN(2)/25)*Calculateur!V101*Calculateur!X101*VLOOKUP('Données projet'!$B$9,Paramètres!$A$1:$I$89,3,0)*0.475*44/12</f>
        <v>0.50739345892684162</v>
      </c>
      <c r="AB101" s="23">
        <f>EXP(-LN(2)/2)*AB100+(1-EXP(-LN(2)/2))/(LN(2)/2)*V101*Y101*VLOOKUP('Données projet'!$B$9,Paramètres!$A$1:$I$89,3,0)*0.475*44/12</f>
        <v>6.4116823410675835E-8</v>
      </c>
      <c r="AC101" s="24">
        <f t="shared" si="57"/>
        <v>28.9597948388353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-1.7053025658242404E-13</v>
      </c>
      <c r="AJ101" s="14">
        <f>AI101*VLOOKUP('Données projet'!$B$10,Paramètres!$A$1:$I$89,3,0)*VLOOKUP('Données projet'!$B$10,Paramètres!$A$1:$I$89,5,0)</f>
        <v>-1.4897523215040567E-13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205.97834462530136</v>
      </c>
      <c r="AO101" s="62">
        <f t="shared" si="90"/>
        <v>235.08005253775002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1.7053025658242404E-13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157.98488572680344</v>
      </c>
      <c r="T102" s="62">
        <f t="shared" si="88"/>
        <v>269.20989374735825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27.894467080240176</v>
      </c>
      <c r="AA102" s="23">
        <f>EXP(-LN(2)/25)*AA101+(1-EXP(-LN(2)/25))/(LN(2)/25)*Calculateur!V102*Calculateur!X102*VLOOKUP('Données projet'!$B$9,Paramètres!$A$1:$I$89,3,0)*0.475*44/12</f>
        <v>0.49351875810982482</v>
      </c>
      <c r="AB102" s="23">
        <f>EXP(-LN(2)/2)*AB101+(1-EXP(-LN(2)/2))/(LN(2)/2)*V102*Y102*VLOOKUP('Données projet'!$B$9,Paramètres!$A$1:$I$89,3,0)*0.475*44/12</f>
        <v>4.5337440621829266E-8</v>
      </c>
      <c r="AC102" s="24">
        <f t="shared" si="57"/>
        <v>28.387985883687442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-1.7053025658242404E-13</v>
      </c>
      <c r="AJ102" s="14">
        <f>AI102*VLOOKUP('Données projet'!$B$10,Paramètres!$A$1:$I$89,3,0)*VLOOKUP('Données projet'!$B$10,Paramètres!$A$1:$I$89,5,0)</f>
        <v>-1.4897523215040567E-13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205.97834462530136</v>
      </c>
      <c r="AO102" s="62">
        <f t="shared" si="90"/>
        <v>235.08005253775002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1.7053025658242404E-13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157.98488572680344</v>
      </c>
      <c r="T103" s="62">
        <f t="shared" si="88"/>
        <v>269.20989374735825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27.347473594741597</v>
      </c>
      <c r="AA103" s="23">
        <f>EXP(-LN(2)/25)*AA102+(1-EXP(-LN(2)/25))/(LN(2)/25)*Calculateur!V103*Calculateur!X103*VLOOKUP('Données projet'!$B$9,Paramètres!$A$1:$I$89,3,0)*0.475*44/12</f>
        <v>0.48002346171628812</v>
      </c>
      <c r="AB103" s="23">
        <f>EXP(-LN(2)/2)*AB102+(1-EXP(-LN(2)/2))/(LN(2)/2)*V103*Y103*VLOOKUP('Données projet'!$B$9,Paramètres!$A$1:$I$89,3,0)*0.475*44/12</f>
        <v>3.2058411705337918E-8</v>
      </c>
      <c r="AC103" s="24">
        <f t="shared" si="57"/>
        <v>27.827497088516299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-1.7053025658242404E-13</v>
      </c>
      <c r="AJ103" s="14">
        <f>AI103*VLOOKUP('Données projet'!$B$10,Paramètres!$A$1:$I$89,3,0)*VLOOKUP('Données projet'!$B$10,Paramètres!$A$1:$I$89,5,0)</f>
        <v>-1.4897523215040567E-13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205.97834462530136</v>
      </c>
      <c r="AO103" s="62">
        <f t="shared" si="90"/>
        <v>235.08005253775002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1.7053025658242404E-13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157.98488572680344</v>
      </c>
      <c r="T104" s="62">
        <f t="shared" si="88"/>
        <v>269.20989374735825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26.811206317860563</v>
      </c>
      <c r="AA104" s="23">
        <f>EXP(-LN(2)/25)*AA103+(1-EXP(-LN(2)/25))/(LN(2)/25)*Calculateur!V104*Calculateur!X104*VLOOKUP('Données projet'!$B$9,Paramètres!$A$1:$I$89,3,0)*0.475*44/12</f>
        <v>0.46689719491231946</v>
      </c>
      <c r="AB104" s="23">
        <f>EXP(-LN(2)/2)*AB103+(1-EXP(-LN(2)/2))/(LN(2)/2)*V104*Y104*VLOOKUP('Données projet'!$B$9,Paramètres!$A$1:$I$89,3,0)*0.475*44/12</f>
        <v>2.2668720310914633E-8</v>
      </c>
      <c r="AC104" s="24">
        <f t="shared" si="57"/>
        <v>27.278103535441605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-1.7053025658242404E-13</v>
      </c>
      <c r="AJ104" s="14">
        <f>AI104*VLOOKUP('Données projet'!$B$10,Paramètres!$A$1:$I$89,3,0)*VLOOKUP('Données projet'!$B$10,Paramètres!$A$1:$I$89,5,0)</f>
        <v>-1.4897523215040567E-13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205.97834462530136</v>
      </c>
      <c r="AO104" s="62">
        <f t="shared" si="90"/>
        <v>235.08005253775002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1.7053025658242404E-13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157.98488572680344</v>
      </c>
      <c r="T105" s="62">
        <f t="shared" si="88"/>
        <v>269.20989374735825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26.285454915188424</v>
      </c>
      <c r="AA105" s="23">
        <f>EXP(-LN(2)/25)*AA104+(1-EXP(-LN(2)/25))/(LN(2)/25)*Calculateur!V105*Calculateur!X105*VLOOKUP('Données projet'!$B$9,Paramètres!$A$1:$I$89,3,0)*0.475*44/12</f>
        <v>0.4541298665643857</v>
      </c>
      <c r="AB105" s="23">
        <f>EXP(-LN(2)/2)*AB104+(1-EXP(-LN(2)/2))/(LN(2)/2)*V105*Y105*VLOOKUP('Données projet'!$B$9,Paramètres!$A$1:$I$89,3,0)*0.475*44/12</f>
        <v>1.6029205852668959E-8</v>
      </c>
      <c r="AC105" s="24">
        <f t="shared" si="57"/>
        <v>26.739584797782015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-1.7053025658242404E-13</v>
      </c>
      <c r="AJ105" s="14">
        <f>AI105*VLOOKUP('Données projet'!$B$10,Paramètres!$A$1:$I$89,3,0)*VLOOKUP('Données projet'!$B$10,Paramètres!$A$1:$I$89,5,0)</f>
        <v>-1.4897523215040567E-13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205.97834462530136</v>
      </c>
      <c r="AO105" s="62">
        <f t="shared" si="90"/>
        <v>235.08005253775002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1.7053025658242404E-13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157.98488572680344</v>
      </c>
      <c r="T106" s="62">
        <f t="shared" si="88"/>
        <v>269.20989374735825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25.770013176845996</v>
      </c>
      <c r="AA106" s="23">
        <f>EXP(-LN(2)/25)*AA105+(1-EXP(-LN(2)/25))/(LN(2)/25)*Calculateur!V106*Calculateur!X106*VLOOKUP('Données projet'!$B$9,Paramètres!$A$1:$I$89,3,0)*0.475*44/12</f>
        <v>0.44171166148153079</v>
      </c>
      <c r="AB106" s="23">
        <f>EXP(-LN(2)/2)*AB105+(1-EXP(-LN(2)/2))/(LN(2)/2)*V106*Y106*VLOOKUP('Données projet'!$B$9,Paramètres!$A$1:$I$89,3,0)*0.475*44/12</f>
        <v>1.1334360155457316E-8</v>
      </c>
      <c r="AC106" s="24">
        <f t="shared" si="57"/>
        <v>26.211724849661888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-1.7053025658242404E-13</v>
      </c>
      <c r="AJ106" s="14">
        <f>AI106*VLOOKUP('Données projet'!$B$10,Paramètres!$A$1:$I$89,3,0)*VLOOKUP('Données projet'!$B$10,Paramètres!$A$1:$I$89,5,0)</f>
        <v>-1.4897523215040567E-13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205.97834462530136</v>
      </c>
      <c r="AO106" s="62">
        <f t="shared" si="90"/>
        <v>235.08005253775002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1.7053025658242404E-13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157.98488572680344</v>
      </c>
      <c r="T107" s="62">
        <f t="shared" si="88"/>
        <v>269.20989374735825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25.264678936604046</v>
      </c>
      <c r="AA107" s="23">
        <f>EXP(-LN(2)/25)*AA106+(1-EXP(-LN(2)/25))/(LN(2)/25)*Calculateur!V107*Calculateur!X107*VLOOKUP('Données projet'!$B$9,Paramètres!$A$1:$I$89,3,0)*0.475*44/12</f>
        <v>0.42963303286971161</v>
      </c>
      <c r="AB107" s="23">
        <f>EXP(-LN(2)/2)*AB106+(1-EXP(-LN(2)/2))/(LN(2)/2)*V107*Y107*VLOOKUP('Données projet'!$B$9,Paramètres!$A$1:$I$89,3,0)*0.475*44/12</f>
        <v>8.0146029263344794E-9</v>
      </c>
      <c r="AC107" s="24">
        <f t="shared" si="57"/>
        <v>25.694311977488361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-1.7053025658242404E-13</v>
      </c>
      <c r="AJ107" s="14">
        <f>AI107*VLOOKUP('Données projet'!$B$10,Paramètres!$A$1:$I$89,3,0)*VLOOKUP('Données projet'!$B$10,Paramètres!$A$1:$I$89,5,0)</f>
        <v>-1.4897523215040567E-13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205.97834462530136</v>
      </c>
      <c r="AO107" s="62">
        <f t="shared" si="90"/>
        <v>235.08005253775002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1.7053025658242404E-13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157.98488572680344</v>
      </c>
      <c r="T108" s="62">
        <f t="shared" si="88"/>
        <v>269.20989374735825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24.769253992589789</v>
      </c>
      <c r="AA108" s="23">
        <f>EXP(-LN(2)/25)*AA107+(1-EXP(-LN(2)/25))/(LN(2)/25)*Calculateur!V108*Calculateur!X108*VLOOKUP('Données projet'!$B$9,Paramètres!$A$1:$I$89,3,0)*0.475*44/12</f>
        <v>0.41788469499247011</v>
      </c>
      <c r="AB108" s="23">
        <f>EXP(-LN(2)/2)*AB107+(1-EXP(-LN(2)/2))/(LN(2)/2)*V108*Y108*VLOOKUP('Données projet'!$B$9,Paramètres!$A$1:$I$89,3,0)*0.475*44/12</f>
        <v>5.6671800777286582E-9</v>
      </c>
      <c r="AC108" s="24">
        <f t="shared" si="57"/>
        <v>25.187138693249437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-1.7053025658242404E-13</v>
      </c>
      <c r="AJ108" s="14">
        <f>AI108*VLOOKUP('Données projet'!$B$10,Paramètres!$A$1:$I$89,3,0)*VLOOKUP('Données projet'!$B$10,Paramètres!$A$1:$I$89,5,0)</f>
        <v>-1.4897523215040567E-13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205.97834462530136</v>
      </c>
      <c r="AO108" s="62">
        <f t="shared" si="90"/>
        <v>235.08005253775002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1.7053025658242404E-13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157.98488572680344</v>
      </c>
      <c r="T109" s="62">
        <f t="shared" si="88"/>
        <v>269.20989374735825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24.283544029548271</v>
      </c>
      <c r="AA109" s="23">
        <f>EXP(-LN(2)/25)*AA108+(1-EXP(-LN(2)/25))/(LN(2)/25)*Calculateur!V109*Calculateur!X109*VLOOKUP('Données projet'!$B$9,Paramètres!$A$1:$I$89,3,0)*0.475*44/12</f>
        <v>0.40645761603230002</v>
      </c>
      <c r="AB109" s="23">
        <f>EXP(-LN(2)/2)*AB108+(1-EXP(-LN(2)/2))/(LN(2)/2)*V109*Y109*VLOOKUP('Données projet'!$B$9,Paramètres!$A$1:$I$89,3,0)*0.475*44/12</f>
        <v>4.0073014631672397E-9</v>
      </c>
      <c r="AC109" s="24">
        <f t="shared" si="57"/>
        <v>24.69000164958787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-1.7053025658242404E-13</v>
      </c>
      <c r="AJ109" s="14">
        <f>AI109*VLOOKUP('Données projet'!$B$10,Paramètres!$A$1:$I$89,3,0)*VLOOKUP('Données projet'!$B$10,Paramètres!$A$1:$I$89,5,0)</f>
        <v>-1.4897523215040567E-13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205.97834462530136</v>
      </c>
      <c r="AO109" s="62">
        <f t="shared" si="90"/>
        <v>235.08005253775002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1.7053025658242404E-13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157.98488572680344</v>
      </c>
      <c r="T110" s="62">
        <f t="shared" si="88"/>
        <v>269.20989374735825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23.807358542628172</v>
      </c>
      <c r="AA110" s="23">
        <f>EXP(-LN(2)/25)*AA109+(1-EXP(-LN(2)/25))/(LN(2)/25)*Calculateur!V110*Calculateur!X110*VLOOKUP('Données projet'!$B$9,Paramètres!$A$1:$I$89,3,0)*0.475*44/12</f>
        <v>0.3953430111472197</v>
      </c>
      <c r="AB110" s="23">
        <f>EXP(-LN(2)/2)*AB109+(1-EXP(-LN(2)/2))/(LN(2)/2)*V110*Y110*VLOOKUP('Données projet'!$B$9,Paramètres!$A$1:$I$89,3,0)*0.475*44/12</f>
        <v>2.8335900388643291E-9</v>
      </c>
      <c r="AC110" s="24">
        <f t="shared" si="57"/>
        <v>24.202701556608982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-1.7053025658242404E-13</v>
      </c>
      <c r="AJ110" s="14">
        <f>AI110*VLOOKUP('Données projet'!$B$10,Paramètres!$A$1:$I$89,3,0)*VLOOKUP('Données projet'!$B$10,Paramètres!$A$1:$I$89,5,0)</f>
        <v>-1.4897523215040567E-13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205.97834462530136</v>
      </c>
      <c r="AO110" s="62">
        <f t="shared" si="90"/>
        <v>235.08005253775002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1.7053025658242404E-13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157.98488572680344</v>
      </c>
      <c r="T111" s="62">
        <f t="shared" si="88"/>
        <v>269.20989374735825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23.34051076266211</v>
      </c>
      <c r="AA111" s="23">
        <f>EXP(-LN(2)/25)*AA110+(1-EXP(-LN(2)/25))/(LN(2)/25)*Calculateur!V111*Calculateur!X111*VLOOKUP('Données projet'!$B$9,Paramètres!$A$1:$I$89,3,0)*0.475*44/12</f>
        <v>0.38453233571721357</v>
      </c>
      <c r="AB111" s="23">
        <f>EXP(-LN(2)/2)*AB110+(1-EXP(-LN(2)/2))/(LN(2)/2)*V111*Y111*VLOOKUP('Données projet'!$B$9,Paramètres!$A$1:$I$89,3,0)*0.475*44/12</f>
        <v>2.0036507315836199E-9</v>
      </c>
      <c r="AC111" s="24">
        <f t="shared" si="57"/>
        <v>23.725043100382976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-1.7053025658242404E-13</v>
      </c>
      <c r="AJ111" s="14">
        <f>AI111*VLOOKUP('Données projet'!$B$10,Paramètres!$A$1:$I$89,3,0)*VLOOKUP('Données projet'!$B$10,Paramètres!$A$1:$I$89,5,0)</f>
        <v>-1.4897523215040567E-13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205.97834462530136</v>
      </c>
      <c r="AO111" s="62">
        <f t="shared" si="90"/>
        <v>235.08005253775002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1.7053025658242404E-13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157.98488572680344</v>
      </c>
      <c r="T112" s="62">
        <f t="shared" si="88"/>
        <v>269.20989374735825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22.882817582912153</v>
      </c>
      <c r="AA112" s="23">
        <f>EXP(-LN(2)/25)*AA111+(1-EXP(-LN(2)/25))/(LN(2)/25)*Calculateur!V112*Calculateur!X112*VLOOKUP('Données projet'!$B$9,Paramètres!$A$1:$I$89,3,0)*0.475*44/12</f>
        <v>0.37401727877534968</v>
      </c>
      <c r="AB112" s="23">
        <f>EXP(-LN(2)/2)*AB111+(1-EXP(-LN(2)/2))/(LN(2)/2)*V112*Y112*VLOOKUP('Données projet'!$B$9,Paramètres!$A$1:$I$89,3,0)*0.475*44/12</f>
        <v>1.4167950194321646E-9</v>
      </c>
      <c r="AC112" s="24">
        <f t="shared" si="57"/>
        <v>23.256834863104295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-1.7053025658242404E-13</v>
      </c>
      <c r="AJ112" s="14">
        <f>AI112*VLOOKUP('Données projet'!$B$10,Paramètres!$A$1:$I$89,3,0)*VLOOKUP('Données projet'!$B$10,Paramètres!$A$1:$I$89,5,0)</f>
        <v>-1.4897523215040567E-13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205.97834462530136</v>
      </c>
      <c r="AO112" s="62">
        <f t="shared" si="90"/>
        <v>235.08005253775002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1.7053025658242404E-13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157.98488572680344</v>
      </c>
      <c r="T113" s="62">
        <f t="shared" si="88"/>
        <v>269.20989374735825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22.434099487251817</v>
      </c>
      <c r="AA113" s="23">
        <f>EXP(-LN(2)/25)*AA112+(1-EXP(-LN(2)/25))/(LN(2)/25)*Calculateur!V113*Calculateur!X113*VLOOKUP('Données projet'!$B$9,Paramètres!$A$1:$I$89,3,0)*0.475*44/12</f>
        <v>0.36378975661852386</v>
      </c>
      <c r="AB113" s="23">
        <f>EXP(-LN(2)/2)*AB112+(1-EXP(-LN(2)/2))/(LN(2)/2)*V113*Y113*VLOOKUP('Données projet'!$B$9,Paramètres!$A$1:$I$89,3,0)*0.475*44/12</f>
        <v>1.0018253657918099E-9</v>
      </c>
      <c r="AC113" s="24">
        <f t="shared" si="57"/>
        <v>22.797889244872167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-1.7053025658242404E-13</v>
      </c>
      <c r="AJ113" s="14">
        <f>AI113*VLOOKUP('Données projet'!$B$10,Paramètres!$A$1:$I$89,3,0)*VLOOKUP('Données projet'!$B$10,Paramètres!$A$1:$I$89,5,0)</f>
        <v>-1.4897523215040567E-13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205.97834462530136</v>
      </c>
      <c r="AO113" s="62">
        <f t="shared" si="90"/>
        <v>235.08005253775002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1.7053025658242404E-13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157.98488572680344</v>
      </c>
      <c r="T114" s="62">
        <f t="shared" si="88"/>
        <v>269.20989374735825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21.994180479756366</v>
      </c>
      <c r="AA114" s="23">
        <f>EXP(-LN(2)/25)*AA113+(1-EXP(-LN(2)/25))/(LN(2)/25)*Calculateur!V114*Calculateur!X114*VLOOKUP('Données projet'!$B$9,Paramètres!$A$1:$I$89,3,0)*0.475*44/12</f>
        <v>0.35384190659291848</v>
      </c>
      <c r="AB114" s="23">
        <f>EXP(-LN(2)/2)*AB113+(1-EXP(-LN(2)/2))/(LN(2)/2)*V114*Y114*VLOOKUP('Données projet'!$B$9,Paramètres!$A$1:$I$89,3,0)*0.475*44/12</f>
        <v>7.0839750971608228E-10</v>
      </c>
      <c r="AC114" s="24">
        <f t="shared" si="57"/>
        <v>22.348022387057682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-1.7053025658242404E-13</v>
      </c>
      <c r="AJ114" s="14">
        <f>AI114*VLOOKUP('Données projet'!$B$10,Paramètres!$A$1:$I$89,3,0)*VLOOKUP('Données projet'!$B$10,Paramètres!$A$1:$I$89,5,0)</f>
        <v>-1.4897523215040567E-13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205.97834462530136</v>
      </c>
      <c r="AO114" s="62">
        <f t="shared" si="90"/>
        <v>235.08005253775002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1.7053025658242404E-13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157.98488572680344</v>
      </c>
      <c r="T115" s="62">
        <f t="shared" si="88"/>
        <v>269.20989374735825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21.562888015673803</v>
      </c>
      <c r="AA115" s="23">
        <f>EXP(-LN(2)/25)*AA114+(1-EXP(-LN(2)/25))/(LN(2)/25)*Calculateur!V115*Calculateur!X115*VLOOKUP('Données projet'!$B$9,Paramètres!$A$1:$I$89,3,0)*0.475*44/12</f>
        <v>0.34416608104939794</v>
      </c>
      <c r="AB115" s="23">
        <f>EXP(-LN(2)/2)*AB114+(1-EXP(-LN(2)/2))/(LN(2)/2)*V115*Y115*VLOOKUP('Données projet'!$B$9,Paramètres!$A$1:$I$89,3,0)*0.475*44/12</f>
        <v>5.0091268289590496E-10</v>
      </c>
      <c r="AC115" s="24">
        <f t="shared" si="57"/>
        <v>21.907054097224112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-1.7053025658242404E-13</v>
      </c>
      <c r="AJ115" s="14">
        <f>AI115*VLOOKUP('Données projet'!$B$10,Paramètres!$A$1:$I$89,3,0)*VLOOKUP('Données projet'!$B$10,Paramètres!$A$1:$I$89,5,0)</f>
        <v>-1.4897523215040567E-13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205.97834462530136</v>
      </c>
      <c r="AO115" s="62">
        <f t="shared" si="90"/>
        <v>235.08005253775002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1.7053025658242404E-13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157.98488572680344</v>
      </c>
      <c r="T116" s="62">
        <f t="shared" si="88"/>
        <v>269.20989374735825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21.14005293374947</v>
      </c>
      <c r="AA116" s="23">
        <f>EXP(-LN(2)/25)*AA115+(1-EXP(-LN(2)/25))/(LN(2)/25)*Calculateur!V116*Calculateur!X116*VLOOKUP('Données projet'!$B$9,Paramètres!$A$1:$I$89,3,0)*0.475*44/12</f>
        <v>0.33475484146419454</v>
      </c>
      <c r="AB116" s="23">
        <f>EXP(-LN(2)/2)*AB115+(1-EXP(-LN(2)/2))/(LN(2)/2)*V116*Y116*VLOOKUP('Données projet'!$B$9,Paramètres!$A$1:$I$89,3,0)*0.475*44/12</f>
        <v>3.5419875485804114E-10</v>
      </c>
      <c r="AC116" s="24">
        <f t="shared" si="57"/>
        <v>21.474807775567861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-1.7053025658242404E-13</v>
      </c>
      <c r="AJ116" s="14">
        <f>AI116*VLOOKUP('Données projet'!$B$10,Paramètres!$A$1:$I$89,3,0)*VLOOKUP('Données projet'!$B$10,Paramètres!$A$1:$I$89,5,0)</f>
        <v>-1.4897523215040567E-13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205.97834462530136</v>
      </c>
      <c r="AO116" s="62">
        <f t="shared" si="90"/>
        <v>235.08005253775002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1.7053025658242404E-13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157.98488572680344</v>
      </c>
      <c r="T117" s="62">
        <f t="shared" si="88"/>
        <v>269.20989374735825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20.72550938987774</v>
      </c>
      <c r="AA117" s="23">
        <f>EXP(-LN(2)/25)*AA116+(1-EXP(-LN(2)/25))/(LN(2)/25)*Calculateur!V117*Calculateur!X117*VLOOKUP('Données projet'!$B$9,Paramètres!$A$1:$I$89,3,0)*0.475*44/12</f>
        <v>0.3256009527203641</v>
      </c>
      <c r="AB117" s="23">
        <f>EXP(-LN(2)/2)*AB116+(1-EXP(-LN(2)/2))/(LN(2)/2)*V117*Y117*VLOOKUP('Données projet'!$B$9,Paramètres!$A$1:$I$89,3,0)*0.475*44/12</f>
        <v>2.5045634144795248E-10</v>
      </c>
      <c r="AC117" s="24">
        <f t="shared" si="57"/>
        <v>21.05111034284856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-1.7053025658242404E-13</v>
      </c>
      <c r="AJ117" s="14">
        <f>AI117*VLOOKUP('Données projet'!$B$10,Paramètres!$A$1:$I$89,3,0)*VLOOKUP('Données projet'!$B$10,Paramètres!$A$1:$I$89,5,0)</f>
        <v>-1.4897523215040567E-13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205.97834462530136</v>
      </c>
      <c r="AO117" s="62">
        <f t="shared" si="90"/>
        <v>235.08005253775002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1.7053025658242404E-13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157.98488572680344</v>
      </c>
      <c r="T118" s="62">
        <f t="shared" si="88"/>
        <v>269.20989374735825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20.319094792054738</v>
      </c>
      <c r="AA118" s="23">
        <f>EXP(-LN(2)/25)*AA117+(1-EXP(-LN(2)/25))/(LN(2)/25)*Calculateur!V118*Calculateur!X118*VLOOKUP('Données projet'!$B$9,Paramètres!$A$1:$I$89,3,0)*0.475*44/12</f>
        <v>0.31669737754561583</v>
      </c>
      <c r="AB118" s="23">
        <f>EXP(-LN(2)/2)*AB117+(1-EXP(-LN(2)/2))/(LN(2)/2)*V118*Y118*VLOOKUP('Données projet'!$B$9,Paramètres!$A$1:$I$89,3,0)*0.475*44/12</f>
        <v>1.7709937742902057E-10</v>
      </c>
      <c r="AC118" s="24">
        <f t="shared" si="57"/>
        <v>20.635792169777453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-1.7053025658242404E-13</v>
      </c>
      <c r="AJ118" s="14">
        <f>AI118*VLOOKUP('Données projet'!$B$10,Paramètres!$A$1:$I$89,3,0)*VLOOKUP('Données projet'!$B$10,Paramètres!$A$1:$I$89,5,0)</f>
        <v>-1.4897523215040567E-13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205.97834462530136</v>
      </c>
      <c r="AO118" s="62">
        <f t="shared" si="90"/>
        <v>235.08005253775002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1.7053025658242404E-13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157.98488572680344</v>
      </c>
      <c r="T119" s="62">
        <f t="shared" si="88"/>
        <v>269.20989374735825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19.92064973660662</v>
      </c>
      <c r="AA119" s="23">
        <f>EXP(-LN(2)/25)*AA118+(1-EXP(-LN(2)/25))/(LN(2)/25)*Calculateur!V119*Calculateur!X119*VLOOKUP('Données projet'!$B$9,Paramètres!$A$1:$I$89,3,0)*0.475*44/12</f>
        <v>0.30803727110223972</v>
      </c>
      <c r="AB119" s="23">
        <f>EXP(-LN(2)/2)*AB118+(1-EXP(-LN(2)/2))/(LN(2)/2)*V119*Y119*VLOOKUP('Données projet'!$B$9,Paramètres!$A$1:$I$89,3,0)*0.475*44/12</f>
        <v>1.2522817072397624E-10</v>
      </c>
      <c r="AC119" s="24">
        <f t="shared" si="57"/>
        <v>20.22868700783409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-1.7053025658242404E-13</v>
      </c>
      <c r="AJ119" s="14">
        <f>AI119*VLOOKUP('Données projet'!$B$10,Paramètres!$A$1:$I$89,3,0)*VLOOKUP('Données projet'!$B$10,Paramètres!$A$1:$I$89,5,0)</f>
        <v>-1.4897523215040567E-13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205.97834462530136</v>
      </c>
      <c r="AO119" s="62">
        <f t="shared" si="90"/>
        <v>235.08005253775002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1.7053025658242404E-13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157.98488572680344</v>
      </c>
      <c r="T120" s="62">
        <f t="shared" si="88"/>
        <v>269.20989374735825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19.530017945668352</v>
      </c>
      <c r="AA120" s="23">
        <f>EXP(-LN(2)/25)*AA119+(1-EXP(-LN(2)/25))/(LN(2)/25)*Calculateur!V120*Calculateur!X120*VLOOKUP('Données projet'!$B$9,Paramètres!$A$1:$I$89,3,0)*0.475*44/12</f>
        <v>0.29961397572497289</v>
      </c>
      <c r="AB120" s="23">
        <f>EXP(-LN(2)/2)*AB119+(1-EXP(-LN(2)/2))/(LN(2)/2)*V120*Y120*VLOOKUP('Données projet'!$B$9,Paramètres!$A$1:$I$89,3,0)*0.475*44/12</f>
        <v>8.8549688714510285E-11</v>
      </c>
      <c r="AC120" s="24">
        <f t="shared" si="57"/>
        <v>19.829631921481877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-1.7053025658242404E-13</v>
      </c>
      <c r="AJ120" s="14">
        <f>AI120*VLOOKUP('Données projet'!$B$10,Paramètres!$A$1:$I$89,3,0)*VLOOKUP('Données projet'!$B$10,Paramètres!$A$1:$I$89,5,0)</f>
        <v>-1.4897523215040567E-13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205.97834462530136</v>
      </c>
      <c r="AO120" s="62">
        <f t="shared" si="90"/>
        <v>235.08005253775002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1.7053025658242404E-13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157.98488572680344</v>
      </c>
      <c r="T121" s="62">
        <f t="shared" si="88"/>
        <v>269.20989374735825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19.147046205888515</v>
      </c>
      <c r="AA121" s="23">
        <f>EXP(-LN(2)/25)*AA120+(1-EXP(-LN(2)/25))/(LN(2)/25)*Calculateur!V121*Calculateur!X121*VLOOKUP('Données projet'!$B$9,Paramètres!$A$1:$I$89,3,0)*0.475*44/12</f>
        <v>0.29142101580275931</v>
      </c>
      <c r="AB121" s="23">
        <f>EXP(-LN(2)/2)*AB120+(1-EXP(-LN(2)/2))/(LN(2)/2)*V121*Y121*VLOOKUP('Données projet'!$B$9,Paramètres!$A$1:$I$89,3,0)*0.475*44/12</f>
        <v>6.2614085361988121E-11</v>
      </c>
      <c r="AC121" s="24">
        <f t="shared" si="57"/>
        <v>19.438467221753886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-1.7053025658242404E-13</v>
      </c>
      <c r="AJ121" s="14">
        <f>AI121*VLOOKUP('Données projet'!$B$10,Paramètres!$A$1:$I$89,3,0)*VLOOKUP('Données projet'!$B$10,Paramètres!$A$1:$I$89,5,0)</f>
        <v>-1.4897523215040567E-13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205.97834462530136</v>
      </c>
      <c r="AO121" s="62">
        <f t="shared" si="90"/>
        <v>235.08005253775002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1.7053025658242404E-13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157.98488572680344</v>
      </c>
      <c r="T122" s="62">
        <f t="shared" si="88"/>
        <v>269.20989374735825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18.771584308336067</v>
      </c>
      <c r="AA122" s="23">
        <f>EXP(-LN(2)/25)*AA121+(1-EXP(-LN(2)/25))/(LN(2)/25)*Calculateur!V122*Calculateur!X122*VLOOKUP('Données projet'!$B$9,Paramètres!$A$1:$I$89,3,0)*0.475*44/12</f>
        <v>0.28345209280046768</v>
      </c>
      <c r="AB122" s="23">
        <f>EXP(-LN(2)/2)*AB121+(1-EXP(-LN(2)/2))/(LN(2)/2)*V122*Y122*VLOOKUP('Données projet'!$B$9,Paramètres!$A$1:$I$89,3,0)*0.475*44/12</f>
        <v>4.4274844357255142E-11</v>
      </c>
      <c r="AC122" s="24">
        <f t="shared" si="57"/>
        <v>19.055036401180807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-1.7053025658242404E-13</v>
      </c>
      <c r="AJ122" s="14">
        <f>AI122*VLOOKUP('Données projet'!$B$10,Paramètres!$A$1:$I$89,3,0)*VLOOKUP('Données projet'!$B$10,Paramètres!$A$1:$I$89,5,0)</f>
        <v>-1.4897523215040567E-13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205.97834462530136</v>
      </c>
      <c r="AO122" s="62">
        <f t="shared" si="90"/>
        <v>235.08005253775002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1.7053025658242404E-13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157.98488572680344</v>
      </c>
      <c r="T123" s="62">
        <f t="shared" si="88"/>
        <v>269.20989374735825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18.403484989585476</v>
      </c>
      <c r="AA123" s="23">
        <f>EXP(-LN(2)/25)*AA122+(1-EXP(-LN(2)/25))/(LN(2)/25)*Calculateur!V123*Calculateur!X123*VLOOKUP('Données projet'!$B$9,Paramètres!$A$1:$I$89,3,0)*0.475*44/12</f>
        <v>0.27570108041674118</v>
      </c>
      <c r="AB123" s="23">
        <f>EXP(-LN(2)/2)*AB122+(1-EXP(-LN(2)/2))/(LN(2)/2)*V123*Y123*VLOOKUP('Données projet'!$B$9,Paramètres!$A$1:$I$89,3,0)*0.475*44/12</f>
        <v>3.130704268099406E-11</v>
      </c>
      <c r="AC123" s="24">
        <f t="shared" si="57"/>
        <v>18.679186070033523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-1.7053025658242404E-13</v>
      </c>
      <c r="AJ123" s="14">
        <f>AI123*VLOOKUP('Données projet'!$B$10,Paramètres!$A$1:$I$89,3,0)*VLOOKUP('Données projet'!$B$10,Paramètres!$A$1:$I$89,5,0)</f>
        <v>-1.4897523215040567E-13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205.97834462530136</v>
      </c>
      <c r="AO123" s="62">
        <f t="shared" si="90"/>
        <v>235.08005253775002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1.7053025658242404E-13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157.98488572680344</v>
      </c>
      <c r="T124" s="62">
        <f t="shared" si="88"/>
        <v>269.20989374735825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18.042603873957169</v>
      </c>
      <c r="AA124" s="23">
        <f>EXP(-LN(2)/25)*AA123+(1-EXP(-LN(2)/25))/(LN(2)/25)*Calculateur!V124*Calculateur!X124*VLOOKUP('Données projet'!$B$9,Paramètres!$A$1:$I$89,3,0)*0.475*44/12</f>
        <v>0.2681620198742557</v>
      </c>
      <c r="AB124" s="23">
        <f>EXP(-LN(2)/2)*AB123+(1-EXP(-LN(2)/2))/(LN(2)/2)*V124*Y124*VLOOKUP('Données projet'!$B$9,Paramètres!$A$1:$I$89,3,0)*0.475*44/12</f>
        <v>2.2137422178627571E-11</v>
      </c>
      <c r="AC124" s="24">
        <f t="shared" si="57"/>
        <v>18.310765893853564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-1.7053025658242404E-13</v>
      </c>
      <c r="AJ124" s="14">
        <f>AI124*VLOOKUP('Données projet'!$B$10,Paramètres!$A$1:$I$89,3,0)*VLOOKUP('Données projet'!$B$10,Paramètres!$A$1:$I$89,5,0)</f>
        <v>-1.4897523215040567E-13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205.97834462530136</v>
      </c>
      <c r="AO124" s="62">
        <f t="shared" si="90"/>
        <v>235.08005253775002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1.7053025658242404E-13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157.98488572680344</v>
      </c>
      <c r="T125" s="62">
        <f t="shared" si="88"/>
        <v>269.20989374735825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17.688799416890589</v>
      </c>
      <c r="AA125" s="23">
        <f>EXP(-LN(2)/25)*AA124+(1-EXP(-LN(2)/25))/(LN(2)/25)*Calculateur!V125*Calculateur!X125*VLOOKUP('Données projet'!$B$9,Paramètres!$A$1:$I$89,3,0)*0.475*44/12</f>
        <v>0.26082911533876646</v>
      </c>
      <c r="AB125" s="23">
        <f>EXP(-LN(2)/2)*AB124+(1-EXP(-LN(2)/2))/(LN(2)/2)*V125*Y125*VLOOKUP('Données projet'!$B$9,Paramètres!$A$1:$I$89,3,0)*0.475*44/12</f>
        <v>1.565352134049703E-11</v>
      </c>
      <c r="AC125" s="24">
        <f t="shared" si="57"/>
        <v>17.949628532245008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-1.7053025658242404E-13</v>
      </c>
      <c r="AJ125" s="14">
        <f>AI125*VLOOKUP('Données projet'!$B$10,Paramètres!$A$1:$I$89,3,0)*VLOOKUP('Données projet'!$B$10,Paramètres!$A$1:$I$89,5,0)</f>
        <v>-1.4897523215040567E-13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205.97834462530136</v>
      </c>
      <c r="AO125" s="62">
        <f t="shared" si="90"/>
        <v>235.08005253775002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1.7053025658242404E-13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157.98488572680344</v>
      </c>
      <c r="T126" s="62">
        <f t="shared" si="88"/>
        <v>269.20989374735825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17.341932849427675</v>
      </c>
      <c r="AA126" s="23">
        <f>EXP(-LN(2)/25)*AA125+(1-EXP(-LN(2)/25))/(LN(2)/25)*Calculateur!V126*Calculateur!X126*VLOOKUP('Données projet'!$B$9,Paramètres!$A$1:$I$89,3,0)*0.475*44/12</f>
        <v>0.25369672946342087</v>
      </c>
      <c r="AB126" s="23">
        <f>EXP(-LN(2)/2)*AB125+(1-EXP(-LN(2)/2))/(LN(2)/2)*V126*Y126*VLOOKUP('Données projet'!$B$9,Paramètres!$A$1:$I$89,3,0)*0.475*44/12</f>
        <v>1.1068711089313786E-11</v>
      </c>
      <c r="AC126" s="24">
        <f t="shared" si="57"/>
        <v>17.595629578902166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-1.7053025658242404E-13</v>
      </c>
      <c r="AJ126" s="14">
        <f>AI126*VLOOKUP('Données projet'!$B$10,Paramètres!$A$1:$I$89,3,0)*VLOOKUP('Données projet'!$B$10,Paramètres!$A$1:$I$89,5,0)</f>
        <v>-1.4897523215040567E-13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205.97834462530136</v>
      </c>
      <c r="AO126" s="62">
        <f t="shared" si="90"/>
        <v>235.08005253775002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1.7053025658242404E-13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157.98488572680344</v>
      </c>
      <c r="T127" s="62">
        <f t="shared" si="88"/>
        <v>269.20989374735825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17.001868123784991</v>
      </c>
      <c r="AA127" s="23">
        <f>EXP(-LN(2)/25)*AA126+(1-EXP(-LN(2)/25))/(LN(2)/25)*Calculateur!V127*Calculateur!X127*VLOOKUP('Données projet'!$B$9,Paramètres!$A$1:$I$89,3,0)*0.475*44/12</f>
        <v>0.24675937905491246</v>
      </c>
      <c r="AB127" s="23">
        <f>EXP(-LN(2)/2)*AB126+(1-EXP(-LN(2)/2))/(LN(2)/2)*V127*Y127*VLOOKUP('Données projet'!$B$9,Paramètres!$A$1:$I$89,3,0)*0.475*44/12</f>
        <v>7.8267606702485151E-12</v>
      </c>
      <c r="AC127" s="24">
        <f t="shared" si="57"/>
        <v>17.248627502847729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-1.7053025658242404E-13</v>
      </c>
      <c r="AJ127" s="14">
        <f>AI127*VLOOKUP('Données projet'!$B$10,Paramètres!$A$1:$I$89,3,0)*VLOOKUP('Données projet'!$B$10,Paramètres!$A$1:$I$89,5,0)</f>
        <v>-1.4897523215040567E-13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205.97834462530136</v>
      </c>
      <c r="AO127" s="62">
        <f t="shared" si="90"/>
        <v>235.08005253775002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1.7053025658242404E-13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157.98488572680344</v>
      </c>
      <c r="T128" s="62">
        <f t="shared" si="88"/>
        <v>269.20989374735825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16.668471859993158</v>
      </c>
      <c r="AA128" s="23">
        <f>EXP(-LN(2)/25)*AA127+(1-EXP(-LN(2)/25))/(LN(2)/25)*Calculateur!V128*Calculateur!X128*VLOOKUP('Données projet'!$B$9,Paramètres!$A$1:$I$89,3,0)*0.475*44/12</f>
        <v>0.24001173085814412</v>
      </c>
      <c r="AB128" s="23">
        <f>EXP(-LN(2)/2)*AB127+(1-EXP(-LN(2)/2))/(LN(2)/2)*V128*Y128*VLOOKUP('Données projet'!$B$9,Paramètres!$A$1:$I$89,3,0)*0.475*44/12</f>
        <v>5.5343555446568928E-12</v>
      </c>
      <c r="AC128" s="24">
        <f t="shared" si="57"/>
        <v>16.908483590856836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-1.7053025658242404E-13</v>
      </c>
      <c r="AJ128" s="14">
        <f>AI128*VLOOKUP('Données projet'!$B$10,Paramètres!$A$1:$I$89,3,0)*VLOOKUP('Données projet'!$B$10,Paramètres!$A$1:$I$89,5,0)</f>
        <v>-1.4897523215040567E-13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205.97834462530136</v>
      </c>
      <c r="AO128" s="62">
        <f t="shared" si="90"/>
        <v>235.08005253775002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1.7053025658242404E-13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157.98488572680344</v>
      </c>
      <c r="T129" s="62">
        <f t="shared" si="88"/>
        <v>269.20989374735825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16.341613293582643</v>
      </c>
      <c r="AA129" s="23">
        <f>EXP(-LN(2)/25)*AA128+(1-EXP(-LN(2)/25))/(LN(2)/25)*Calculateur!V129*Calculateur!X129*VLOOKUP('Données projet'!$B$9,Paramètres!$A$1:$I$89,3,0)*0.475*44/12</f>
        <v>0.23344859745615978</v>
      </c>
      <c r="AB129" s="23">
        <f>EXP(-LN(2)/2)*AB128+(1-EXP(-LN(2)/2))/(LN(2)/2)*V129*Y129*VLOOKUP('Données projet'!$B$9,Paramètres!$A$1:$I$89,3,0)*0.475*44/12</f>
        <v>3.9133803351242575E-12</v>
      </c>
      <c r="AC129" s="24">
        <f t="shared" si="57"/>
        <v>16.575061891042719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-1.7053025658242404E-13</v>
      </c>
      <c r="AJ129" s="14">
        <f>AI129*VLOOKUP('Données projet'!$B$10,Paramètres!$A$1:$I$89,3,0)*VLOOKUP('Données projet'!$B$10,Paramètres!$A$1:$I$89,5,0)</f>
        <v>-1.4897523215040567E-13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205.97834462530136</v>
      </c>
      <c r="AO129" s="62">
        <f t="shared" si="90"/>
        <v>235.08005253775002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1.7053025658242404E-13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157.98488572680344</v>
      </c>
      <c r="T130" s="62">
        <f t="shared" si="88"/>
        <v>269.20989374735825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16.021164224295397</v>
      </c>
      <c r="AA130" s="23">
        <f>EXP(-LN(2)/25)*AA129+(1-EXP(-LN(2)/25))/(LN(2)/25)*Calculateur!V130*Calculateur!X130*VLOOKUP('Données projet'!$B$9,Paramètres!$A$1:$I$89,3,0)*0.475*44/12</f>
        <v>0.2270649332821929</v>
      </c>
      <c r="AB130" s="23">
        <f>EXP(-LN(2)/2)*AB129+(1-EXP(-LN(2)/2))/(LN(2)/2)*V130*Y130*VLOOKUP('Données projet'!$B$9,Paramètres!$A$1:$I$89,3,0)*0.475*44/12</f>
        <v>2.7671777723284464E-12</v>
      </c>
      <c r="AC130" s="24">
        <f t="shared" si="57"/>
        <v>16.248229157580358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-1.7053025658242404E-13</v>
      </c>
      <c r="AJ130" s="14">
        <f>AI130*VLOOKUP('Données projet'!$B$10,Paramètres!$A$1:$I$89,3,0)*VLOOKUP('Données projet'!$B$10,Paramètres!$A$1:$I$89,5,0)</f>
        <v>-1.4897523215040567E-13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205.97834462530136</v>
      </c>
      <c r="AO130" s="62">
        <f t="shared" si="90"/>
        <v>235.08005253775002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1.7053025658242404E-13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157.98488572680344</v>
      </c>
      <c r="T131" s="62">
        <f t="shared" si="88"/>
        <v>269.20989374735825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15.706998965802242</v>
      </c>
      <c r="AA131" s="23">
        <f>EXP(-LN(2)/25)*AA130+(1-EXP(-LN(2)/25))/(LN(2)/25)*Calculateur!V131*Calculateur!X131*VLOOKUP('Données projet'!$B$9,Paramètres!$A$1:$I$89,3,0)*0.475*44/12</f>
        <v>0.22085583074076545</v>
      </c>
      <c r="AB131" s="23">
        <f>EXP(-LN(2)/2)*AB130+(1-EXP(-LN(2)/2))/(LN(2)/2)*V131*Y131*VLOOKUP('Données projet'!$B$9,Paramètres!$A$1:$I$89,3,0)*0.475*44/12</f>
        <v>1.9566901675621288E-12</v>
      </c>
      <c r="AC131" s="24">
        <f t="shared" si="57"/>
        <v>15.927854796544965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-1.7053025658242404E-13</v>
      </c>
      <c r="AJ131" s="14">
        <f>AI131*VLOOKUP('Données projet'!$B$10,Paramètres!$A$1:$I$89,3,0)*VLOOKUP('Données projet'!$B$10,Paramètres!$A$1:$I$89,5,0)</f>
        <v>-1.4897523215040567E-13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205.97834462530136</v>
      </c>
      <c r="AO131" s="62">
        <f t="shared" si="90"/>
        <v>235.08005253775002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1.7053025658242404E-13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157.98488572680344</v>
      </c>
      <c r="T132" s="62">
        <f t="shared" si="88"/>
        <v>269.20989374735825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15.398994296406251</v>
      </c>
      <c r="AA132" s="23">
        <f>EXP(-LN(2)/25)*AA131+(1-EXP(-LN(2)/25))/(LN(2)/25)*Calculateur!V132*Calculateur!X132*VLOOKUP('Données projet'!$B$9,Paramètres!$A$1:$I$89,3,0)*0.475*44/12</f>
        <v>0.21481651643485586</v>
      </c>
      <c r="AB132" s="23">
        <f>EXP(-LN(2)/2)*AB131+(1-EXP(-LN(2)/2))/(LN(2)/2)*V132*Y132*VLOOKUP('Données projet'!$B$9,Paramètres!$A$1:$I$89,3,0)*0.475*44/12</f>
        <v>1.3835888861642232E-12</v>
      </c>
      <c r="AC132" s="24">
        <f t="shared" ref="AC132:AC153" si="111">SUM(Z132:AB132)</f>
        <v>15.613810812842491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-1.7053025658242404E-13</v>
      </c>
      <c r="AJ132" s="14">
        <f>AI132*VLOOKUP('Données projet'!$B$10,Paramètres!$A$1:$I$89,3,0)*VLOOKUP('Données projet'!$B$10,Paramètres!$A$1:$I$89,5,0)</f>
        <v>-1.4897523215040567E-13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205.97834462530136</v>
      </c>
      <c r="AO132" s="62">
        <f t="shared" si="90"/>
        <v>235.08005253775002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1.7053025658242404E-13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157.98488572680344</v>
      </c>
      <c r="T133" s="62">
        <f t="shared" ref="T133:T196" si="142">$T$3</f>
        <v>269.20989374735825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15.097029410712816</v>
      </c>
      <c r="AA133" s="23">
        <f>EXP(-LN(2)/25)*AA132+(1-EXP(-LN(2)/25))/(LN(2)/25)*Calculateur!V133*Calculateur!X133*VLOOKUP('Données projet'!$B$9,Paramètres!$A$1:$I$89,3,0)*0.475*44/12</f>
        <v>0.20894234749623511</v>
      </c>
      <c r="AB133" s="23">
        <f>EXP(-LN(2)/2)*AB132+(1-EXP(-LN(2)/2))/(LN(2)/2)*V133*Y133*VLOOKUP('Données projet'!$B$9,Paramètres!$A$1:$I$89,3,0)*0.475*44/12</f>
        <v>9.7834508378106438E-13</v>
      </c>
      <c r="AC133" s="24">
        <f t="shared" si="111"/>
        <v>15.305971758210029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-1.7053025658242404E-13</v>
      </c>
      <c r="AJ133" s="14">
        <f>AI133*VLOOKUP('Données projet'!$B$10,Paramètres!$A$1:$I$89,3,0)*VLOOKUP('Données projet'!$B$10,Paramètres!$A$1:$I$89,5,0)</f>
        <v>-1.4897523215040567E-13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205.97834462530136</v>
      </c>
      <c r="AO133" s="62">
        <f t="shared" ref="AO133:AO196" si="144">$AO$3</f>
        <v>235.08005253775002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1.7053025658242404E-13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157.98488572680344</v>
      </c>
      <c r="T134" s="62">
        <f t="shared" si="142"/>
        <v>269.20989374735825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14.800985872247436</v>
      </c>
      <c r="AA134" s="23">
        <f>EXP(-LN(2)/25)*AA133+(1-EXP(-LN(2)/25))/(LN(2)/25)*Calculateur!V134*Calculateur!X134*VLOOKUP('Données projet'!$B$9,Paramètres!$A$1:$I$89,3,0)*0.475*44/12</f>
        <v>0.20322880801615004</v>
      </c>
      <c r="AB134" s="23">
        <f>EXP(-LN(2)/2)*AB133+(1-EXP(-LN(2)/2))/(LN(2)/2)*V134*Y134*VLOOKUP('Données projet'!$B$9,Paramètres!$A$1:$I$89,3,0)*0.475*44/12</f>
        <v>6.917944430821116E-13</v>
      </c>
      <c r="AC134" s="24">
        <f t="shared" si="111"/>
        <v>15.004214680264276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-1.7053025658242404E-13</v>
      </c>
      <c r="AJ134" s="14">
        <f>AI134*VLOOKUP('Données projet'!$B$10,Paramètres!$A$1:$I$89,3,0)*VLOOKUP('Données projet'!$B$10,Paramètres!$A$1:$I$89,5,0)</f>
        <v>-1.4897523215040567E-13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205.97834462530136</v>
      </c>
      <c r="AO134" s="62">
        <f t="shared" si="144"/>
        <v>235.08005253775002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1.7053025658242404E-13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157.98488572680344</v>
      </c>
      <c r="T135" s="62">
        <f t="shared" si="142"/>
        <v>269.20989374735825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14.510747567002634</v>
      </c>
      <c r="AA135" s="23">
        <f>EXP(-LN(2)/25)*AA134+(1-EXP(-LN(2)/25))/(LN(2)/25)*Calculateur!V135*Calculateur!X135*VLOOKUP('Données projet'!$B$9,Paramètres!$A$1:$I$89,3,0)*0.475*44/12</f>
        <v>0.19767150557360988</v>
      </c>
      <c r="AB135" s="23">
        <f>EXP(-LN(2)/2)*AB134+(1-EXP(-LN(2)/2))/(LN(2)/2)*V135*Y135*VLOOKUP('Données projet'!$B$9,Paramètres!$A$1:$I$89,3,0)*0.475*44/12</f>
        <v>4.8917254189053219E-13</v>
      </c>
      <c r="AC135" s="24">
        <f t="shared" si="111"/>
        <v>14.708419072576731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-1.7053025658242404E-13</v>
      </c>
      <c r="AJ135" s="14">
        <f>AI135*VLOOKUP('Données projet'!$B$10,Paramètres!$A$1:$I$89,3,0)*VLOOKUP('Données projet'!$B$10,Paramètres!$A$1:$I$89,5,0)</f>
        <v>-1.4897523215040567E-13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205.97834462530136</v>
      </c>
      <c r="AO135" s="62">
        <f t="shared" si="144"/>
        <v>235.08005253775002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1.7053025658242404E-13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157.98488572680344</v>
      </c>
      <c r="T136" s="62">
        <f t="shared" si="142"/>
        <v>269.20989374735825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14.226200657895795</v>
      </c>
      <c r="AA136" s="23">
        <f>EXP(-LN(2)/25)*AA135+(1-EXP(-LN(2)/25))/(LN(2)/25)*Calculateur!V136*Calculateur!X136*VLOOKUP('Données projet'!$B$9,Paramètres!$A$1:$I$89,3,0)*0.475*44/12</f>
        <v>0.19226616785860681</v>
      </c>
      <c r="AB136" s="23">
        <f>EXP(-LN(2)/2)*AB135+(1-EXP(-LN(2)/2))/(LN(2)/2)*V136*Y136*VLOOKUP('Données projet'!$B$9,Paramètres!$A$1:$I$89,3,0)*0.475*44/12</f>
        <v>3.458972215410558E-13</v>
      </c>
      <c r="AC136" s="24">
        <f t="shared" si="111"/>
        <v>14.418466825754749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-1.7053025658242404E-13</v>
      </c>
      <c r="AJ136" s="14">
        <f>AI136*VLOOKUP('Données projet'!$B$10,Paramètres!$A$1:$I$89,3,0)*VLOOKUP('Données projet'!$B$10,Paramètres!$A$1:$I$89,5,0)</f>
        <v>-1.4897523215040567E-13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205.97834462530136</v>
      </c>
      <c r="AO136" s="62">
        <f t="shared" si="144"/>
        <v>235.08005253775002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1.7053025658242404E-13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157.98488572680344</v>
      </c>
      <c r="T137" s="62">
        <f t="shared" si="142"/>
        <v>269.20989374735825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13.947233540120065</v>
      </c>
      <c r="AA137" s="23">
        <f>EXP(-LN(2)/25)*AA136+(1-EXP(-LN(2)/25))/(LN(2)/25)*Calculateur!V137*Calculateur!X137*VLOOKUP('Données projet'!$B$9,Paramètres!$A$1:$I$89,3,0)*0.475*44/12</f>
        <v>0.18700863938767487</v>
      </c>
      <c r="AB137" s="23">
        <f>EXP(-LN(2)/2)*AB136+(1-EXP(-LN(2)/2))/(LN(2)/2)*V137*Y137*VLOOKUP('Données projet'!$B$9,Paramètres!$A$1:$I$89,3,0)*0.475*44/12</f>
        <v>2.445862709452661E-13</v>
      </c>
      <c r="AC137" s="24">
        <f t="shared" si="111"/>
        <v>14.134242179507986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-1.7053025658242404E-13</v>
      </c>
      <c r="AJ137" s="14">
        <f>AI137*VLOOKUP('Données projet'!$B$10,Paramètres!$A$1:$I$89,3,0)*VLOOKUP('Données projet'!$B$10,Paramètres!$A$1:$I$89,5,0)</f>
        <v>-1.4897523215040567E-13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205.97834462530136</v>
      </c>
      <c r="AO137" s="62">
        <f t="shared" si="144"/>
        <v>235.08005253775002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1.7053025658242404E-13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157.98488572680344</v>
      </c>
      <c r="T138" s="62">
        <f t="shared" si="142"/>
        <v>269.20989374735825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13.673736797370776</v>
      </c>
      <c r="AA138" s="23">
        <f>EXP(-LN(2)/25)*AA137+(1-EXP(-LN(2)/25))/(LN(2)/25)*Calculateur!V138*Calculateur!X138*VLOOKUP('Données projet'!$B$9,Paramètres!$A$1:$I$89,3,0)*0.475*44/12</f>
        <v>0.18189487830926196</v>
      </c>
      <c r="AB138" s="23">
        <f>EXP(-LN(2)/2)*AB137+(1-EXP(-LN(2)/2))/(LN(2)/2)*V138*Y138*VLOOKUP('Données projet'!$B$9,Paramètres!$A$1:$I$89,3,0)*0.475*44/12</f>
        <v>1.729486107705279E-13</v>
      </c>
      <c r="AC138" s="24">
        <f t="shared" si="111"/>
        <v>13.855631675680209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-1.7053025658242404E-13</v>
      </c>
      <c r="AJ138" s="14">
        <f>AI138*VLOOKUP('Données projet'!$B$10,Paramètres!$A$1:$I$89,3,0)*VLOOKUP('Données projet'!$B$10,Paramètres!$A$1:$I$89,5,0)</f>
        <v>-1.4897523215040567E-13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205.97834462530136</v>
      </c>
      <c r="AO138" s="62">
        <f t="shared" si="144"/>
        <v>235.08005253775002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1.7053025658242404E-13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157.98488572680344</v>
      </c>
      <c r="T139" s="62">
        <f t="shared" si="142"/>
        <v>269.20989374735825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13.405603158930258</v>
      </c>
      <c r="AA139" s="23">
        <f>EXP(-LN(2)/25)*AA138+(1-EXP(-LN(2)/25))/(LN(2)/25)*Calculateur!V139*Calculateur!X139*VLOOKUP('Données projet'!$B$9,Paramètres!$A$1:$I$89,3,0)*0.475*44/12</f>
        <v>0.17692095329645927</v>
      </c>
      <c r="AB139" s="23">
        <f>EXP(-LN(2)/2)*AB138+(1-EXP(-LN(2)/2))/(LN(2)/2)*V139*Y139*VLOOKUP('Données projet'!$B$9,Paramètres!$A$1:$I$89,3,0)*0.475*44/12</f>
        <v>1.2229313547263305E-13</v>
      </c>
      <c r="AC139" s="24">
        <f t="shared" si="111"/>
        <v>13.582524112226841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-1.7053025658242404E-13</v>
      </c>
      <c r="AJ139" s="14">
        <f>AI139*VLOOKUP('Données projet'!$B$10,Paramètres!$A$1:$I$89,3,0)*VLOOKUP('Données projet'!$B$10,Paramètres!$A$1:$I$89,5,0)</f>
        <v>-1.4897523215040567E-13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205.97834462530136</v>
      </c>
      <c r="AO139" s="62">
        <f t="shared" si="144"/>
        <v>235.08005253775002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1.7053025658242404E-13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157.98488572680344</v>
      </c>
      <c r="T140" s="62">
        <f t="shared" si="142"/>
        <v>269.20989374735825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13.142727457594189</v>
      </c>
      <c r="AA140" s="23">
        <f>EXP(-LN(2)/25)*AA139+(1-EXP(-LN(2)/25))/(LN(2)/25)*Calculateur!V140*Calculateur!X140*VLOOKUP('Données projet'!$B$9,Paramètres!$A$1:$I$89,3,0)*0.475*44/12</f>
        <v>0.172083040524699</v>
      </c>
      <c r="AB140" s="23">
        <f>EXP(-LN(2)/2)*AB139+(1-EXP(-LN(2)/2))/(LN(2)/2)*V140*Y140*VLOOKUP('Données projet'!$B$9,Paramètres!$A$1:$I$89,3,0)*0.475*44/12</f>
        <v>8.647430538526395E-14</v>
      </c>
      <c r="AC140" s="24">
        <f t="shared" si="111"/>
        <v>13.314810498118975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-1.7053025658242404E-13</v>
      </c>
      <c r="AJ140" s="14">
        <f>AI140*VLOOKUP('Données projet'!$B$10,Paramètres!$A$1:$I$89,3,0)*VLOOKUP('Données projet'!$B$10,Paramètres!$A$1:$I$89,5,0)</f>
        <v>-1.4897523215040567E-13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205.97834462530136</v>
      </c>
      <c r="AO140" s="62">
        <f t="shared" si="144"/>
        <v>235.08005253775002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1.7053025658242404E-13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157.98488572680344</v>
      </c>
      <c r="T141" s="62">
        <f t="shared" si="142"/>
        <v>269.20989374735825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12.885006588422975</v>
      </c>
      <c r="AA141" s="23">
        <f>EXP(-LN(2)/25)*AA140+(1-EXP(-LN(2)/25))/(LN(2)/25)*Calculateur!V141*Calculateur!X141*VLOOKUP('Données projet'!$B$9,Paramètres!$A$1:$I$89,3,0)*0.475*44/12</f>
        <v>0.1673774207320973</v>
      </c>
      <c r="AB141" s="23">
        <f>EXP(-LN(2)/2)*AB140+(1-EXP(-LN(2)/2))/(LN(2)/2)*V141*Y141*VLOOKUP('Données projet'!$B$9,Paramètres!$A$1:$I$89,3,0)*0.475*44/12</f>
        <v>6.1146567736316524E-14</v>
      </c>
      <c r="AC141" s="24">
        <f t="shared" si="111"/>
        <v>13.052384009155134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-1.7053025658242404E-13</v>
      </c>
      <c r="AJ141" s="14">
        <f>AI141*VLOOKUP('Données projet'!$B$10,Paramètres!$A$1:$I$89,3,0)*VLOOKUP('Données projet'!$B$10,Paramètres!$A$1:$I$89,5,0)</f>
        <v>-1.4897523215040567E-13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205.97834462530136</v>
      </c>
      <c r="AO141" s="62">
        <f t="shared" si="144"/>
        <v>235.08005253775002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1.7053025658242404E-13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157.98488572680344</v>
      </c>
      <c r="T142" s="62">
        <f t="shared" si="142"/>
        <v>269.20989374735825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12.632339468302</v>
      </c>
      <c r="AA142" s="23">
        <f>EXP(-LN(2)/25)*AA141+(1-EXP(-LN(2)/25))/(LN(2)/25)*Calculateur!V142*Calculateur!X142*VLOOKUP('Données projet'!$B$9,Paramètres!$A$1:$I$89,3,0)*0.475*44/12</f>
        <v>0.16280047636018208</v>
      </c>
      <c r="AB142" s="23">
        <f>EXP(-LN(2)/2)*AB141+(1-EXP(-LN(2)/2))/(LN(2)/2)*V142*Y142*VLOOKUP('Données projet'!$B$9,Paramètres!$A$1:$I$89,3,0)*0.475*44/12</f>
        <v>4.3237152692631975E-14</v>
      </c>
      <c r="AC142" s="24">
        <f t="shared" si="111"/>
        <v>12.795139944662225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-1.7053025658242404E-13</v>
      </c>
      <c r="AJ142" s="14">
        <f>AI142*VLOOKUP('Données projet'!$B$10,Paramètres!$A$1:$I$89,3,0)*VLOOKUP('Données projet'!$B$10,Paramètres!$A$1:$I$89,5,0)</f>
        <v>-1.4897523215040567E-13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205.97834462530136</v>
      </c>
      <c r="AO142" s="62">
        <f t="shared" si="144"/>
        <v>235.08005253775002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1.7053025658242404E-13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157.98488572680344</v>
      </c>
      <c r="T143" s="62">
        <f t="shared" si="142"/>
        <v>269.20989374735825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12.384626996294871</v>
      </c>
      <c r="AA143" s="23">
        <f>EXP(-LN(2)/25)*AA142+(1-EXP(-LN(2)/25))/(LN(2)/25)*Calculateur!V143*Calculateur!X143*VLOOKUP('Données projet'!$B$9,Paramètres!$A$1:$I$89,3,0)*0.475*44/12</f>
        <v>0.15834868877280794</v>
      </c>
      <c r="AB143" s="23">
        <f>EXP(-LN(2)/2)*AB142+(1-EXP(-LN(2)/2))/(LN(2)/2)*V143*Y143*VLOOKUP('Données projet'!$B$9,Paramètres!$A$1:$I$89,3,0)*0.475*44/12</f>
        <v>3.0573283868158262E-14</v>
      </c>
      <c r="AC143" s="24">
        <f t="shared" si="111"/>
        <v>12.542975685067709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-1.7053025658242404E-13</v>
      </c>
      <c r="AJ143" s="14">
        <f>AI143*VLOOKUP('Données projet'!$B$10,Paramètres!$A$1:$I$89,3,0)*VLOOKUP('Données projet'!$B$10,Paramètres!$A$1:$I$89,5,0)</f>
        <v>-1.4897523215040567E-13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205.97834462530136</v>
      </c>
      <c r="AO143" s="62">
        <f t="shared" si="144"/>
        <v>235.08005253775002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1.7053025658242404E-13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157.98488572680344</v>
      </c>
      <c r="T144" s="62">
        <f t="shared" si="142"/>
        <v>269.20989374735825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12.141772014774114</v>
      </c>
      <c r="AA144" s="23">
        <f>EXP(-LN(2)/25)*AA143+(1-EXP(-LN(2)/25))/(LN(2)/25)*Calculateur!V144*Calculateur!X144*VLOOKUP('Données projet'!$B$9,Paramètres!$A$1:$I$89,3,0)*0.475*44/12</f>
        <v>0.15401863555111989</v>
      </c>
      <c r="AB144" s="23">
        <f>EXP(-LN(2)/2)*AB143+(1-EXP(-LN(2)/2))/(LN(2)/2)*V144*Y144*VLOOKUP('Données projet'!$B$9,Paramètres!$A$1:$I$89,3,0)*0.475*44/12</f>
        <v>2.1618576346315987E-14</v>
      </c>
      <c r="AC144" s="24">
        <f t="shared" si="111"/>
        <v>12.295790650325255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-1.7053025658242404E-13</v>
      </c>
      <c r="AJ144" s="14">
        <f>AI144*VLOOKUP('Données projet'!$B$10,Paramètres!$A$1:$I$89,3,0)*VLOOKUP('Données projet'!$B$10,Paramètres!$A$1:$I$89,5,0)</f>
        <v>-1.4897523215040567E-13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205.97834462530136</v>
      </c>
      <c r="AO144" s="62">
        <f t="shared" si="144"/>
        <v>235.08005253775002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1.7053025658242404E-13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157.98488572680344</v>
      </c>
      <c r="T145" s="62">
        <f t="shared" si="142"/>
        <v>269.20989374735825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11.903679271314065</v>
      </c>
      <c r="AA145" s="23">
        <f>EXP(-LN(2)/25)*AA144+(1-EXP(-LN(2)/25))/(LN(2)/25)*Calculateur!V145*Calculateur!X145*VLOOKUP('Données projet'!$B$9,Paramètres!$A$1:$I$89,3,0)*0.475*44/12</f>
        <v>0.14980698786248647</v>
      </c>
      <c r="AB145" s="23">
        <f>EXP(-LN(2)/2)*AB144+(1-EXP(-LN(2)/2))/(LN(2)/2)*V145*Y145*VLOOKUP('Données projet'!$B$9,Paramètres!$A$1:$I$89,3,0)*0.475*44/12</f>
        <v>1.5286641934079131E-14</v>
      </c>
      <c r="AC145" s="24">
        <f t="shared" si="111"/>
        <v>12.053486259176568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-1.7053025658242404E-13</v>
      </c>
      <c r="AJ145" s="14">
        <f>AI145*VLOOKUP('Données projet'!$B$10,Paramètres!$A$1:$I$89,3,0)*VLOOKUP('Données projet'!$B$10,Paramètres!$A$1:$I$89,5,0)</f>
        <v>-1.4897523215040567E-13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205.97834462530136</v>
      </c>
      <c r="AO145" s="62">
        <f t="shared" si="144"/>
        <v>235.08005253775002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1.7053025658242404E-13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157.98488572680344</v>
      </c>
      <c r="T146" s="62">
        <f t="shared" si="142"/>
        <v>269.20989374735825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11.670255381331033</v>
      </c>
      <c r="AA146" s="23">
        <f>EXP(-LN(2)/25)*AA145+(1-EXP(-LN(2)/25))/(LN(2)/25)*Calculateur!V146*Calculateur!X146*VLOOKUP('Données projet'!$B$9,Paramètres!$A$1:$I$89,3,0)*0.475*44/12</f>
        <v>0.14571050790137968</v>
      </c>
      <c r="AB146" s="23">
        <f>EXP(-LN(2)/2)*AB145+(1-EXP(-LN(2)/2))/(LN(2)/2)*V146*Y146*VLOOKUP('Données projet'!$B$9,Paramètres!$A$1:$I$89,3,0)*0.475*44/12</f>
        <v>1.0809288173157994E-14</v>
      </c>
      <c r="AC146" s="24">
        <f t="shared" si="111"/>
        <v>11.815965889232423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-1.7053025658242404E-13</v>
      </c>
      <c r="AJ146" s="14">
        <f>AI146*VLOOKUP('Données projet'!$B$10,Paramètres!$A$1:$I$89,3,0)*VLOOKUP('Données projet'!$B$10,Paramètres!$A$1:$I$89,5,0)</f>
        <v>-1.4897523215040567E-13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205.97834462530136</v>
      </c>
      <c r="AO146" s="62">
        <f t="shared" si="144"/>
        <v>235.08005253775002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1.7053025658242404E-13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157.98488572680344</v>
      </c>
      <c r="T147" s="62">
        <f t="shared" si="142"/>
        <v>269.20989374735825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11.441408791456055</v>
      </c>
      <c r="AA147" s="23">
        <f>EXP(-LN(2)/25)*AA146+(1-EXP(-LN(2)/25))/(LN(2)/25)*Calculateur!V147*Calculateur!X147*VLOOKUP('Données projet'!$B$9,Paramètres!$A$1:$I$89,3,0)*0.475*44/12</f>
        <v>0.14172604640023387</v>
      </c>
      <c r="AB147" s="23">
        <f>EXP(-LN(2)/2)*AB146+(1-EXP(-LN(2)/2))/(LN(2)/2)*V147*Y147*VLOOKUP('Données projet'!$B$9,Paramètres!$A$1:$I$89,3,0)*0.475*44/12</f>
        <v>7.6433209670395655E-15</v>
      </c>
      <c r="AC147" s="24">
        <f t="shared" si="111"/>
        <v>11.583134837856296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-1.7053025658242404E-13</v>
      </c>
      <c r="AJ147" s="14">
        <f>AI147*VLOOKUP('Données projet'!$B$10,Paramètres!$A$1:$I$89,3,0)*VLOOKUP('Données projet'!$B$10,Paramètres!$A$1:$I$89,5,0)</f>
        <v>-1.4897523215040567E-13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205.97834462530136</v>
      </c>
      <c r="AO147" s="62">
        <f t="shared" si="144"/>
        <v>235.08005253775002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1.7053025658242404E-13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157.98488572680344</v>
      </c>
      <c r="T148" s="62">
        <f t="shared" si="142"/>
        <v>269.20989374735825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11.217049743625889</v>
      </c>
      <c r="AA148" s="23">
        <f>EXP(-LN(2)/25)*AA147+(1-EXP(-LN(2)/25))/(LN(2)/25)*Calculateur!V148*Calculateur!X148*VLOOKUP('Données projet'!$B$9,Paramètres!$A$1:$I$89,3,0)*0.475*44/12</f>
        <v>0.13785054020837062</v>
      </c>
      <c r="AB148" s="23">
        <f>EXP(-LN(2)/2)*AB147+(1-EXP(-LN(2)/2))/(LN(2)/2)*V148*Y148*VLOOKUP('Données projet'!$B$9,Paramètres!$A$1:$I$89,3,0)*0.475*44/12</f>
        <v>5.4046440865789969E-15</v>
      </c>
      <c r="AC148" s="24">
        <f t="shared" si="111"/>
        <v>11.354900283834265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-1.7053025658242404E-13</v>
      </c>
      <c r="AJ148" s="14">
        <f>AI148*VLOOKUP('Données projet'!$B$10,Paramètres!$A$1:$I$89,3,0)*VLOOKUP('Données projet'!$B$10,Paramètres!$A$1:$I$89,5,0)</f>
        <v>-1.4897523215040567E-13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205.97834462530136</v>
      </c>
      <c r="AO148" s="62">
        <f t="shared" si="144"/>
        <v>235.08005253775002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1.7053025658242404E-13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157.98488572680344</v>
      </c>
      <c r="T149" s="62">
        <f t="shared" si="142"/>
        <v>269.20989374735825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10.997090239878165</v>
      </c>
      <c r="AA149" s="23">
        <f>EXP(-LN(2)/25)*AA148+(1-EXP(-LN(2)/25))/(LN(2)/25)*Calculateur!V149*Calculateur!X149*VLOOKUP('Données projet'!$B$9,Paramètres!$A$1:$I$89,3,0)*0.475*44/12</f>
        <v>0.13408100993712788</v>
      </c>
      <c r="AB149" s="23">
        <f>EXP(-LN(2)/2)*AB148+(1-EXP(-LN(2)/2))/(LN(2)/2)*V149*Y149*VLOOKUP('Données projet'!$B$9,Paramètres!$A$1:$I$89,3,0)*0.475*44/12</f>
        <v>3.8216604835197828E-15</v>
      </c>
      <c r="AC149" s="24">
        <f t="shared" si="111"/>
        <v>11.131171249815297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-1.7053025658242404E-13</v>
      </c>
      <c r="AJ149" s="14">
        <f>AI149*VLOOKUP('Données projet'!$B$10,Paramètres!$A$1:$I$89,3,0)*VLOOKUP('Données projet'!$B$10,Paramètres!$A$1:$I$89,5,0)</f>
        <v>-1.4897523215040567E-13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205.97834462530136</v>
      </c>
      <c r="AO149" s="62">
        <f t="shared" si="144"/>
        <v>235.08005253775002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1.7053025658242404E-13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157.98488572680344</v>
      </c>
      <c r="T150" s="62">
        <f t="shared" si="142"/>
        <v>269.20989374735825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10.781444007836884</v>
      </c>
      <c r="AA150" s="23">
        <f>EXP(-LN(2)/25)*AA149+(1-EXP(-LN(2)/25))/(LN(2)/25)*Calculateur!V150*Calculateur!X150*VLOOKUP('Données projet'!$B$9,Paramètres!$A$1:$I$89,3,0)*0.475*44/12</f>
        <v>0.13041455766938326</v>
      </c>
      <c r="AB150" s="23">
        <f>EXP(-LN(2)/2)*AB149+(1-EXP(-LN(2)/2))/(LN(2)/2)*V150*Y150*VLOOKUP('Données projet'!$B$9,Paramètres!$A$1:$I$89,3,0)*0.475*44/12</f>
        <v>2.7023220432894984E-15</v>
      </c>
      <c r="AC150" s="24">
        <f t="shared" si="111"/>
        <v>10.91185856550627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-1.7053025658242404E-13</v>
      </c>
      <c r="AJ150" s="14">
        <f>AI150*VLOOKUP('Données projet'!$B$10,Paramètres!$A$1:$I$89,3,0)*VLOOKUP('Données projet'!$B$10,Paramètres!$A$1:$I$89,5,0)</f>
        <v>-1.4897523215040567E-13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205.97834462530136</v>
      </c>
      <c r="AO150" s="62">
        <f t="shared" si="144"/>
        <v>235.08005253775002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1.7053025658242404E-13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157.98488572680344</v>
      </c>
      <c r="T151" s="62">
        <f t="shared" si="142"/>
        <v>269.20989374735825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10.570026466874719</v>
      </c>
      <c r="AA151" s="23">
        <f>EXP(-LN(2)/25)*AA150+(1-EXP(-LN(2)/25))/(LN(2)/25)*Calculateur!V151*Calculateur!X151*VLOOKUP('Données projet'!$B$9,Paramètres!$A$1:$I$89,3,0)*0.475*44/12</f>
        <v>0.12684836473171046</v>
      </c>
      <c r="AB151" s="23">
        <f>EXP(-LN(2)/2)*AB150+(1-EXP(-LN(2)/2))/(LN(2)/2)*V151*Y151*VLOOKUP('Données projet'!$B$9,Paramètres!$A$1:$I$89,3,0)*0.475*44/12</f>
        <v>1.9108302417598914E-15</v>
      </c>
      <c r="AC151" s="24">
        <f t="shared" si="111"/>
        <v>10.696874831606431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-1.7053025658242404E-13</v>
      </c>
      <c r="AJ151" s="14">
        <f>AI151*VLOOKUP('Données projet'!$B$10,Paramètres!$A$1:$I$89,3,0)*VLOOKUP('Données projet'!$B$10,Paramètres!$A$1:$I$89,5,0)</f>
        <v>-1.4897523215040567E-13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205.97834462530136</v>
      </c>
      <c r="AO151" s="62">
        <f t="shared" si="144"/>
        <v>235.08005253775002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1.7053025658242404E-13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157.98488572680344</v>
      </c>
      <c r="T152" s="62">
        <f t="shared" si="142"/>
        <v>269.20989374735825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10.362754694938854</v>
      </c>
      <c r="AA152" s="23">
        <f>EXP(-LN(2)/25)*AA151+(1-EXP(-LN(2)/25))/(LN(2)/25)*Calculateur!V152*Calculateur!X152*VLOOKUP('Données projet'!$B$9,Paramètres!$A$1:$I$89,3,0)*0.475*44/12</f>
        <v>0.12337968952745626</v>
      </c>
      <c r="AB152" s="23">
        <f>EXP(-LN(2)/2)*AB151+(1-EXP(-LN(2)/2))/(LN(2)/2)*V152*Y152*VLOOKUP('Données projet'!$B$9,Paramètres!$A$1:$I$89,3,0)*0.475*44/12</f>
        <v>1.3511610216447492E-15</v>
      </c>
      <c r="AC152" s="24">
        <f t="shared" si="111"/>
        <v>10.486134384466311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-1.7053025658242404E-13</v>
      </c>
      <c r="AJ152" s="14">
        <f>AI152*VLOOKUP('Données projet'!$B$10,Paramètres!$A$1:$I$89,3,0)*VLOOKUP('Données projet'!$B$10,Paramètres!$A$1:$I$89,5,0)</f>
        <v>-1.4897523215040567E-13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205.97834462530136</v>
      </c>
      <c r="AO152" s="62">
        <f t="shared" si="144"/>
        <v>235.08005253775002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1.7053025658242404E-13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157.98488572680344</v>
      </c>
      <c r="T153" s="62">
        <f t="shared" si="142"/>
        <v>269.20989374735825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10.159547396027353</v>
      </c>
      <c r="AA153" s="23">
        <f>EXP(-LN(2)/25)*AA152+(1-EXP(-LN(2)/25))/(LN(2)/25)*Calculateur!V153*Calculateur!X153*VLOOKUP('Données projet'!$B$9,Paramètres!$A$1:$I$89,3,0)*0.475*44/12</f>
        <v>0.12000586542907209</v>
      </c>
      <c r="AB153" s="23">
        <f>EXP(-LN(2)/2)*AB152+(1-EXP(-LN(2)/2))/(LN(2)/2)*V153*Y153*VLOOKUP('Données projet'!$B$9,Paramètres!$A$1:$I$89,3,0)*0.475*44/12</f>
        <v>9.5541512087994569E-16</v>
      </c>
      <c r="AC153" s="24">
        <f t="shared" si="111"/>
        <v>10.279553261456426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-1.7053025658242404E-13</v>
      </c>
      <c r="AJ153" s="14">
        <f>AI153*VLOOKUP('Données projet'!$B$10,Paramètres!$A$1:$I$89,3,0)*VLOOKUP('Données projet'!$B$10,Paramètres!$A$1:$I$89,5,0)</f>
        <v>-1.4897523215040567E-13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205.97834462530136</v>
      </c>
      <c r="AO153" s="62">
        <f t="shared" si="144"/>
        <v>235.08005253775002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1.7053025658242404E-13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157.98488572680344</v>
      </c>
      <c r="T154" s="62">
        <f t="shared" si="142"/>
        <v>269.20989374735825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9.9603248683032941</v>
      </c>
      <c r="AA154" s="23">
        <f>EXP(-LN(2)/25)*AA153+(1-EXP(-LN(2)/25))/(LN(2)/25)*Calculateur!V154*Calculateur!X154*VLOOKUP('Données projet'!$B$9,Paramètres!$A$1:$I$89,3,0)*0.475*44/12</f>
        <v>0.11672429872807992</v>
      </c>
      <c r="AB154" s="23">
        <f>EXP(-LN(2)/2)*AB153+(1-EXP(-LN(2)/2))/(LN(2)/2)*V154*Y154*VLOOKUP('Données projet'!$B$9,Paramètres!$A$1:$I$89,3,0)*0.475*44/12</f>
        <v>6.7558051082237461E-16</v>
      </c>
      <c r="AC154" s="24">
        <f t="shared" ref="AC154:AC203" si="163">SUM(Z154:AB154)</f>
        <v>10.077049167031374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-1.7053025658242404E-13</v>
      </c>
      <c r="AJ154" s="14">
        <f>AI154*VLOOKUP('Données projet'!$B$10,Paramètres!$A$1:$I$89,3,0)*VLOOKUP('Données projet'!$B$10,Paramètres!$A$1:$I$89,5,0)</f>
        <v>-1.4897523215040567E-13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205.97834462530136</v>
      </c>
      <c r="AO154" s="62">
        <f t="shared" si="144"/>
        <v>235.08005253775002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1.7053025658242404E-13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157.98488572680344</v>
      </c>
      <c r="T155" s="62">
        <f t="shared" si="142"/>
        <v>269.20989374735825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9.7650089728341598</v>
      </c>
      <c r="AA155" s="23">
        <f>EXP(-LN(2)/25)*AA154+(1-EXP(-LN(2)/25))/(LN(2)/25)*Calculateur!V155*Calculateur!X155*VLOOKUP('Données projet'!$B$9,Paramètres!$A$1:$I$89,3,0)*0.475*44/12</f>
        <v>0.11353246664109648</v>
      </c>
      <c r="AB155" s="23">
        <f>EXP(-LN(2)/2)*AB154+(1-EXP(-LN(2)/2))/(LN(2)/2)*V155*Y155*VLOOKUP('Données projet'!$B$9,Paramètres!$A$1:$I$89,3,0)*0.475*44/12</f>
        <v>4.7770756043997284E-16</v>
      </c>
      <c r="AC155" s="24">
        <f t="shared" si="163"/>
        <v>9.8785414394752564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-1.7053025658242404E-13</v>
      </c>
      <c r="AJ155" s="14">
        <f>AI155*VLOOKUP('Données projet'!$B$10,Paramètres!$A$1:$I$89,3,0)*VLOOKUP('Données projet'!$B$10,Paramètres!$A$1:$I$89,5,0)</f>
        <v>-1.4897523215040567E-13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205.97834462530136</v>
      </c>
      <c r="AO155" s="62">
        <f t="shared" si="144"/>
        <v>235.08005253775002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1.7053025658242404E-13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157.98488572680344</v>
      </c>
      <c r="T156" s="62">
        <f t="shared" si="142"/>
        <v>269.20989374735825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9.5735231029442431</v>
      </c>
      <c r="AA156" s="23">
        <f>EXP(-LN(2)/25)*AA155+(1-EXP(-LN(2)/25))/(LN(2)/25)*Calculateur!V156*Calculateur!X156*VLOOKUP('Données projet'!$B$9,Paramètres!$A$1:$I$89,3,0)*0.475*44/12</f>
        <v>0.11042791537038275</v>
      </c>
      <c r="AB156" s="23">
        <f>EXP(-LN(2)/2)*AB155+(1-EXP(-LN(2)/2))/(LN(2)/2)*V156*Y156*VLOOKUP('Données projet'!$B$9,Paramètres!$A$1:$I$89,3,0)*0.475*44/12</f>
        <v>3.377902554111873E-16</v>
      </c>
      <c r="AC156" s="24">
        <f t="shared" si="163"/>
        <v>9.6839510183146267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-1.7053025658242404E-13</v>
      </c>
      <c r="AJ156" s="14">
        <f>AI156*VLOOKUP('Données projet'!$B$10,Paramètres!$A$1:$I$89,3,0)*VLOOKUP('Données projet'!$B$10,Paramètres!$A$1:$I$89,5,0)</f>
        <v>-1.4897523215040567E-13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205.97834462530136</v>
      </c>
      <c r="AO156" s="62">
        <f t="shared" si="144"/>
        <v>235.08005253775002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1.7053025658242404E-13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157.98488572680344</v>
      </c>
      <c r="T157" s="62">
        <f t="shared" si="142"/>
        <v>269.20989374735825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9.3857921541680192</v>
      </c>
      <c r="AA157" s="23">
        <f>EXP(-LN(2)/25)*AA156+(1-EXP(-LN(2)/25))/(LN(2)/25)*Calculateur!V157*Calculateur!X157*VLOOKUP('Données projet'!$B$9,Paramètres!$A$1:$I$89,3,0)*0.475*44/12</f>
        <v>0.10740825821742796</v>
      </c>
      <c r="AB157" s="23">
        <f>EXP(-LN(2)/2)*AB156+(1-EXP(-LN(2)/2))/(LN(2)/2)*V157*Y157*VLOOKUP('Données projet'!$B$9,Paramètres!$A$1:$I$89,3,0)*0.475*44/12</f>
        <v>2.3885378021998642E-16</v>
      </c>
      <c r="AC157" s="24">
        <f t="shared" si="163"/>
        <v>9.4932004123854465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-1.7053025658242404E-13</v>
      </c>
      <c r="AJ157" s="14">
        <f>AI157*VLOOKUP('Données projet'!$B$10,Paramètres!$A$1:$I$89,3,0)*VLOOKUP('Données projet'!$B$10,Paramètres!$A$1:$I$89,5,0)</f>
        <v>-1.4897523215040567E-13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205.97834462530136</v>
      </c>
      <c r="AO157" s="62">
        <f t="shared" si="144"/>
        <v>235.08005253775002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1.7053025658242404E-13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157.98488572680344</v>
      </c>
      <c r="T158" s="62">
        <f t="shared" si="142"/>
        <v>269.20989374735825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9.2017424947927253</v>
      </c>
      <c r="AA158" s="23">
        <f>EXP(-LN(2)/25)*AA157+(1-EXP(-LN(2)/25))/(LN(2)/25)*Calculateur!V158*Calculateur!X158*VLOOKUP('Données projet'!$B$9,Paramètres!$A$1:$I$89,3,0)*0.475*44/12</f>
        <v>0.10447117374811757</v>
      </c>
      <c r="AB158" s="23">
        <f>EXP(-LN(2)/2)*AB157+(1-EXP(-LN(2)/2))/(LN(2)/2)*V158*Y158*VLOOKUP('Données projet'!$B$9,Paramètres!$A$1:$I$89,3,0)*0.475*44/12</f>
        <v>1.6889512770559365E-16</v>
      </c>
      <c r="AC158" s="24">
        <f t="shared" si="163"/>
        <v>9.3062136685408436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-1.7053025658242404E-13</v>
      </c>
      <c r="AJ158" s="14">
        <f>AI158*VLOOKUP('Données projet'!$B$10,Paramètres!$A$1:$I$89,3,0)*VLOOKUP('Données projet'!$B$10,Paramètres!$A$1:$I$89,5,0)</f>
        <v>-1.4897523215040567E-13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205.97834462530136</v>
      </c>
      <c r="AO158" s="62">
        <f t="shared" si="144"/>
        <v>235.08005253775002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1.7053025658242404E-13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157.98488572680344</v>
      </c>
      <c r="T159" s="62">
        <f t="shared" si="142"/>
        <v>269.20989374735825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9.0213019369785723</v>
      </c>
      <c r="AA159" s="23">
        <f>EXP(-LN(2)/25)*AA158+(1-EXP(-LN(2)/25))/(LN(2)/25)*Calculateur!V159*Calculateur!X159*VLOOKUP('Données projet'!$B$9,Paramètres!$A$1:$I$89,3,0)*0.475*44/12</f>
        <v>0.10161440400807503</v>
      </c>
      <c r="AB159" s="23">
        <f>EXP(-LN(2)/2)*AB158+(1-EXP(-LN(2)/2))/(LN(2)/2)*V159*Y159*VLOOKUP('Données projet'!$B$9,Paramètres!$A$1:$I$89,3,0)*0.475*44/12</f>
        <v>1.1942689010999321E-16</v>
      </c>
      <c r="AC159" s="24">
        <f t="shared" si="163"/>
        <v>9.1229163409866469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-1.7053025658242404E-13</v>
      </c>
      <c r="AJ159" s="14">
        <f>AI159*VLOOKUP('Données projet'!$B$10,Paramètres!$A$1:$I$89,3,0)*VLOOKUP('Données projet'!$B$10,Paramètres!$A$1:$I$89,5,0)</f>
        <v>-1.4897523215040567E-13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205.97834462530136</v>
      </c>
      <c r="AO159" s="62">
        <f t="shared" si="144"/>
        <v>235.08005253775002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1.7053025658242404E-13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157.98488572680344</v>
      </c>
      <c r="T160" s="62">
        <f t="shared" si="142"/>
        <v>269.20989374735825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8.8443997084452821</v>
      </c>
      <c r="AA160" s="23">
        <f>EXP(-LN(2)/25)*AA159+(1-EXP(-LN(2)/25))/(LN(2)/25)*Calculateur!V160*Calculateur!X160*VLOOKUP('Données projet'!$B$9,Paramètres!$A$1:$I$89,3,0)*0.475*44/12</f>
        <v>9.8835752786804953E-2</v>
      </c>
      <c r="AB160" s="23">
        <f>EXP(-LN(2)/2)*AB159+(1-EXP(-LN(2)/2))/(LN(2)/2)*V160*Y160*VLOOKUP('Données projet'!$B$9,Paramètres!$A$1:$I$89,3,0)*0.475*44/12</f>
        <v>8.4447563852796826E-17</v>
      </c>
      <c r="AC160" s="24">
        <f t="shared" si="163"/>
        <v>8.9432354612320868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-1.7053025658242404E-13</v>
      </c>
      <c r="AJ160" s="14">
        <f>AI160*VLOOKUP('Données projet'!$B$10,Paramètres!$A$1:$I$89,3,0)*VLOOKUP('Données projet'!$B$10,Paramètres!$A$1:$I$89,5,0)</f>
        <v>-1.4897523215040567E-13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205.97834462530136</v>
      </c>
      <c r="AO160" s="62">
        <f t="shared" si="144"/>
        <v>235.08005253775002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1.7053025658242404E-13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157.98488572680344</v>
      </c>
      <c r="T161" s="62">
        <f t="shared" si="142"/>
        <v>269.20989374735825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8.6709664247138249</v>
      </c>
      <c r="AA161" s="23">
        <f>EXP(-LN(2)/25)*AA160+(1-EXP(-LN(2)/25))/(LN(2)/25)*Calculateur!V161*Calculateur!X161*VLOOKUP('Données projet'!$B$9,Paramètres!$A$1:$I$89,3,0)*0.475*44/12</f>
        <v>9.613308392930342E-2</v>
      </c>
      <c r="AB161" s="23">
        <f>EXP(-LN(2)/2)*AB160+(1-EXP(-LN(2)/2))/(LN(2)/2)*V161*Y161*VLOOKUP('Données projet'!$B$9,Paramètres!$A$1:$I$89,3,0)*0.475*44/12</f>
        <v>5.9713445054996605E-17</v>
      </c>
      <c r="AC161" s="24">
        <f t="shared" si="163"/>
        <v>8.7670995086431276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-1.7053025658242404E-13</v>
      </c>
      <c r="AJ161" s="14">
        <f>AI161*VLOOKUP('Données projet'!$B$10,Paramètres!$A$1:$I$89,3,0)*VLOOKUP('Données projet'!$B$10,Paramètres!$A$1:$I$89,5,0)</f>
        <v>-1.4897523215040567E-13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205.97834462530136</v>
      </c>
      <c r="AO161" s="62">
        <f t="shared" si="144"/>
        <v>235.08005253775002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1.7053025658242404E-13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157.98488572680344</v>
      </c>
      <c r="T162" s="62">
        <f t="shared" si="142"/>
        <v>269.20989374735825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8.5009340618924831</v>
      </c>
      <c r="AA162" s="23">
        <f>EXP(-LN(2)/25)*AA161+(1-EXP(-LN(2)/25))/(LN(2)/25)*Calculateur!V162*Calculateur!X162*VLOOKUP('Données projet'!$B$9,Paramètres!$A$1:$I$89,3,0)*0.475*44/12</f>
        <v>9.3504319693837448E-2</v>
      </c>
      <c r="AB162" s="23">
        <f>EXP(-LN(2)/2)*AB161+(1-EXP(-LN(2)/2))/(LN(2)/2)*V162*Y162*VLOOKUP('Données projet'!$B$9,Paramètres!$A$1:$I$89,3,0)*0.475*44/12</f>
        <v>4.2223781926398413E-17</v>
      </c>
      <c r="AC162" s="24">
        <f t="shared" si="163"/>
        <v>8.5944383815863201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-1.7053025658242404E-13</v>
      </c>
      <c r="AJ162" s="14">
        <f>AI162*VLOOKUP('Données projet'!$B$10,Paramètres!$A$1:$I$89,3,0)*VLOOKUP('Données projet'!$B$10,Paramètres!$A$1:$I$89,5,0)</f>
        <v>-1.4897523215040567E-13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205.97834462530136</v>
      </c>
      <c r="AO162" s="62">
        <f t="shared" si="144"/>
        <v>235.08005253775002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1.7053025658242404E-13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157.98488572680344</v>
      </c>
      <c r="T163" s="62">
        <f t="shared" si="142"/>
        <v>269.20989374735825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8.3342359299965665</v>
      </c>
      <c r="AA163" s="23">
        <f>EXP(-LN(2)/25)*AA162+(1-EXP(-LN(2)/25))/(LN(2)/25)*Calculateur!V163*Calculateur!X163*VLOOKUP('Données projet'!$B$9,Paramètres!$A$1:$I$89,3,0)*0.475*44/12</f>
        <v>9.0947439154630993E-2</v>
      </c>
      <c r="AB163" s="23">
        <f>EXP(-LN(2)/2)*AB162+(1-EXP(-LN(2)/2))/(LN(2)/2)*V163*Y163*VLOOKUP('Données projet'!$B$9,Paramètres!$A$1:$I$89,3,0)*0.475*44/12</f>
        <v>2.9856722527498303E-17</v>
      </c>
      <c r="AC163" s="24">
        <f t="shared" si="163"/>
        <v>8.4251833691511973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-1.7053025658242404E-13</v>
      </c>
      <c r="AJ163" s="14">
        <f>AI163*VLOOKUP('Données projet'!$B$10,Paramètres!$A$1:$I$89,3,0)*VLOOKUP('Données projet'!$B$10,Paramètres!$A$1:$I$89,5,0)</f>
        <v>-1.4897523215040567E-13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205.97834462530136</v>
      </c>
      <c r="AO163" s="62">
        <f t="shared" si="144"/>
        <v>235.08005253775002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1.7053025658242404E-13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157.98488572680344</v>
      </c>
      <c r="T164" s="62">
        <f t="shared" si="142"/>
        <v>269.20989374735825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8.1708066467913092</v>
      </c>
      <c r="AA164" s="23">
        <f>EXP(-LN(2)/25)*AA163+(1-EXP(-LN(2)/25))/(LN(2)/25)*Calculateur!V164*Calculateur!X164*VLOOKUP('Données projet'!$B$9,Paramètres!$A$1:$I$89,3,0)*0.475*44/12</f>
        <v>8.8460476648229647E-2</v>
      </c>
      <c r="AB164" s="23">
        <f>EXP(-LN(2)/2)*AB163+(1-EXP(-LN(2)/2))/(LN(2)/2)*V164*Y164*VLOOKUP('Données projet'!$B$9,Paramètres!$A$1:$I$89,3,0)*0.475*44/12</f>
        <v>2.1111890963199206E-17</v>
      </c>
      <c r="AC164" s="24">
        <f t="shared" si="163"/>
        <v>8.2592671234395389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-1.7053025658242404E-13</v>
      </c>
      <c r="AJ164" s="14">
        <f>AI164*VLOOKUP('Données projet'!$B$10,Paramètres!$A$1:$I$89,3,0)*VLOOKUP('Données projet'!$B$10,Paramètres!$A$1:$I$89,5,0)</f>
        <v>-1.4897523215040567E-13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205.97834462530136</v>
      </c>
      <c r="AO164" s="62">
        <f t="shared" si="144"/>
        <v>235.08005253775002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1.7053025658242404E-13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157.98488572680344</v>
      </c>
      <c r="T165" s="62">
        <f t="shared" si="142"/>
        <v>269.20989374735825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8.0105821121476861</v>
      </c>
      <c r="AA165" s="23">
        <f>EXP(-LN(2)/25)*AA164+(1-EXP(-LN(2)/25))/(LN(2)/25)*Calculateur!V165*Calculateur!X165*VLOOKUP('Données projet'!$B$9,Paramètres!$A$1:$I$89,3,0)*0.475*44/12</f>
        <v>8.6041520262349513E-2</v>
      </c>
      <c r="AB165" s="23">
        <f>EXP(-LN(2)/2)*AB164+(1-EXP(-LN(2)/2))/(LN(2)/2)*V165*Y165*VLOOKUP('Données projet'!$B$9,Paramètres!$A$1:$I$89,3,0)*0.475*44/12</f>
        <v>1.4928361263749151E-17</v>
      </c>
      <c r="AC165" s="24">
        <f t="shared" si="163"/>
        <v>8.0966236324100365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-1.7053025658242404E-13</v>
      </c>
      <c r="AJ165" s="14">
        <f>AI165*VLOOKUP('Données projet'!$B$10,Paramètres!$A$1:$I$89,3,0)*VLOOKUP('Données projet'!$B$10,Paramètres!$A$1:$I$89,5,0)</f>
        <v>-1.4897523215040567E-13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205.97834462530136</v>
      </c>
      <c r="AO165" s="62">
        <f t="shared" si="144"/>
        <v>235.08005253775002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1.7053025658242404E-13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157.98488572680344</v>
      </c>
      <c r="T166" s="62">
        <f t="shared" si="142"/>
        <v>269.20989374735825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7.8534994829011087</v>
      </c>
      <c r="AA166" s="23">
        <f>EXP(-LN(2)/25)*AA165+(1-EXP(-LN(2)/25))/(LN(2)/25)*Calculateur!V166*Calculateur!X166*VLOOKUP('Données projet'!$B$9,Paramètres!$A$1:$I$89,3,0)*0.475*44/12</f>
        <v>8.3688710366048663E-2</v>
      </c>
      <c r="AB166" s="23">
        <f>EXP(-LN(2)/2)*AB165+(1-EXP(-LN(2)/2))/(LN(2)/2)*V166*Y166*VLOOKUP('Données projet'!$B$9,Paramètres!$A$1:$I$89,3,0)*0.475*44/12</f>
        <v>1.0555945481599603E-17</v>
      </c>
      <c r="AC166" s="24">
        <f t="shared" si="163"/>
        <v>7.9371881932671577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-1.7053025658242404E-13</v>
      </c>
      <c r="AJ166" s="14">
        <f>AI166*VLOOKUP('Données projet'!$B$10,Paramètres!$A$1:$I$89,3,0)*VLOOKUP('Données projet'!$B$10,Paramètres!$A$1:$I$89,5,0)</f>
        <v>-1.4897523215040567E-13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205.97834462530136</v>
      </c>
      <c r="AO166" s="62">
        <f t="shared" si="144"/>
        <v>235.08005253775002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1.7053025658242404E-13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157.98488572680344</v>
      </c>
      <c r="T167" s="62">
        <f t="shared" si="142"/>
        <v>269.20989374735825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7.6994971482031129</v>
      </c>
      <c r="AA167" s="23">
        <f>EXP(-LN(2)/25)*AA166+(1-EXP(-LN(2)/25))/(LN(2)/25)*Calculateur!V167*Calculateur!X167*VLOOKUP('Données projet'!$B$9,Paramètres!$A$1:$I$89,3,0)*0.475*44/12</f>
        <v>8.1400238180091053E-2</v>
      </c>
      <c r="AB167" s="23">
        <f>EXP(-LN(2)/2)*AB166+(1-EXP(-LN(2)/2))/(LN(2)/2)*V167*Y167*VLOOKUP('Données projet'!$B$9,Paramètres!$A$1:$I$89,3,0)*0.475*44/12</f>
        <v>7.4641806318745757E-18</v>
      </c>
      <c r="AC167" s="24">
        <f t="shared" si="163"/>
        <v>7.7808973863832041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-1.7053025658242404E-13</v>
      </c>
      <c r="AJ167" s="14">
        <f>AI167*VLOOKUP('Données projet'!$B$10,Paramètres!$A$1:$I$89,3,0)*VLOOKUP('Données projet'!$B$10,Paramètres!$A$1:$I$89,5,0)</f>
        <v>-1.4897523215040567E-13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205.97834462530136</v>
      </c>
      <c r="AO167" s="62">
        <f t="shared" si="144"/>
        <v>235.08005253775002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1.7053025658242404E-13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157.98488572680344</v>
      </c>
      <c r="T168" s="62">
        <f t="shared" si="142"/>
        <v>269.20989374735825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7.5485147053563963</v>
      </c>
      <c r="AA168" s="23">
        <f>EXP(-LN(2)/25)*AA167+(1-EXP(-LN(2)/25))/(LN(2)/25)*Calculateur!V168*Calculateur!X168*VLOOKUP('Données projet'!$B$9,Paramètres!$A$1:$I$89,3,0)*0.475*44/12</f>
        <v>7.9174344386403986E-2</v>
      </c>
      <c r="AB168" s="23">
        <f>EXP(-LN(2)/2)*AB167+(1-EXP(-LN(2)/2))/(LN(2)/2)*V168*Y168*VLOOKUP('Données projet'!$B$9,Paramètres!$A$1:$I$89,3,0)*0.475*44/12</f>
        <v>5.2779727407998016E-18</v>
      </c>
      <c r="AC168" s="24">
        <f t="shared" si="163"/>
        <v>7.6276890497428003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-1.7053025658242404E-13</v>
      </c>
      <c r="AJ168" s="14">
        <f>AI168*VLOOKUP('Données projet'!$B$10,Paramètres!$A$1:$I$89,3,0)*VLOOKUP('Données projet'!$B$10,Paramètres!$A$1:$I$89,5,0)</f>
        <v>-1.4897523215040567E-13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205.97834462530136</v>
      </c>
      <c r="AO168" s="62">
        <f t="shared" si="144"/>
        <v>235.08005253775002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1.7053025658242404E-13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157.98488572680344</v>
      </c>
      <c r="T169" s="62">
        <f t="shared" si="142"/>
        <v>269.20989374735825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7.4004929361237064</v>
      </c>
      <c r="AA169" s="23">
        <f>EXP(-LN(2)/25)*AA168+(1-EXP(-LN(2)/25))/(LN(2)/25)*Calculateur!V169*Calculateur!X169*VLOOKUP('Données projet'!$B$9,Paramètres!$A$1:$I$89,3,0)*0.475*44/12</f>
        <v>7.7009317775559957E-2</v>
      </c>
      <c r="AB169" s="23">
        <f>EXP(-LN(2)/2)*AB168+(1-EXP(-LN(2)/2))/(LN(2)/2)*V169*Y169*VLOOKUP('Données projet'!$B$9,Paramètres!$A$1:$I$89,3,0)*0.475*44/12</f>
        <v>3.7320903159372878E-18</v>
      </c>
      <c r="AC169" s="24">
        <f t="shared" si="163"/>
        <v>7.4775022538992664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-1.7053025658242404E-13</v>
      </c>
      <c r="AJ169" s="14">
        <f>AI169*VLOOKUP('Données projet'!$B$10,Paramètres!$A$1:$I$89,3,0)*VLOOKUP('Données projet'!$B$10,Paramètres!$A$1:$I$89,5,0)</f>
        <v>-1.4897523215040567E-13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205.97834462530136</v>
      </c>
      <c r="AO169" s="62">
        <f t="shared" si="144"/>
        <v>235.08005253775002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1.7053025658242404E-13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157.98488572680344</v>
      </c>
      <c r="T170" s="62">
        <f t="shared" si="142"/>
        <v>269.20989374735825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7.2553737835013052</v>
      </c>
      <c r="AA170" s="23">
        <f>EXP(-LN(2)/25)*AA169+(1-EXP(-LN(2)/25))/(LN(2)/25)*Calculateur!V170*Calculateur!X170*VLOOKUP('Données projet'!$B$9,Paramètres!$A$1:$I$89,3,0)*0.475*44/12</f>
        <v>7.4903493931243251E-2</v>
      </c>
      <c r="AB170" s="23">
        <f>EXP(-LN(2)/2)*AB169+(1-EXP(-LN(2)/2))/(LN(2)/2)*V170*Y170*VLOOKUP('Données projet'!$B$9,Paramètres!$A$1:$I$89,3,0)*0.475*44/12</f>
        <v>2.6389863703999008E-18</v>
      </c>
      <c r="AC170" s="24">
        <f t="shared" si="163"/>
        <v>7.3302772774325486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-1.7053025658242404E-13</v>
      </c>
      <c r="AJ170" s="14">
        <f>AI170*VLOOKUP('Données projet'!$B$10,Paramètres!$A$1:$I$89,3,0)*VLOOKUP('Données projet'!$B$10,Paramètres!$A$1:$I$89,5,0)</f>
        <v>-1.4897523215040567E-13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205.97834462530136</v>
      </c>
      <c r="AO170" s="62">
        <f t="shared" si="144"/>
        <v>235.08005253775002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1.7053025658242404E-13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157.98488572680344</v>
      </c>
      <c r="T171" s="62">
        <f t="shared" si="142"/>
        <v>269.20989374735825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7.113100328947886</v>
      </c>
      <c r="AA171" s="23">
        <f>EXP(-LN(2)/25)*AA170+(1-EXP(-LN(2)/25))/(LN(2)/25)*Calculateur!V171*Calculateur!X171*VLOOKUP('Données projet'!$B$9,Paramètres!$A$1:$I$89,3,0)*0.475*44/12</f>
        <v>7.2855253950689855E-2</v>
      </c>
      <c r="AB171" s="23">
        <f>EXP(-LN(2)/2)*AB170+(1-EXP(-LN(2)/2))/(LN(2)/2)*V171*Y171*VLOOKUP('Données projet'!$B$9,Paramètres!$A$1:$I$89,3,0)*0.475*44/12</f>
        <v>1.8660451579686439E-18</v>
      </c>
      <c r="AC171" s="24">
        <f t="shared" si="163"/>
        <v>7.1859555828985755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-1.7053025658242404E-13</v>
      </c>
      <c r="AJ171" s="14">
        <f>AI171*VLOOKUP('Données projet'!$B$10,Paramètres!$A$1:$I$89,3,0)*VLOOKUP('Données projet'!$B$10,Paramètres!$A$1:$I$89,5,0)</f>
        <v>-1.4897523215040567E-13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205.97834462530136</v>
      </c>
      <c r="AO171" s="62">
        <f t="shared" si="144"/>
        <v>235.08005253775002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1.7053025658242404E-13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157.98488572680344</v>
      </c>
      <c r="T172" s="62">
        <f t="shared" si="142"/>
        <v>269.20989374735825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6.9736167700600209</v>
      </c>
      <c r="AA172" s="23">
        <f>EXP(-LN(2)/25)*AA171+(1-EXP(-LN(2)/25))/(LN(2)/25)*Calculateur!V172*Calculateur!X172*VLOOKUP('Données projet'!$B$9,Paramètres!$A$1:$I$89,3,0)*0.475*44/12</f>
        <v>7.0863023200116948E-2</v>
      </c>
      <c r="AB172" s="23">
        <f>EXP(-LN(2)/2)*AB171+(1-EXP(-LN(2)/2))/(LN(2)/2)*V172*Y172*VLOOKUP('Données projet'!$B$9,Paramètres!$A$1:$I$89,3,0)*0.475*44/12</f>
        <v>1.3194931851999504E-18</v>
      </c>
      <c r="AC172" s="24">
        <f t="shared" si="163"/>
        <v>7.0444797932601375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-1.7053025658242404E-13</v>
      </c>
      <c r="AJ172" s="14">
        <f>AI172*VLOOKUP('Données projet'!$B$10,Paramètres!$A$1:$I$89,3,0)*VLOOKUP('Données projet'!$B$10,Paramètres!$A$1:$I$89,5,0)</f>
        <v>-1.4897523215040567E-13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205.97834462530136</v>
      </c>
      <c r="AO172" s="62">
        <f t="shared" si="144"/>
        <v>235.08005253775002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1.7053025658242404E-13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157.98488572680344</v>
      </c>
      <c r="T173" s="62">
        <f t="shared" si="142"/>
        <v>269.20989374735825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6.8368683986853771</v>
      </c>
      <c r="AA173" s="23">
        <f>EXP(-LN(2)/25)*AA172+(1-EXP(-LN(2)/25))/(LN(2)/25)*Calculateur!V173*Calculateur!X173*VLOOKUP('Données projet'!$B$9,Paramètres!$A$1:$I$89,3,0)*0.475*44/12</f>
        <v>6.8925270104185324E-2</v>
      </c>
      <c r="AB173" s="23">
        <f>EXP(-LN(2)/2)*AB172+(1-EXP(-LN(2)/2))/(LN(2)/2)*V173*Y173*VLOOKUP('Données projet'!$B$9,Paramètres!$A$1:$I$89,3,0)*0.475*44/12</f>
        <v>9.3302257898432196E-19</v>
      </c>
      <c r="AC173" s="24">
        <f t="shared" si="163"/>
        <v>6.9057936687895625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-1.7053025658242404E-13</v>
      </c>
      <c r="AJ173" s="14">
        <f>AI173*VLOOKUP('Données projet'!$B$10,Paramètres!$A$1:$I$89,3,0)*VLOOKUP('Données projet'!$B$10,Paramètres!$A$1:$I$89,5,0)</f>
        <v>-1.4897523215040567E-13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205.97834462530136</v>
      </c>
      <c r="AO173" s="62">
        <f t="shared" si="144"/>
        <v>235.08005253775002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1.7053025658242404E-13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157.98488572680344</v>
      </c>
      <c r="T174" s="62">
        <f t="shared" si="142"/>
        <v>269.20989374735825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6.7028015794651195</v>
      </c>
      <c r="AA174" s="23">
        <f>EXP(-LN(2)/25)*AA173+(1-EXP(-LN(2)/25))/(LN(2)/25)*Calculateur!V174*Calculateur!X174*VLOOKUP('Données projet'!$B$9,Paramètres!$A$1:$I$89,3,0)*0.475*44/12</f>
        <v>6.7040504968563952E-2</v>
      </c>
      <c r="AB174" s="23">
        <f>EXP(-LN(2)/2)*AB173+(1-EXP(-LN(2)/2))/(LN(2)/2)*V174*Y174*VLOOKUP('Données projet'!$B$9,Paramètres!$A$1:$I$89,3,0)*0.475*44/12</f>
        <v>6.597465925999752E-19</v>
      </c>
      <c r="AC174" s="24">
        <f t="shared" si="163"/>
        <v>6.7698420844336837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-1.7053025658242404E-13</v>
      </c>
      <c r="AJ174" s="14">
        <f>AI174*VLOOKUP('Données projet'!$B$10,Paramètres!$A$1:$I$89,3,0)*VLOOKUP('Données projet'!$B$10,Paramètres!$A$1:$I$89,5,0)</f>
        <v>-1.4897523215040567E-13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205.97834462530136</v>
      </c>
      <c r="AO174" s="62">
        <f t="shared" si="144"/>
        <v>235.08005253775002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1.7053025658242404E-13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157.98488572680344</v>
      </c>
      <c r="T175" s="62">
        <f t="shared" si="142"/>
        <v>269.20989374735825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6.5713637287970856</v>
      </c>
      <c r="AA175" s="23">
        <f>EXP(-LN(2)/25)*AA174+(1-EXP(-LN(2)/25))/(LN(2)/25)*Calculateur!V175*Calculateur!X175*VLOOKUP('Données projet'!$B$9,Paramètres!$A$1:$I$89,3,0)*0.475*44/12</f>
        <v>6.5207278834691643E-2</v>
      </c>
      <c r="AB175" s="23">
        <f>EXP(-LN(2)/2)*AB174+(1-EXP(-LN(2)/2))/(LN(2)/2)*V175*Y175*VLOOKUP('Données projet'!$B$9,Paramètres!$A$1:$I$89,3,0)*0.475*44/12</f>
        <v>4.6651128949216098E-19</v>
      </c>
      <c r="AC175" s="24">
        <f t="shared" si="163"/>
        <v>6.636571007631777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-1.7053025658242404E-13</v>
      </c>
      <c r="AJ175" s="14">
        <f>AI175*VLOOKUP('Données projet'!$B$10,Paramètres!$A$1:$I$89,3,0)*VLOOKUP('Données projet'!$B$10,Paramètres!$A$1:$I$89,5,0)</f>
        <v>-1.4897523215040567E-13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205.97834462530136</v>
      </c>
      <c r="AO175" s="62">
        <f t="shared" si="144"/>
        <v>235.08005253775002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1.7053025658242404E-13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157.98488572680344</v>
      </c>
      <c r="T176" s="62">
        <f t="shared" si="142"/>
        <v>269.20989374735825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6.4425032942114786</v>
      </c>
      <c r="AA176" s="23">
        <f>EXP(-LN(2)/25)*AA175+(1-EXP(-LN(2)/25))/(LN(2)/25)*Calculateur!V176*Calculateur!X176*VLOOKUP('Données projet'!$B$9,Paramètres!$A$1:$I$89,3,0)*0.475*44/12</f>
        <v>6.3424182365855244E-2</v>
      </c>
      <c r="AB176" s="23">
        <f>EXP(-LN(2)/2)*AB175+(1-EXP(-LN(2)/2))/(LN(2)/2)*V176*Y176*VLOOKUP('Données projet'!$B$9,Paramètres!$A$1:$I$89,3,0)*0.475*44/12</f>
        <v>3.298732962999876E-19</v>
      </c>
      <c r="AC176" s="24">
        <f t="shared" si="163"/>
        <v>6.5059274765773338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-1.7053025658242404E-13</v>
      </c>
      <c r="AJ176" s="14">
        <f>AI176*VLOOKUP('Données projet'!$B$10,Paramètres!$A$1:$I$89,3,0)*VLOOKUP('Données projet'!$B$10,Paramètres!$A$1:$I$89,5,0)</f>
        <v>-1.4897523215040567E-13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205.97834462530136</v>
      </c>
      <c r="AO176" s="62">
        <f t="shared" si="144"/>
        <v>235.08005253775002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1.7053025658242404E-13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157.98488572680344</v>
      </c>
      <c r="T177" s="62">
        <f t="shared" si="142"/>
        <v>269.20989374735825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6.316169734150991</v>
      </c>
      <c r="AA177" s="23">
        <f>EXP(-LN(2)/25)*AA176+(1-EXP(-LN(2)/25))/(LN(2)/25)*Calculateur!V177*Calculateur!X177*VLOOKUP('Données projet'!$B$9,Paramètres!$A$1:$I$89,3,0)*0.475*44/12</f>
        <v>6.1689844763728137E-2</v>
      </c>
      <c r="AB177" s="23">
        <f>EXP(-LN(2)/2)*AB176+(1-EXP(-LN(2)/2))/(LN(2)/2)*V177*Y177*VLOOKUP('Données projet'!$B$9,Paramètres!$A$1:$I$89,3,0)*0.475*44/12</f>
        <v>2.3325564474608049E-19</v>
      </c>
      <c r="AC177" s="24">
        <f t="shared" si="163"/>
        <v>6.3778595789147188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-1.7053025658242404E-13</v>
      </c>
      <c r="AJ177" s="14">
        <f>AI177*VLOOKUP('Données projet'!$B$10,Paramètres!$A$1:$I$89,3,0)*VLOOKUP('Données projet'!$B$10,Paramètres!$A$1:$I$89,5,0)</f>
        <v>-1.4897523215040567E-13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205.97834462530136</v>
      </c>
      <c r="AO177" s="62">
        <f t="shared" si="144"/>
        <v>235.08005253775002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1.7053025658242404E-13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157.98488572680344</v>
      </c>
      <c r="T178" s="62">
        <f t="shared" si="142"/>
        <v>269.20989374735825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6.1923134981474268</v>
      </c>
      <c r="AA178" s="23">
        <f>EXP(-LN(2)/25)*AA177+(1-EXP(-LN(2)/25))/(LN(2)/25)*Calculateur!V178*Calculateur!X178*VLOOKUP('Données projet'!$B$9,Paramètres!$A$1:$I$89,3,0)*0.475*44/12</f>
        <v>6.000293271453605E-2</v>
      </c>
      <c r="AB178" s="23">
        <f>EXP(-LN(2)/2)*AB177+(1-EXP(-LN(2)/2))/(LN(2)/2)*V178*Y178*VLOOKUP('Données projet'!$B$9,Paramètres!$A$1:$I$89,3,0)*0.475*44/12</f>
        <v>1.649366481499938E-19</v>
      </c>
      <c r="AC178" s="24">
        <f t="shared" si="163"/>
        <v>6.2523164308619625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-1.7053025658242404E-13</v>
      </c>
      <c r="AJ178" s="14">
        <f>AI178*VLOOKUP('Données projet'!$B$10,Paramètres!$A$1:$I$89,3,0)*VLOOKUP('Données projet'!$B$10,Paramètres!$A$1:$I$89,5,0)</f>
        <v>-1.4897523215040567E-13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205.97834462530136</v>
      </c>
      <c r="AO178" s="62">
        <f t="shared" si="144"/>
        <v>235.08005253775002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1.7053025658242404E-13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157.98488572680344</v>
      </c>
      <c r="T179" s="62">
        <f t="shared" si="142"/>
        <v>269.20989374735825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6.0708860073870481</v>
      </c>
      <c r="AA179" s="23">
        <f>EXP(-LN(2)/25)*AA178+(1-EXP(-LN(2)/25))/(LN(2)/25)*Calculateur!V179*Calculateur!X179*VLOOKUP('Données projet'!$B$9,Paramètres!$A$1:$I$89,3,0)*0.475*44/12</f>
        <v>5.8362149364039967E-2</v>
      </c>
      <c r="AB179" s="23">
        <f>EXP(-LN(2)/2)*AB178+(1-EXP(-LN(2)/2))/(LN(2)/2)*V179*Y179*VLOOKUP('Données projet'!$B$9,Paramètres!$A$1:$I$89,3,0)*0.475*44/12</f>
        <v>1.1662782237304025E-19</v>
      </c>
      <c r="AC179" s="24">
        <f t="shared" si="163"/>
        <v>6.1292481567510881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-1.7053025658242404E-13</v>
      </c>
      <c r="AJ179" s="14">
        <f>AI179*VLOOKUP('Données projet'!$B$10,Paramètres!$A$1:$I$89,3,0)*VLOOKUP('Données projet'!$B$10,Paramètres!$A$1:$I$89,5,0)</f>
        <v>-1.4897523215040567E-13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205.97834462530136</v>
      </c>
      <c r="AO179" s="62">
        <f t="shared" si="144"/>
        <v>235.08005253775002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1.7053025658242404E-13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157.98488572680344</v>
      </c>
      <c r="T180" s="62">
        <f t="shared" si="142"/>
        <v>269.20989374735825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5.9518396356570245</v>
      </c>
      <c r="AA180" s="23">
        <f>EXP(-LN(2)/25)*AA179+(1-EXP(-LN(2)/25))/(LN(2)/25)*Calculateur!V180*Calculateur!X180*VLOOKUP('Données projet'!$B$9,Paramètres!$A$1:$I$89,3,0)*0.475*44/12</f>
        <v>5.6766233320548247E-2</v>
      </c>
      <c r="AB180" s="23">
        <f>EXP(-LN(2)/2)*AB179+(1-EXP(-LN(2)/2))/(LN(2)/2)*V180*Y180*VLOOKUP('Données projet'!$B$9,Paramètres!$A$1:$I$89,3,0)*0.475*44/12</f>
        <v>8.24683240749969E-20</v>
      </c>
      <c r="AC180" s="24">
        <f t="shared" si="163"/>
        <v>6.0086058689775728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-1.7053025658242404E-13</v>
      </c>
      <c r="AJ180" s="14">
        <f>AI180*VLOOKUP('Données projet'!$B$10,Paramètres!$A$1:$I$89,3,0)*VLOOKUP('Données projet'!$B$10,Paramètres!$A$1:$I$89,5,0)</f>
        <v>-1.4897523215040567E-13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205.97834462530136</v>
      </c>
      <c r="AO180" s="62">
        <f t="shared" si="144"/>
        <v>235.08005253775002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1.7053025658242404E-13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157.98488572680344</v>
      </c>
      <c r="T181" s="62">
        <f t="shared" si="142"/>
        <v>269.20989374735825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5.8351276906655096</v>
      </c>
      <c r="AA181" s="23">
        <f>EXP(-LN(2)/25)*AA180+(1-EXP(-LN(2)/25))/(LN(2)/25)*Calculateur!V181*Calculateur!X181*VLOOKUP('Données projet'!$B$9,Paramètres!$A$1:$I$89,3,0)*0.475*44/12</f>
        <v>5.5213957685191384E-2</v>
      </c>
      <c r="AB181" s="23">
        <f>EXP(-LN(2)/2)*AB180+(1-EXP(-LN(2)/2))/(LN(2)/2)*V181*Y181*VLOOKUP('Données projet'!$B$9,Paramètres!$A$1:$I$89,3,0)*0.475*44/12</f>
        <v>5.8313911186520123E-20</v>
      </c>
      <c r="AC181" s="24">
        <f t="shared" si="163"/>
        <v>5.8903416483507014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-1.7053025658242404E-13</v>
      </c>
      <c r="AJ181" s="14">
        <f>AI181*VLOOKUP('Données projet'!$B$10,Paramètres!$A$1:$I$89,3,0)*VLOOKUP('Données projet'!$B$10,Paramètres!$A$1:$I$89,5,0)</f>
        <v>-1.4897523215040567E-13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205.97834462530136</v>
      </c>
      <c r="AO181" s="62">
        <f t="shared" si="144"/>
        <v>235.08005253775002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1.7053025658242404E-13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157.98488572680344</v>
      </c>
      <c r="T182" s="62">
        <f t="shared" si="142"/>
        <v>269.20989374735825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5.7207043957280206</v>
      </c>
      <c r="AA182" s="23">
        <f>EXP(-LN(2)/25)*AA181+(1-EXP(-LN(2)/25))/(LN(2)/25)*Calculateur!V182*Calculateur!X182*VLOOKUP('Données projet'!$B$9,Paramètres!$A$1:$I$89,3,0)*0.475*44/12</f>
        <v>5.3704129108713985E-2</v>
      </c>
      <c r="AB182" s="23">
        <f>EXP(-LN(2)/2)*AB181+(1-EXP(-LN(2)/2))/(LN(2)/2)*V182*Y182*VLOOKUP('Données projet'!$B$9,Paramètres!$A$1:$I$89,3,0)*0.475*44/12</f>
        <v>4.123416203749845E-20</v>
      </c>
      <c r="AC182" s="24">
        <f t="shared" si="163"/>
        <v>5.7744085248367343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-1.7053025658242404E-13</v>
      </c>
      <c r="AJ182" s="14">
        <f>AI182*VLOOKUP('Données projet'!$B$10,Paramètres!$A$1:$I$89,3,0)*VLOOKUP('Données projet'!$B$10,Paramètres!$A$1:$I$89,5,0)</f>
        <v>-1.4897523215040567E-13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205.97834462530136</v>
      </c>
      <c r="AO182" s="62">
        <f t="shared" si="144"/>
        <v>235.08005253775002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1.7053025658242404E-13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157.98488572680344</v>
      </c>
      <c r="T183" s="62">
        <f t="shared" si="142"/>
        <v>269.20989374735825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5.6085248718129375</v>
      </c>
      <c r="AA183" s="23">
        <f>EXP(-LN(2)/25)*AA182+(1-EXP(-LN(2)/25))/(LN(2)/25)*Calculateur!V183*Calculateur!X183*VLOOKUP('Données projet'!$B$9,Paramètres!$A$1:$I$89,3,0)*0.475*44/12</f>
        <v>5.2235586874058791E-2</v>
      </c>
      <c r="AB183" s="23">
        <f>EXP(-LN(2)/2)*AB182+(1-EXP(-LN(2)/2))/(LN(2)/2)*V183*Y183*VLOOKUP('Données projet'!$B$9,Paramètres!$A$1:$I$89,3,0)*0.475*44/12</f>
        <v>2.9156955593260061E-20</v>
      </c>
      <c r="AC183" s="24">
        <f t="shared" si="163"/>
        <v>5.6607604586869966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-1.7053025658242404E-13</v>
      </c>
      <c r="AJ183" s="14">
        <f>AI183*VLOOKUP('Données projet'!$B$10,Paramètres!$A$1:$I$89,3,0)*VLOOKUP('Données projet'!$B$10,Paramètres!$A$1:$I$89,5,0)</f>
        <v>-1.4897523215040567E-13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205.97834462530136</v>
      </c>
      <c r="AO183" s="62">
        <f t="shared" si="144"/>
        <v>235.08005253775002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1.7053025658242404E-13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157.98488572680344</v>
      </c>
      <c r="T184" s="62">
        <f t="shared" si="142"/>
        <v>269.20989374735825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5.4985451199390756</v>
      </c>
      <c r="AA184" s="23">
        <f>EXP(-LN(2)/25)*AA183+(1-EXP(-LN(2)/25))/(LN(2)/25)*Calculateur!V184*Calculateur!X184*VLOOKUP('Données projet'!$B$9,Paramètres!$A$1:$I$89,3,0)*0.475*44/12</f>
        <v>5.0807202004037523E-2</v>
      </c>
      <c r="AB184" s="23">
        <f>EXP(-LN(2)/2)*AB183+(1-EXP(-LN(2)/2))/(LN(2)/2)*V184*Y184*VLOOKUP('Données projet'!$B$9,Paramètres!$A$1:$I$89,3,0)*0.475*44/12</f>
        <v>2.0617081018749225E-20</v>
      </c>
      <c r="AC184" s="24">
        <f t="shared" si="163"/>
        <v>5.5493523219431129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-1.7053025658242404E-13</v>
      </c>
      <c r="AJ184" s="14">
        <f>AI184*VLOOKUP('Données projet'!$B$10,Paramètres!$A$1:$I$89,3,0)*VLOOKUP('Données projet'!$B$10,Paramètres!$A$1:$I$89,5,0)</f>
        <v>-1.4897523215040567E-13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205.97834462530136</v>
      </c>
      <c r="AO184" s="62">
        <f t="shared" si="144"/>
        <v>235.08005253775002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1.7053025658242404E-13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157.98488572680344</v>
      </c>
      <c r="T185" s="62">
        <f t="shared" si="142"/>
        <v>269.20989374735825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5.3907220039184347</v>
      </c>
      <c r="AA185" s="23">
        <f>EXP(-LN(2)/25)*AA184+(1-EXP(-LN(2)/25))/(LN(2)/25)*Calculateur!V185*Calculateur!X185*VLOOKUP('Données projet'!$B$9,Paramètres!$A$1:$I$89,3,0)*0.475*44/12</f>
        <v>4.9417876393402484E-2</v>
      </c>
      <c r="AB185" s="23">
        <f>EXP(-LN(2)/2)*AB184+(1-EXP(-LN(2)/2))/(LN(2)/2)*V185*Y185*VLOOKUP('Données projet'!$B$9,Paramètres!$A$1:$I$89,3,0)*0.475*44/12</f>
        <v>1.4578477796630031E-20</v>
      </c>
      <c r="AC185" s="24">
        <f t="shared" si="163"/>
        <v>5.440139880311837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-1.7053025658242404E-13</v>
      </c>
      <c r="AJ185" s="14">
        <f>AI185*VLOOKUP('Données projet'!$B$10,Paramètres!$A$1:$I$89,3,0)*VLOOKUP('Données projet'!$B$10,Paramètres!$A$1:$I$89,5,0)</f>
        <v>-1.4897523215040567E-13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205.97834462530136</v>
      </c>
      <c r="AO185" s="62">
        <f t="shared" si="144"/>
        <v>235.08005253775002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1.7053025658242404E-13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157.98488572680344</v>
      </c>
      <c r="T186" s="62">
        <f t="shared" si="142"/>
        <v>269.20989374735825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5.2850132334373523</v>
      </c>
      <c r="AA186" s="23">
        <f>EXP(-LN(2)/25)*AA185+(1-EXP(-LN(2)/25))/(LN(2)/25)*Calculateur!V186*Calculateur!X186*VLOOKUP('Données projet'!$B$9,Paramètres!$A$1:$I$89,3,0)*0.475*44/12</f>
        <v>4.8066541964651717E-2</v>
      </c>
      <c r="AB186" s="23">
        <f>EXP(-LN(2)/2)*AB185+(1-EXP(-LN(2)/2))/(LN(2)/2)*V186*Y186*VLOOKUP('Données projet'!$B$9,Paramètres!$A$1:$I$89,3,0)*0.475*44/12</f>
        <v>1.0308540509374613E-20</v>
      </c>
      <c r="AC186" s="24">
        <f t="shared" si="163"/>
        <v>5.3330797754020036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-1.7053025658242404E-13</v>
      </c>
      <c r="AJ186" s="14">
        <f>AI186*VLOOKUP('Données projet'!$B$10,Paramètres!$A$1:$I$89,3,0)*VLOOKUP('Données projet'!$B$10,Paramètres!$A$1:$I$89,5,0)</f>
        <v>-1.4897523215040567E-13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205.97834462530136</v>
      </c>
      <c r="AO186" s="62">
        <f t="shared" si="144"/>
        <v>235.08005253775002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1.7053025658242404E-13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157.98488572680344</v>
      </c>
      <c r="T187" s="62">
        <f t="shared" si="142"/>
        <v>269.20989374735825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5.1813773474694198</v>
      </c>
      <c r="AA187" s="23">
        <f>EXP(-LN(2)/25)*AA186+(1-EXP(-LN(2)/25))/(LN(2)/25)*Calculateur!V187*Calculateur!X187*VLOOKUP('Données projet'!$B$9,Paramètres!$A$1:$I$89,3,0)*0.475*44/12</f>
        <v>4.6752159846918731E-2</v>
      </c>
      <c r="AB187" s="23">
        <f>EXP(-LN(2)/2)*AB186+(1-EXP(-LN(2)/2))/(LN(2)/2)*V187*Y187*VLOOKUP('Données projet'!$B$9,Paramètres!$A$1:$I$89,3,0)*0.475*44/12</f>
        <v>7.2892388983150153E-21</v>
      </c>
      <c r="AC187" s="24">
        <f t="shared" si="163"/>
        <v>5.2281295073163383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-1.7053025658242404E-13</v>
      </c>
      <c r="AJ187" s="14">
        <f>AI187*VLOOKUP('Données projet'!$B$10,Paramètres!$A$1:$I$89,3,0)*VLOOKUP('Données projet'!$B$10,Paramètres!$A$1:$I$89,5,0)</f>
        <v>-1.4897523215040567E-13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205.97834462530136</v>
      </c>
      <c r="AO187" s="62">
        <f t="shared" si="144"/>
        <v>235.08005253775002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1.7053025658242404E-13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157.98488572680344</v>
      </c>
      <c r="T188" s="62">
        <f t="shared" si="142"/>
        <v>269.20989374735825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5.0797736980136703</v>
      </c>
      <c r="AA188" s="23">
        <f>EXP(-LN(2)/25)*AA187+(1-EXP(-LN(2)/25))/(LN(2)/25)*Calculateur!V188*Calculateur!X188*VLOOKUP('Données projet'!$B$9,Paramètres!$A$1:$I$89,3,0)*0.475*44/12</f>
        <v>4.5473719577315504E-2</v>
      </c>
      <c r="AB188" s="23">
        <f>EXP(-LN(2)/2)*AB187+(1-EXP(-LN(2)/2))/(LN(2)/2)*V188*Y188*VLOOKUP('Données projet'!$B$9,Paramètres!$A$1:$I$89,3,0)*0.475*44/12</f>
        <v>5.1542702546873063E-21</v>
      </c>
      <c r="AC188" s="24">
        <f t="shared" si="163"/>
        <v>5.1252474175909857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-1.7053025658242404E-13</v>
      </c>
      <c r="AJ188" s="14">
        <f>AI188*VLOOKUP('Données projet'!$B$10,Paramètres!$A$1:$I$89,3,0)*VLOOKUP('Données projet'!$B$10,Paramètres!$A$1:$I$89,5,0)</f>
        <v>-1.4897523215040567E-13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205.97834462530136</v>
      </c>
      <c r="AO188" s="62">
        <f t="shared" si="144"/>
        <v>235.08005253775002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1.7053025658242404E-13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157.98488572680344</v>
      </c>
      <c r="T189" s="62">
        <f t="shared" si="142"/>
        <v>269.20989374735825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4.9801624341516408</v>
      </c>
      <c r="AA189" s="23">
        <f>EXP(-LN(2)/25)*AA188+(1-EXP(-LN(2)/25))/(LN(2)/25)*Calculateur!V189*Calculateur!X189*VLOOKUP('Données projet'!$B$9,Paramètres!$A$1:$I$89,3,0)*0.475*44/12</f>
        <v>4.423023832411483E-2</v>
      </c>
      <c r="AB189" s="23">
        <f>EXP(-LN(2)/2)*AB188+(1-EXP(-LN(2)/2))/(LN(2)/2)*V189*Y189*VLOOKUP('Données projet'!$B$9,Paramètres!$A$1:$I$89,3,0)*0.475*44/12</f>
        <v>3.6446194491575077E-21</v>
      </c>
      <c r="AC189" s="24">
        <f t="shared" si="163"/>
        <v>5.0243926724757557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-1.7053025658242404E-13</v>
      </c>
      <c r="AJ189" s="14">
        <f>AI189*VLOOKUP('Données projet'!$B$10,Paramètres!$A$1:$I$89,3,0)*VLOOKUP('Données projet'!$B$10,Paramètres!$A$1:$I$89,5,0)</f>
        <v>-1.4897523215040567E-13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205.97834462530136</v>
      </c>
      <c r="AO189" s="62">
        <f t="shared" si="144"/>
        <v>235.08005253775002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1.7053025658242404E-13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157.98488572680344</v>
      </c>
      <c r="T190" s="62">
        <f t="shared" si="142"/>
        <v>269.20989374735825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4.8825044864170737</v>
      </c>
      <c r="AA190" s="23">
        <f>EXP(-LN(2)/25)*AA189+(1-EXP(-LN(2)/25))/(LN(2)/25)*Calculateur!V190*Calculateur!X190*VLOOKUP('Données projet'!$B$9,Paramètres!$A$1:$I$89,3,0)*0.475*44/12</f>
        <v>4.3020760131174764E-2</v>
      </c>
      <c r="AB190" s="23">
        <f>EXP(-LN(2)/2)*AB189+(1-EXP(-LN(2)/2))/(LN(2)/2)*V190*Y190*VLOOKUP('Données projet'!$B$9,Paramètres!$A$1:$I$89,3,0)*0.475*44/12</f>
        <v>2.5771351273436531E-21</v>
      </c>
      <c r="AC190" s="24">
        <f t="shared" si="163"/>
        <v>4.9255252465482489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-1.7053025658242404E-13</v>
      </c>
      <c r="AJ190" s="14">
        <f>AI190*VLOOKUP('Données projet'!$B$10,Paramètres!$A$1:$I$89,3,0)*VLOOKUP('Données projet'!$B$10,Paramètres!$A$1:$I$89,5,0)</f>
        <v>-1.4897523215040567E-13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205.97834462530136</v>
      </c>
      <c r="AO190" s="62">
        <f t="shared" si="144"/>
        <v>235.08005253775002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1.7053025658242404E-13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157.98488572680344</v>
      </c>
      <c r="T191" s="62">
        <f t="shared" si="142"/>
        <v>269.20989374735825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4.7867615514721154</v>
      </c>
      <c r="AA191" s="23">
        <f>EXP(-LN(2)/25)*AA190+(1-EXP(-LN(2)/25))/(LN(2)/25)*Calculateur!V191*Calculateur!X191*VLOOKUP('Données projet'!$B$9,Paramètres!$A$1:$I$89,3,0)*0.475*44/12</f>
        <v>4.1844355183024338E-2</v>
      </c>
      <c r="AB191" s="23">
        <f>EXP(-LN(2)/2)*AB190+(1-EXP(-LN(2)/2))/(LN(2)/2)*V191*Y191*VLOOKUP('Données projet'!$B$9,Paramètres!$A$1:$I$89,3,0)*0.475*44/12</f>
        <v>1.8223097245787538E-21</v>
      </c>
      <c r="AC191" s="24">
        <f t="shared" si="163"/>
        <v>4.8286059066551399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-1.7053025658242404E-13</v>
      </c>
      <c r="AJ191" s="14">
        <f>AI191*VLOOKUP('Données projet'!$B$10,Paramètres!$A$1:$I$89,3,0)*VLOOKUP('Données projet'!$B$10,Paramètres!$A$1:$I$89,5,0)</f>
        <v>-1.4897523215040567E-13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205.97834462530136</v>
      </c>
      <c r="AO191" s="62">
        <f t="shared" si="144"/>
        <v>235.08005253775002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1.7053025658242404E-13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157.98488572680344</v>
      </c>
      <c r="T192" s="62">
        <f t="shared" si="142"/>
        <v>269.20989374735825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4.6928960770840034</v>
      </c>
      <c r="AA192" s="23">
        <f>EXP(-LN(2)/25)*AA191+(1-EXP(-LN(2)/25))/(LN(2)/25)*Calculateur!V192*Calculateur!X192*VLOOKUP('Données projet'!$B$9,Paramètres!$A$1:$I$89,3,0)*0.475*44/12</f>
        <v>4.0700119090045533E-2</v>
      </c>
      <c r="AB192" s="23">
        <f>EXP(-LN(2)/2)*AB191+(1-EXP(-LN(2)/2))/(LN(2)/2)*V192*Y192*VLOOKUP('Données projet'!$B$9,Paramètres!$A$1:$I$89,3,0)*0.475*44/12</f>
        <v>1.2885675636718266E-21</v>
      </c>
      <c r="AC192" s="24">
        <f t="shared" si="163"/>
        <v>4.7335961961740489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-1.7053025658242404E-13</v>
      </c>
      <c r="AJ192" s="14">
        <f>AI192*VLOOKUP('Données projet'!$B$10,Paramètres!$A$1:$I$89,3,0)*VLOOKUP('Données projet'!$B$10,Paramètres!$A$1:$I$89,5,0)</f>
        <v>-1.4897523215040567E-13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205.97834462530136</v>
      </c>
      <c r="AO192" s="62">
        <f t="shared" si="144"/>
        <v>235.08005253775002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1.7053025658242404E-13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157.98488572680344</v>
      </c>
      <c r="T193" s="62">
        <f t="shared" si="142"/>
        <v>269.20989374735825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4.6008712473963564</v>
      </c>
      <c r="AA193" s="23">
        <f>EXP(-LN(2)/25)*AA192+(1-EXP(-LN(2)/25))/(LN(2)/25)*Calculateur!V193*Calculateur!X193*VLOOKUP('Données projet'!$B$9,Paramètres!$A$1:$I$89,3,0)*0.475*44/12</f>
        <v>3.9587172193202E-2</v>
      </c>
      <c r="AB193" s="23">
        <f>EXP(-LN(2)/2)*AB192+(1-EXP(-LN(2)/2))/(LN(2)/2)*V193*Y193*VLOOKUP('Données projet'!$B$9,Paramètres!$A$1:$I$89,3,0)*0.475*44/12</f>
        <v>9.1115486228937691E-22</v>
      </c>
      <c r="AC193" s="24">
        <f t="shared" si="163"/>
        <v>4.6404584195895584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-1.7053025658242404E-13</v>
      </c>
      <c r="AJ193" s="14">
        <f>AI193*VLOOKUP('Données projet'!$B$10,Paramètres!$A$1:$I$89,3,0)*VLOOKUP('Données projet'!$B$10,Paramètres!$A$1:$I$89,5,0)</f>
        <v>-1.4897523215040567E-13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205.97834462530136</v>
      </c>
      <c r="AO193" s="62">
        <f t="shared" si="144"/>
        <v>235.08005253775002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1.7053025658242404E-13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157.98488572680344</v>
      </c>
      <c r="T194" s="62">
        <f t="shared" si="142"/>
        <v>269.20989374735825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4.5106509684892799</v>
      </c>
      <c r="AA194" s="23">
        <f>EXP(-LN(2)/25)*AA193+(1-EXP(-LN(2)/25))/(LN(2)/25)*Calculateur!V194*Calculateur!X194*VLOOKUP('Données projet'!$B$9,Paramètres!$A$1:$I$89,3,0)*0.475*44/12</f>
        <v>3.8504658887779986E-2</v>
      </c>
      <c r="AB194" s="23">
        <f>EXP(-LN(2)/2)*AB193+(1-EXP(-LN(2)/2))/(LN(2)/2)*V194*Y194*VLOOKUP('Données projet'!$B$9,Paramètres!$A$1:$I$89,3,0)*0.475*44/12</f>
        <v>6.4428378183591328E-22</v>
      </c>
      <c r="AC194" s="24">
        <f t="shared" si="163"/>
        <v>4.5491556273770595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-1.7053025658242404E-13</v>
      </c>
      <c r="AJ194" s="14">
        <f>AI194*VLOOKUP('Données projet'!$B$10,Paramètres!$A$1:$I$89,3,0)*VLOOKUP('Données projet'!$B$10,Paramètres!$A$1:$I$89,5,0)</f>
        <v>-1.4897523215040567E-13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205.97834462530136</v>
      </c>
      <c r="AO194" s="62">
        <f t="shared" si="144"/>
        <v>235.08005253775002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1.7053025658242404E-13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157.98488572680344</v>
      </c>
      <c r="T195" s="62">
        <f t="shared" si="142"/>
        <v>269.20989374735825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4.4221998542226348</v>
      </c>
      <c r="AA195" s="23">
        <f>EXP(-LN(2)/25)*AA194+(1-EXP(-LN(2)/25))/(LN(2)/25)*Calculateur!V195*Calculateur!X195*VLOOKUP('Données projet'!$B$9,Paramètres!$A$1:$I$89,3,0)*0.475*44/12</f>
        <v>3.7451746965621632E-2</v>
      </c>
      <c r="AB195" s="23">
        <f>EXP(-LN(2)/2)*AB194+(1-EXP(-LN(2)/2))/(LN(2)/2)*V195*Y195*VLOOKUP('Données projet'!$B$9,Paramètres!$A$1:$I$89,3,0)*0.475*44/12</f>
        <v>4.5557743114468846E-22</v>
      </c>
      <c r="AC195" s="24">
        <f t="shared" si="163"/>
        <v>4.4596516011882565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-1.7053025658242404E-13</v>
      </c>
      <c r="AJ195" s="14">
        <f>AI195*VLOOKUP('Données projet'!$B$10,Paramètres!$A$1:$I$89,3,0)*VLOOKUP('Données projet'!$B$10,Paramètres!$A$1:$I$89,5,0)</f>
        <v>-1.4897523215040567E-13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205.97834462530136</v>
      </c>
      <c r="AO195" s="62">
        <f t="shared" si="144"/>
        <v>235.08005253775002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1.7053025658242404E-13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157.98488572680344</v>
      </c>
      <c r="T196" s="62">
        <f t="shared" si="142"/>
        <v>269.20989374735825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4.3354832123569063</v>
      </c>
      <c r="AA196" s="23">
        <f>EXP(-LN(2)/25)*AA195+(1-EXP(-LN(2)/25))/(LN(2)/25)*Calculateur!V196*Calculateur!X196*VLOOKUP('Données projet'!$B$9,Paramètres!$A$1:$I$89,3,0)*0.475*44/12</f>
        <v>3.6427626975344934E-2</v>
      </c>
      <c r="AB196" s="23">
        <f>EXP(-LN(2)/2)*AB195+(1-EXP(-LN(2)/2))/(LN(2)/2)*V196*Y196*VLOOKUP('Données projet'!$B$9,Paramètres!$A$1:$I$89,3,0)*0.475*44/12</f>
        <v>3.2214189091795664E-22</v>
      </c>
      <c r="AC196" s="24">
        <f t="shared" si="163"/>
        <v>4.3719108393322514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-1.7053025658242404E-13</v>
      </c>
      <c r="AJ196" s="14">
        <f>AI196*VLOOKUP('Données projet'!$B$10,Paramètres!$A$1:$I$89,3,0)*VLOOKUP('Données projet'!$B$10,Paramètres!$A$1:$I$89,5,0)</f>
        <v>-1.4897523215040567E-13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205.97834462530136</v>
      </c>
      <c r="AO196" s="62">
        <f t="shared" si="144"/>
        <v>235.08005253775002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1.7053025658242404E-13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157.98488572680344</v>
      </c>
      <c r="T197" s="62">
        <f t="shared" ref="T197:T203" si="204">$T$3</f>
        <v>269.20989374735825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4.2504670309462353</v>
      </c>
      <c r="AA197" s="23">
        <f>EXP(-LN(2)/25)*AA196+(1-EXP(-LN(2)/25))/(LN(2)/25)*Calculateur!V197*Calculateur!X197*VLOOKUP('Données projet'!$B$9,Paramètres!$A$1:$I$89,3,0)*0.475*44/12</f>
        <v>3.5431511600058481E-2</v>
      </c>
      <c r="AB197" s="23">
        <f>EXP(-LN(2)/2)*AB196+(1-EXP(-LN(2)/2))/(LN(2)/2)*V197*Y197*VLOOKUP('Données projet'!$B$9,Paramètres!$A$1:$I$89,3,0)*0.475*44/12</f>
        <v>2.2778871557234423E-22</v>
      </c>
      <c r="AC197" s="24">
        <f t="shared" si="163"/>
        <v>4.2858985425462937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-1.7053025658242404E-13</v>
      </c>
      <c r="AJ197" s="14">
        <f>AI197*VLOOKUP('Données projet'!$B$10,Paramètres!$A$1:$I$89,3,0)*VLOOKUP('Données projet'!$B$10,Paramètres!$A$1:$I$89,5,0)</f>
        <v>-1.4897523215040567E-13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205.97834462530136</v>
      </c>
      <c r="AO197" s="62">
        <f t="shared" ref="AO197:AO203" si="205">$AO$3</f>
        <v>235.08005253775002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1.7053025658242404E-13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157.98488572680344</v>
      </c>
      <c r="T198" s="62">
        <f t="shared" si="204"/>
        <v>269.20989374735825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4.1671179649982779</v>
      </c>
      <c r="AA198" s="23">
        <f>EXP(-LN(2)/25)*AA197+(1-EXP(-LN(2)/25))/(LN(2)/25)*Calculateur!V198*Calculateur!X198*VLOOKUP('Données projet'!$B$9,Paramètres!$A$1:$I$89,3,0)*0.475*44/12</f>
        <v>3.4462635052092669E-2</v>
      </c>
      <c r="AB198" s="23">
        <f>EXP(-LN(2)/2)*AB197+(1-EXP(-LN(2)/2))/(LN(2)/2)*V198*Y198*VLOOKUP('Données projet'!$B$9,Paramètres!$A$1:$I$89,3,0)*0.475*44/12</f>
        <v>1.6107094545897832E-22</v>
      </c>
      <c r="AC198" s="24">
        <f t="shared" si="163"/>
        <v>4.2015806000503702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-1.7053025658242404E-13</v>
      </c>
      <c r="AJ198" s="14">
        <f>AI198*VLOOKUP('Données projet'!$B$10,Paramètres!$A$1:$I$89,3,0)*VLOOKUP('Données projet'!$B$10,Paramètres!$A$1:$I$89,5,0)</f>
        <v>-1.4897523215040567E-13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205.97834462530136</v>
      </c>
      <c r="AO198" s="62">
        <f t="shared" si="205"/>
        <v>235.08005253775002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1.7053025658242404E-13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157.98488572680344</v>
      </c>
      <c r="T199" s="62">
        <f t="shared" si="204"/>
        <v>269.20989374735825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4.0854033233956493</v>
      </c>
      <c r="AA199" s="23">
        <f>EXP(-LN(2)/25)*AA198+(1-EXP(-LN(2)/25))/(LN(2)/25)*Calculateur!V199*Calculateur!X199*VLOOKUP('Données projet'!$B$9,Paramètres!$A$1:$I$89,3,0)*0.475*44/12</f>
        <v>3.3520252484281983E-2</v>
      </c>
      <c r="AB199" s="23">
        <f>EXP(-LN(2)/2)*AB198+(1-EXP(-LN(2)/2))/(LN(2)/2)*V199*Y199*VLOOKUP('Données projet'!$B$9,Paramètres!$A$1:$I$89,3,0)*0.475*44/12</f>
        <v>1.1389435778617211E-22</v>
      </c>
      <c r="AC199" s="24">
        <f t="shared" si="163"/>
        <v>4.118923575879931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-1.7053025658242404E-13</v>
      </c>
      <c r="AJ199" s="14">
        <f>AI199*VLOOKUP('Données projet'!$B$10,Paramètres!$A$1:$I$89,3,0)*VLOOKUP('Données projet'!$B$10,Paramètres!$A$1:$I$89,5,0)</f>
        <v>-1.4897523215040567E-13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205.97834462530136</v>
      </c>
      <c r="AO199" s="62">
        <f t="shared" si="205"/>
        <v>235.08005253775002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1.7053025658242404E-13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157.98488572680344</v>
      </c>
      <c r="T200" s="62">
        <f t="shared" si="204"/>
        <v>269.20989374735825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4.0052910560738377</v>
      </c>
      <c r="AA200" s="23">
        <f>EXP(-LN(2)/25)*AA199+(1-EXP(-LN(2)/25))/(LN(2)/25)*Calculateur!V200*Calculateur!X200*VLOOKUP('Données projet'!$B$9,Paramètres!$A$1:$I$89,3,0)*0.475*44/12</f>
        <v>3.2603639417345828E-2</v>
      </c>
      <c r="AB200" s="23">
        <f>EXP(-LN(2)/2)*AB199+(1-EXP(-LN(2)/2))/(LN(2)/2)*V200*Y200*VLOOKUP('Données projet'!$B$9,Paramètres!$A$1:$I$89,3,0)*0.475*44/12</f>
        <v>8.053547272948916E-23</v>
      </c>
      <c r="AC200" s="24">
        <f t="shared" si="163"/>
        <v>4.0378946954911834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-1.7053025658242404E-13</v>
      </c>
      <c r="AJ200" s="14">
        <f>AI200*VLOOKUP('Données projet'!$B$10,Paramètres!$A$1:$I$89,3,0)*VLOOKUP('Données projet'!$B$10,Paramètres!$A$1:$I$89,5,0)</f>
        <v>-1.4897523215040567E-13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205.97834462530136</v>
      </c>
      <c r="AO200" s="62">
        <f t="shared" si="205"/>
        <v>235.08005253775002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1.7053025658242404E-13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157.98488572680344</v>
      </c>
      <c r="T201" s="62">
        <f t="shared" si="204"/>
        <v>269.20989374735825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3.926749741450549</v>
      </c>
      <c r="AA201" s="23">
        <f>EXP(-LN(2)/25)*AA200+(1-EXP(-LN(2)/25))/(LN(2)/25)*Calculateur!V201*Calculateur!X201*VLOOKUP('Données projet'!$B$9,Paramètres!$A$1:$I$89,3,0)*0.475*44/12</f>
        <v>3.1712091182927629E-2</v>
      </c>
      <c r="AB201" s="23">
        <f>EXP(-LN(2)/2)*AB200+(1-EXP(-LN(2)/2))/(LN(2)/2)*V201*Y201*VLOOKUP('Données projet'!$B$9,Paramètres!$A$1:$I$89,3,0)*0.475*44/12</f>
        <v>5.6947178893086057E-23</v>
      </c>
      <c r="AC201" s="24">
        <f t="shared" si="163"/>
        <v>3.9584618326334766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-1.7053025658242404E-13</v>
      </c>
      <c r="AJ201" s="14">
        <f>AI201*VLOOKUP('Données projet'!$B$10,Paramètres!$A$1:$I$89,3,0)*VLOOKUP('Données projet'!$B$10,Paramètres!$A$1:$I$89,5,0)</f>
        <v>-1.4897523215040567E-13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205.97834462530136</v>
      </c>
      <c r="AO201" s="62">
        <f t="shared" si="205"/>
        <v>235.08005253775002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1.7053025658242404E-13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157.98488572680344</v>
      </c>
      <c r="T202" s="62">
        <f t="shared" si="204"/>
        <v>269.20989374735825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3.8497485741015516</v>
      </c>
      <c r="AA202" s="23">
        <f>EXP(-LN(2)/25)*AA201+(1-EXP(-LN(2)/25))/(LN(2)/25)*Calculateur!V202*Calculateur!X202*VLOOKUP('Données projet'!$B$9,Paramètres!$A$1:$I$89,3,0)*0.475*44/12</f>
        <v>3.0844922381864075E-2</v>
      </c>
      <c r="AB202" s="23">
        <f>EXP(-LN(2)/2)*AB201+(1-EXP(-LN(2)/2))/(LN(2)/2)*V202*Y202*VLOOKUP('Données projet'!$B$9,Paramètres!$A$1:$I$89,3,0)*0.475*44/12</f>
        <v>4.026773636474458E-23</v>
      </c>
      <c r="AC202" s="24">
        <f t="shared" si="163"/>
        <v>3.8805934964834154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-1.7053025658242404E-13</v>
      </c>
      <c r="AJ202" s="14">
        <f>AI202*VLOOKUP('Données projet'!$B$10,Paramètres!$A$1:$I$89,3,0)*VLOOKUP('Données projet'!$B$10,Paramètres!$A$1:$I$89,5,0)</f>
        <v>-1.4897523215040567E-13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205.97834462530136</v>
      </c>
      <c r="AO202" s="62">
        <f t="shared" si="205"/>
        <v>235.08005253775002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1.7053025658242404E-13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157.98488572680344</v>
      </c>
      <c r="T203" s="62">
        <f t="shared" si="204"/>
        <v>269.20989374735825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3.7742573526781933</v>
      </c>
      <c r="AA203" s="23">
        <f>EXP(-LN(2)/25)*AA202+(1-EXP(-LN(2)/25))/(LN(2)/25)*Calculateur!V203*Calculateur!X203*VLOOKUP('Données projet'!$B$9,Paramètres!$A$1:$I$89,3,0)*0.475*44/12</f>
        <v>3.0001466357268032E-2</v>
      </c>
      <c r="AB203" s="23">
        <f>EXP(-LN(2)/2)*AB202+(1-EXP(-LN(2)/2))/(LN(2)/2)*V203*Y203*VLOOKUP('Données projet'!$B$9,Paramètres!$A$1:$I$89,3,0)*0.475*44/12</f>
        <v>2.8473589446543029E-23</v>
      </c>
      <c r="AC203" s="24">
        <f t="shared" si="163"/>
        <v>3.8042588190354611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-1.7053025658242404E-13</v>
      </c>
      <c r="AJ203" s="14">
        <f>AI203*VLOOKUP('Données projet'!$B$10,Paramètres!$A$1:$I$89,3,0)*VLOOKUP('Données projet'!$B$10,Paramètres!$A$1:$I$89,5,0)</f>
        <v>-1.4897523215040567E-13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205.97834462530136</v>
      </c>
      <c r="AO203" s="62">
        <f t="shared" si="205"/>
        <v>235.08005253775002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1.7053025658242404E-13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1.3939124009120489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1.2613966317002558</v>
      </c>
      <c r="BA205" s="88">
        <f>EXP(LN('Données projet'!B88)/'Données projet'!A88)</f>
        <v>1.2240347367580502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A6" sqref="A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28.006072</v>
      </c>
      <c r="C6" s="156">
        <f ca="1">IF(OR('Données projet'!B9="",'Données projet'!C9="",'Données projet'!C9=0%),0,Calculateur!S3)</f>
        <v>157.98488572680344</v>
      </c>
      <c r="D6" s="156">
        <f>IF(OR('Données projet'!B9="",'Données projet'!C9="",'Données projet'!C9=0%),0,Calculateur!T3)</f>
        <v>269.20989374735825</v>
      </c>
      <c r="E6" s="156">
        <f ca="1">MIN(C6,D6)</f>
        <v>157.98488572680344</v>
      </c>
      <c r="F6" s="156">
        <f ca="1">E6*B6</f>
        <v>4424.536084576629</v>
      </c>
      <c r="G6" s="156">
        <f ca="1">F6*(100%-'Données projet'!$C$24)*(100%-'Données projet'!$C$25)*(100%-'Données projet'!$C$26)*(100%-'Données projet'!$C$27)</f>
        <v>2707.8160837608971</v>
      </c>
      <c r="H6" s="157">
        <f>IF(OR('Données projet'!B9="",'Données projet'!C9="",'Données projet'!C9=0%),0,AVERAGE(Calculateur!$AC$3:$AC$33)*B6)</f>
        <v>229.28710270382911</v>
      </c>
      <c r="I6" s="158">
        <f>H6*(100%-'Données projet'!$C$24)*(100%-'Données projet'!$C$25)*(100%-'Données projet'!$C$26)*(100%-'Données projet'!$C$27)</f>
        <v>140.32370685474342</v>
      </c>
      <c r="J6" s="159">
        <f>IF(OR('Données projet'!B9="",'Données projet'!C9="",'Données projet'!C9=0%),0,SUM(Calculateur!$V$3:$V$33)*VLOOKUP('Données projet'!$B$9,Paramètres!$A$1:$I$89,9,0)*B6)</f>
        <v>1801.0704903200001</v>
      </c>
      <c r="K6" s="160">
        <f>J6*(100%-'Données projet'!$C$24)*(100%-'Données projet'!$C$25)*(100%-'Données projet'!$C$26)*(100%-'Données projet'!$C$27)</f>
        <v>1102.25514007584</v>
      </c>
      <c r="L6" s="161">
        <f ca="1">G6+I6+K6</f>
        <v>3950.3949306914801</v>
      </c>
      <c r="M6" s="25">
        <f ca="1">L6/B6</f>
        <v>141.0549444667385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rouge d'Amérique</v>
      </c>
      <c r="B7" s="163">
        <f>'Données projet'!D10</f>
        <v>1.2339279999999999</v>
      </c>
      <c r="C7" s="156">
        <f ca="1">IF(OR('Données projet'!B10="",'Données projet'!C10="",'Données projet'!C10=0%),0,Calculateur!AN3)</f>
        <v>205.97834462530136</v>
      </c>
      <c r="D7" s="156">
        <f>IF(OR('Données projet'!B10="",'Données projet'!C10="",'Données projet'!C10=0%),0,Calculateur!AO3)</f>
        <v>235.08005253775002</v>
      </c>
      <c r="E7" s="156">
        <f t="shared" ref="E7:E15" ca="1" si="0">MIN(C7,D7)</f>
        <v>205.97834462530136</v>
      </c>
      <c r="F7" s="156">
        <f t="shared" ref="F7:F15" ca="1" si="1">E7*B7</f>
        <v>254.16244682680883</v>
      </c>
      <c r="G7" s="156">
        <f ca="1">F7*(100%-'Données projet'!$C$24)*(100%-'Données projet'!$C$25)*(100%-'Données projet'!$C$26)*(100%-'Données projet'!$C$27)</f>
        <v>155.547417458007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28.997307999999997</v>
      </c>
      <c r="K7" s="160">
        <f>J7*(100%-'Données projet'!$C$24)*(100%-'Données projet'!$C$25)*(100%-'Données projet'!$C$26)*(100%-'Données projet'!$C$27)</f>
        <v>17.746352496</v>
      </c>
      <c r="L7" s="161">
        <f t="shared" ref="L7:L15" ca="1" si="2">G7+I7+K7</f>
        <v>173.29376995400702</v>
      </c>
      <c r="M7" s="25">
        <f ca="1">L7/B7</f>
        <v>140.44074691068445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4678.6985314034382</v>
      </c>
      <c r="G16" s="175">
        <f t="shared" ca="1" si="3"/>
        <v>2863.3635012189043</v>
      </c>
      <c r="H16" s="176">
        <f t="shared" si="3"/>
        <v>229.28710270382911</v>
      </c>
      <c r="I16" s="176">
        <f t="shared" si="3"/>
        <v>140.32370685474342</v>
      </c>
      <c r="J16" s="177">
        <f t="shared" si="3"/>
        <v>1830.0677983200001</v>
      </c>
      <c r="K16" s="177">
        <f t="shared" si="3"/>
        <v>1120.0014925718401</v>
      </c>
      <c r="L16" s="178">
        <f t="shared" ca="1" si="3"/>
        <v>4123.6887006454872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rouge d'Amérique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0" zoomScale="90" zoomScaleNormal="90" workbookViewId="0">
      <selection activeCell="F54" sqref="F54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28.006072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rouge d'Amérique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1.2339279999999999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/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15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19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54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38</v>
      </c>
      <c r="B27" s="193">
        <f>'Données projet'!D40</f>
        <v>338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rouge d'Amérique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/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/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32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25</v>
      </c>
      <c r="B55" s="193">
        <f>'Données projet'!D63</f>
        <v>31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31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35</v>
      </c>
      <c r="B57" s="193">
        <f>'Données projet'!D65</f>
        <v>30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40</v>
      </c>
      <c r="B58" s="193">
        <f>'Données projet'!D66</f>
        <v>28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45</v>
      </c>
      <c r="B59" s="193">
        <f>'Données projet'!D67</f>
        <v>26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50</v>
      </c>
      <c r="B60" s="193">
        <f>'Données projet'!D68</f>
        <v>24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55</v>
      </c>
      <c r="B61" s="193">
        <f>'Données projet'!D69</f>
        <v>21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60</v>
      </c>
      <c r="B62" s="193">
        <f>'Données projet'!D70</f>
        <v>19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65</v>
      </c>
      <c r="B63" s="193">
        <f>'Données projet'!D71</f>
        <v>17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70</v>
      </c>
      <c r="B64" s="193">
        <f>'Données projet'!D72</f>
        <v>15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75</v>
      </c>
      <c r="B65" s="193">
        <f>'Données projet'!D73</f>
        <v>13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80</v>
      </c>
      <c r="B66" s="193">
        <f>'Données projet'!D74</f>
        <v>11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85</v>
      </c>
      <c r="B67" s="193">
        <f>'Données projet'!D75</f>
        <v>10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90</v>
      </c>
      <c r="B68" s="193">
        <f>'Données projet'!D76</f>
        <v>214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str">
        <f>IF(O71+1&lt;=MIN('Données projet'!$E$9:$E$18),O71+1,"STOP")</f>
        <v>STOP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4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20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20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20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19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17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16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55</v>
      </c>
      <c r="B92" s="193">
        <f>'Données projet'!D95</f>
        <v>14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60</v>
      </c>
      <c r="B93" s="193">
        <f>'Données projet'!D96</f>
        <v>13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65</v>
      </c>
      <c r="B94" s="193">
        <f>'Données projet'!D97</f>
        <v>11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70</v>
      </c>
      <c r="B95" s="193">
        <f>'Données projet'!D98</f>
        <v>10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75</v>
      </c>
      <c r="B96" s="193">
        <f>'Données projet'!D99</f>
        <v>9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80</v>
      </c>
      <c r="B97" s="193">
        <f>'Données projet'!D100</f>
        <v>8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85</v>
      </c>
      <c r="B98" s="193">
        <f>'Données projet'!D101</f>
        <v>7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90</v>
      </c>
      <c r="B99" s="193">
        <f>'Données projet'!D102</f>
        <v>171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2024-09-19T14:44:44Z</dcterms:modified>
</cp:coreProperties>
</file>