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LA ROCHE CHALAIS - LD T1-T2-T3\18 313 168 Roche-Chalais T2\"/>
    </mc:Choice>
  </mc:AlternateContent>
  <xr:revisionPtr revIDLastSave="0" documentId="13_ncr:1_{CF0A833D-AC46-4584-BC46-7CB5E3819B8D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2" i="1" l="1"/>
  <c r="B171" i="1"/>
  <c r="B170" i="1"/>
  <c r="B169" i="1"/>
  <c r="B168" i="1"/>
  <c r="B167" i="1"/>
  <c r="B124" i="1" l="1"/>
  <c r="D124" i="1" s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47" i="1" l="1"/>
  <c r="D147" i="1" s="1"/>
  <c r="D146" i="1"/>
  <c r="D145" i="1"/>
  <c r="D144" i="1"/>
  <c r="D143" i="1"/>
  <c r="D142" i="1"/>
  <c r="D141" i="1"/>
  <c r="D172" i="1"/>
  <c r="D171" i="1"/>
  <c r="D170" i="1"/>
  <c r="D169" i="1"/>
  <c r="D168" i="1"/>
  <c r="D167" i="1"/>
  <c r="B98" i="1"/>
  <c r="D98" i="1" s="1"/>
  <c r="D97" i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J154" i="2" s="1"/>
  <c r="HH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AC154" i="2"/>
  <c r="ED154" i="2"/>
  <c r="HH155" i="2"/>
  <c r="EW155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D155" i="2" l="1"/>
  <c r="FS156" i="2"/>
  <c r="HH156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EY159" i="2"/>
  <c r="HI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HG163" i="2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HH164" i="2" l="1"/>
  <c r="HG164" i="2"/>
  <c r="FS164" i="2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EC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DF179" i="2"/>
  <c r="EA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FS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B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HG186" i="2"/>
  <c r="EA186" i="2"/>
  <c r="HH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B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HH201" i="2" l="1"/>
  <c r="ED200" i="2"/>
  <c r="DI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G202" i="2"/>
  <c r="FR202" i="2"/>
  <c r="HH202" i="2"/>
  <c r="ED201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CS137" i="2" a="1"/>
  <c r="CS137" i="2" s="1"/>
  <c r="CS185" i="2" a="1"/>
  <c r="CS185" i="2" s="1"/>
  <c r="CS24" i="2" a="1"/>
  <c r="CS24" i="2" s="1"/>
  <c r="CS52" i="2" a="1"/>
  <c r="CS52" i="2" s="1"/>
  <c r="CS114" i="2" a="1"/>
  <c r="CS114" i="2" s="1"/>
  <c r="CS38" i="2" a="1"/>
  <c r="CS38" i="2" s="1"/>
  <c r="CS72" i="2" a="1"/>
  <c r="CS72" i="2" s="1"/>
  <c r="CS105" i="2" a="1"/>
  <c r="CS105" i="2" s="1"/>
  <c r="CS66" i="2" a="1"/>
  <c r="CS66" i="2" s="1"/>
  <c r="CS56" i="2" a="1"/>
  <c r="CS56" i="2" s="1"/>
  <c r="CS116" i="2" a="1"/>
  <c r="CS116" i="2" s="1"/>
  <c r="CS161" i="2" a="1"/>
  <c r="CS161" i="2" s="1"/>
  <c r="CS134" i="2" a="1"/>
  <c r="CS134" i="2" s="1"/>
  <c r="CS120" i="2" a="1"/>
  <c r="CS120" i="2" s="1"/>
  <c r="CS77" i="2" a="1"/>
  <c r="CS77" i="2" s="1"/>
  <c r="EI35" i="2" a="1"/>
  <c r="EI35" i="2" s="1"/>
  <c r="EI153" i="2" a="1"/>
  <c r="EI153" i="2" s="1"/>
  <c r="EI34" i="2" a="1"/>
  <c r="EI34" i="2" s="1"/>
  <c r="AH163" i="2" a="1"/>
  <c r="AH163" i="2" s="1"/>
  <c r="AH62" i="2" a="1"/>
  <c r="AH62" i="2" s="1"/>
  <c r="EI139" i="2" a="1"/>
  <c r="EI139" i="2" s="1"/>
  <c r="EI165" i="2" a="1"/>
  <c r="EI165" i="2" s="1"/>
  <c r="EI142" i="2" a="1"/>
  <c r="EI142" i="2" s="1"/>
  <c r="EI166" i="2" a="1"/>
  <c r="EI166" i="2" s="1"/>
  <c r="EI71" i="2" a="1"/>
  <c r="EI71" i="2" s="1"/>
  <c r="EI178" i="2" a="1"/>
  <c r="EI178" i="2" s="1"/>
  <c r="EI198" i="2" a="1"/>
  <c r="EI198" i="2" s="1"/>
  <c r="EI170" i="2" a="1"/>
  <c r="EI170" i="2" s="1"/>
  <c r="EI57" i="2" a="1"/>
  <c r="EI57" i="2" s="1"/>
  <c r="EI145" i="2" a="1"/>
  <c r="EI145" i="2" s="1"/>
  <c r="FY90" i="2" a="1"/>
  <c r="FY90" i="2" s="1"/>
  <c r="EI67" i="2" a="1"/>
  <c r="EI67" i="2" s="1"/>
  <c r="EI16" i="2" a="1"/>
  <c r="EI16" i="2" s="1"/>
  <c r="EI36" i="2" a="1"/>
  <c r="EI36" i="2" s="1"/>
  <c r="EI162" i="2" a="1"/>
  <c r="EI162" i="2" s="1"/>
  <c r="FY57" i="2" a="1"/>
  <c r="FY57" i="2" s="1"/>
  <c r="EI113" i="2" a="1"/>
  <c r="EI113" i="2" s="1"/>
  <c r="EI87" i="2" a="1"/>
  <c r="EI87" i="2" s="1"/>
  <c r="EI150" i="2" a="1"/>
  <c r="EI150" i="2" s="1"/>
  <c r="EI128" i="2" a="1"/>
  <c r="EI128" i="2" s="1"/>
  <c r="EI109" i="2" a="1"/>
  <c r="EI109" i="2" s="1"/>
  <c r="EI195" i="2" a="1"/>
  <c r="EI195" i="2" s="1"/>
  <c r="EI29" i="2" a="1"/>
  <c r="EI29" i="2" s="1"/>
  <c r="EI37" i="2" a="1"/>
  <c r="EI37" i="2" s="1"/>
  <c r="EI20" i="2" a="1"/>
  <c r="EI20" i="2" s="1"/>
  <c r="EI38" i="2" a="1"/>
  <c r="EI38" i="2" s="1"/>
  <c r="EI106" i="2" a="1"/>
  <c r="EI106" i="2" s="1"/>
  <c r="FY165" i="2" a="1"/>
  <c r="FY165" i="2" s="1"/>
  <c r="FY109" i="2" a="1"/>
  <c r="FY109" i="2" s="1"/>
  <c r="AH92" i="2" a="1"/>
  <c r="AH92" i="2" s="1"/>
  <c r="AH199" i="2" a="1"/>
  <c r="AH199" i="2" s="1"/>
  <c r="AH166" i="2" a="1"/>
  <c r="AH166" i="2" s="1"/>
  <c r="AH19" i="2" a="1"/>
  <c r="AH19" i="2" s="1"/>
  <c r="AH90" i="2" a="1"/>
  <c r="AH90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39" i="2" l="1"/>
  <c r="CD7" i="2"/>
  <c r="CD60" i="2"/>
  <c r="CD137" i="2"/>
  <c r="CD21" i="2"/>
  <c r="CD185" i="2"/>
  <c r="CD15" i="2"/>
  <c r="CD97" i="2"/>
  <c r="CD68" i="2"/>
  <c r="CD23" i="2"/>
  <c r="CD13" i="2"/>
  <c r="CD194" i="2"/>
  <c r="CD156" i="2"/>
  <c r="CD42" i="2"/>
  <c r="CD121" i="2"/>
  <c r="CD17" i="2"/>
  <c r="CD78" i="2"/>
  <c r="CD118" i="2"/>
  <c r="CD120" i="2"/>
  <c r="CD181" i="2"/>
  <c r="CD183" i="2"/>
  <c r="CD26" i="2"/>
  <c r="CD85" i="2"/>
  <c r="CD58" i="2"/>
  <c r="CD203" i="2"/>
  <c r="CD12" i="2"/>
  <c r="CD165" i="2"/>
  <c r="CD75" i="2"/>
  <c r="CD179" i="2"/>
  <c r="CD30" i="2"/>
  <c r="CD128" i="2"/>
  <c r="CD163" i="2"/>
  <c r="CD44" i="2"/>
  <c r="CD153" i="2"/>
  <c r="CD148" i="2"/>
  <c r="CD31" i="2"/>
  <c r="CD198" i="2"/>
  <c r="CD182" i="2"/>
  <c r="CD16" i="2"/>
  <c r="CD94" i="2"/>
  <c r="CD158" i="2"/>
  <c r="CD102" i="2"/>
  <c r="CD155" i="2"/>
  <c r="CD65" i="2"/>
  <c r="CD51" i="2"/>
  <c r="CD195" i="2"/>
  <c r="CD123" i="2"/>
  <c r="CD107" i="2"/>
  <c r="CD110" i="2"/>
  <c r="CD101" i="2"/>
  <c r="CD134" i="2"/>
  <c r="CD10" i="2"/>
  <c r="CD160" i="2"/>
  <c r="CD176" i="2"/>
  <c r="CD142" i="2"/>
  <c r="CD135" i="2"/>
  <c r="CD29" i="2"/>
  <c r="CD28" i="2"/>
  <c r="CD77" i="2"/>
  <c r="CD167" i="2"/>
  <c r="CD71" i="2"/>
  <c r="CD115" i="2"/>
  <c r="CD138" i="2"/>
  <c r="CD49" i="2"/>
  <c r="CD50" i="2"/>
  <c r="CD177" i="2"/>
  <c r="CD37" i="2"/>
  <c r="CD67" i="2"/>
  <c r="CD43" i="2"/>
  <c r="CD22" i="2"/>
  <c r="CD34" i="2"/>
  <c r="CD79" i="2"/>
  <c r="CD81" i="2"/>
  <c r="CD104" i="2"/>
  <c r="CD24" i="2"/>
  <c r="CD18" i="2"/>
  <c r="CD166" i="2"/>
  <c r="CD188" i="2"/>
  <c r="CD141" i="2"/>
  <c r="CD56" i="2"/>
  <c r="CD95" i="2"/>
  <c r="CD72" i="2"/>
  <c r="CD61" i="2"/>
  <c r="CD180" i="2"/>
  <c r="CD93" i="2"/>
  <c r="CD25" i="2"/>
  <c r="CD4" i="2"/>
  <c r="CD132" i="2"/>
  <c r="CD73" i="2"/>
  <c r="CD144" i="2"/>
  <c r="CD19" i="2"/>
  <c r="CD191" i="2"/>
  <c r="CD202" i="2"/>
  <c r="CD111" i="2"/>
  <c r="CD69" i="2"/>
  <c r="CD91" i="2"/>
  <c r="CD150" i="2"/>
  <c r="CD116" i="2"/>
  <c r="CD99" i="2"/>
  <c r="CD151" i="2"/>
  <c r="CD197" i="2"/>
  <c r="CD190" i="2"/>
  <c r="CD98" i="2"/>
  <c r="CD57" i="2"/>
  <c r="CD66" i="2"/>
  <c r="CD47" i="2"/>
  <c r="CD82" i="2"/>
  <c r="CD196" i="2"/>
  <c r="CD74" i="2"/>
  <c r="CD162" i="2"/>
  <c r="CD200" i="2"/>
  <c r="CD55" i="2"/>
  <c r="CD46" i="2"/>
  <c r="CD109" i="2"/>
  <c r="CD89" i="2"/>
  <c r="CD178" i="2"/>
  <c r="CD164" i="2"/>
  <c r="CD83" i="2"/>
  <c r="CD112" i="2"/>
  <c r="CD41" i="2"/>
  <c r="CD184" i="2"/>
  <c r="CD199" i="2"/>
  <c r="CD8" i="2"/>
  <c r="CD106" i="2"/>
  <c r="CD126" i="2"/>
  <c r="CD48" i="2"/>
  <c r="CD186" i="2"/>
  <c r="CD38" i="2"/>
  <c r="CD124" i="2"/>
  <c r="CD54" i="2"/>
  <c r="CD114" i="2"/>
  <c r="CD168" i="2"/>
  <c r="CD92" i="2"/>
  <c r="CD53" i="2"/>
  <c r="CD14" i="2"/>
  <c r="CD32" i="2"/>
  <c r="CD169" i="2"/>
  <c r="CD127" i="2"/>
  <c r="CD130" i="2"/>
  <c r="CD159" i="2"/>
  <c r="CD63" i="2"/>
  <c r="CD62" i="2"/>
  <c r="CD33" i="2"/>
  <c r="CD108" i="2"/>
  <c r="CD27" i="2"/>
  <c r="CD113" i="2"/>
  <c r="CD36" i="2"/>
  <c r="CD35" i="2"/>
  <c r="CD11" i="2"/>
  <c r="CD96" i="2"/>
  <c r="CD119" i="2"/>
  <c r="CD170" i="2"/>
  <c r="CD131" i="2"/>
  <c r="CD193" i="2"/>
  <c r="CD6" i="2"/>
  <c r="CD20" i="2"/>
  <c r="CD86" i="2"/>
  <c r="CD175" i="2"/>
  <c r="CD189" i="2"/>
  <c r="CD100" i="2"/>
  <c r="CD173" i="2"/>
  <c r="CD5" i="2"/>
  <c r="CD76" i="2"/>
  <c r="CD136" i="2"/>
  <c r="CD149" i="2"/>
  <c r="CD117" i="2"/>
  <c r="CD125" i="2"/>
  <c r="CD9" i="2"/>
  <c r="CD40" i="2"/>
  <c r="CD139" i="2"/>
  <c r="CD192" i="2"/>
  <c r="CD140" i="2"/>
  <c r="CD157" i="2"/>
  <c r="CD88" i="2"/>
  <c r="CD52" i="2"/>
  <c r="CD201" i="2"/>
  <c r="CD154" i="2"/>
  <c r="CD129" i="2"/>
  <c r="CD152" i="2"/>
  <c r="CD147" i="2"/>
  <c r="CD3" i="2"/>
  <c r="C9" i="4" s="1"/>
  <c r="E9" i="4" s="1"/>
  <c r="F9" i="4" s="1"/>
  <c r="G9" i="4" s="1"/>
  <c r="L9" i="4" s="1"/>
  <c r="CD187" i="2"/>
  <c r="CD174" i="2"/>
  <c r="CD80" i="2"/>
  <c r="CD90" i="2"/>
  <c r="CD172" i="2"/>
  <c r="CD84" i="2"/>
  <c r="CD87" i="2"/>
  <c r="CD143" i="2"/>
  <c r="CD145" i="2"/>
  <c r="CD59" i="2"/>
  <c r="CD161" i="2"/>
  <c r="CD133" i="2"/>
  <c r="CD171" i="2"/>
  <c r="CD70" i="2"/>
  <c r="CD45" i="2"/>
  <c r="CD146" i="2"/>
  <c r="CD122" i="2"/>
  <c r="CD105" i="2"/>
  <c r="CD103" i="2"/>
  <c r="CD6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8" i="2"/>
  <c r="BI73" i="2"/>
  <c r="BI158" i="2"/>
  <c r="BI174" i="2"/>
  <c r="BI58" i="2"/>
  <c r="BI182" i="2"/>
  <c r="BI110" i="2"/>
  <c r="BI75" i="2"/>
  <c r="BI15" i="2"/>
  <c r="BI32" i="2"/>
  <c r="BI177" i="2"/>
  <c r="BI9" i="2"/>
  <c r="BI71" i="2"/>
  <c r="BI45" i="2"/>
  <c r="BI132" i="2"/>
  <c r="BI67" i="2"/>
  <c r="BI92" i="2"/>
  <c r="BI111" i="2"/>
  <c r="BI199" i="2"/>
  <c r="BI94" i="2"/>
  <c r="BI89" i="2"/>
  <c r="BI117" i="2"/>
  <c r="BI19" i="2"/>
  <c r="BI57" i="2"/>
  <c r="BI23" i="2"/>
  <c r="BI29" i="2"/>
  <c r="BI74" i="2"/>
  <c r="BI191" i="2"/>
  <c r="BI168" i="2"/>
  <c r="BI93" i="2"/>
  <c r="BI121" i="2"/>
  <c r="BI106" i="2"/>
  <c r="BI79" i="2"/>
  <c r="BI196" i="2"/>
  <c r="BI85" i="2"/>
  <c r="BI164" i="2"/>
  <c r="BI149" i="2"/>
  <c r="BI13" i="2"/>
  <c r="BI116" i="2"/>
  <c r="BI76" i="2"/>
  <c r="BI127" i="2"/>
  <c r="BI178" i="2"/>
  <c r="BI6" i="2"/>
  <c r="BI66" i="2"/>
  <c r="BI114" i="2"/>
  <c r="BI5" i="2"/>
  <c r="BI173" i="2"/>
  <c r="BI170" i="2"/>
  <c r="BI189" i="2"/>
  <c r="BI133" i="2"/>
  <c r="BI165" i="2"/>
  <c r="BI44" i="2"/>
  <c r="BI86" i="2"/>
  <c r="BI143" i="2"/>
  <c r="BI33" i="2"/>
  <c r="BI115" i="2"/>
  <c r="BI10" i="2"/>
  <c r="BI11" i="2"/>
  <c r="BI194" i="2"/>
  <c r="BI112" i="2"/>
  <c r="BI53" i="2"/>
  <c r="BI42" i="2"/>
  <c r="BI109" i="2"/>
  <c r="BI39" i="2"/>
  <c r="BI113" i="2"/>
  <c r="BI156" i="2"/>
  <c r="BI34" i="2"/>
  <c r="BI134" i="2"/>
  <c r="BI24" i="2"/>
  <c r="BI97" i="2"/>
  <c r="BI35" i="2"/>
  <c r="BI82" i="2"/>
  <c r="BI197" i="2"/>
  <c r="BI40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46" i="2"/>
  <c r="BI131" i="2"/>
  <c r="BI21" i="2"/>
  <c r="BI138" i="2"/>
  <c r="BI101" i="2"/>
  <c r="BI7" i="2"/>
  <c r="BI51" i="2"/>
  <c r="BI146" i="2"/>
  <c r="BI186" i="2"/>
  <c r="BI195" i="2"/>
  <c r="BI60" i="2"/>
  <c r="BI49" i="2"/>
  <c r="BI65" i="2"/>
  <c r="BI26" i="2"/>
  <c r="BI142" i="2"/>
  <c r="BI122" i="2"/>
  <c r="BI151" i="2"/>
  <c r="BI20" i="2"/>
  <c r="BI200" i="2"/>
  <c r="BI126" i="2"/>
  <c r="BI36" i="2"/>
  <c r="BI70" i="2"/>
  <c r="BI180" i="2"/>
  <c r="BI124" i="2"/>
  <c r="BI184" i="2"/>
  <c r="BI98" i="2"/>
  <c r="BI84" i="2"/>
  <c r="BI118" i="2"/>
  <c r="BI28" i="2"/>
  <c r="BI37" i="2"/>
  <c r="BI161" i="2"/>
  <c r="BI172" i="2"/>
  <c r="BI157" i="2"/>
  <c r="BI4" i="2"/>
  <c r="BI192" i="2"/>
  <c r="BI163" i="2"/>
  <c r="BI50" i="2"/>
  <c r="BI90" i="2"/>
  <c r="BI155" i="2"/>
  <c r="BI130" i="2"/>
  <c r="BI16" i="2"/>
  <c r="BI179" i="2"/>
  <c r="BI96" i="2"/>
  <c r="BI27" i="2"/>
  <c r="BI103" i="2"/>
  <c r="BI171" i="2"/>
  <c r="BI139" i="2"/>
  <c r="BI137" i="2"/>
  <c r="BI41" i="2"/>
  <c r="BI123" i="2"/>
  <c r="BI63" i="2"/>
  <c r="BI38" i="2"/>
  <c r="BI202" i="2"/>
  <c r="BI125" i="2"/>
  <c r="BI30" i="2"/>
  <c r="BI17" i="2"/>
  <c r="BI159" i="2"/>
  <c r="BI8" i="2"/>
  <c r="BI160" i="2"/>
  <c r="BI62" i="2"/>
  <c r="BI148" i="2"/>
  <c r="BI150" i="2"/>
  <c r="BI78" i="2"/>
  <c r="BI25" i="2"/>
  <c r="BI187" i="2"/>
  <c r="BI166" i="2"/>
  <c r="BI190" i="2"/>
  <c r="BI119" i="2"/>
  <c r="BI162" i="2"/>
  <c r="BI141" i="2"/>
  <c r="BI55" i="2"/>
  <c r="BI140" i="2"/>
  <c r="BI176" i="2"/>
  <c r="BI80" i="2"/>
  <c r="BI193" i="2"/>
  <c r="BI52" i="2"/>
  <c r="BI104" i="2"/>
  <c r="BI31" i="2"/>
  <c r="BI201" i="2"/>
  <c r="BI169" i="2"/>
  <c r="BI154" i="2"/>
  <c r="BI198" i="2"/>
  <c r="BI105" i="2"/>
  <c r="BI135" i="2"/>
  <c r="BI69" i="2"/>
  <c r="BI14" i="2"/>
  <c r="BI147" i="2"/>
  <c r="BI88" i="2"/>
  <c r="BI100" i="2"/>
  <c r="BI153" i="2"/>
  <c r="BI152" i="2"/>
  <c r="BI12" i="2"/>
  <c r="BI48" i="2"/>
  <c r="BI64" i="2"/>
  <c r="BI175" i="2"/>
  <c r="BI107" i="2"/>
  <c r="BI61" i="2"/>
  <c r="BI136" i="2"/>
  <c r="BI22" i="2"/>
  <c r="BI167" i="2"/>
  <c r="BI183" i="2"/>
  <c r="BI102" i="2"/>
  <c r="BI95" i="2"/>
  <c r="BI129" i="2"/>
  <c r="BI83" i="2"/>
  <c r="BI203" i="2"/>
  <c r="BI72" i="2"/>
  <c r="BI59" i="2"/>
  <c r="BI77" i="2"/>
  <c r="BI68" i="2"/>
  <c r="BI188" i="2"/>
  <c r="BI144" i="2"/>
  <c r="BI87" i="2"/>
  <c r="BI81" i="2"/>
  <c r="BI145" i="2"/>
  <c r="BI91" i="2"/>
  <c r="BI1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<sst xmlns="http://schemas.openxmlformats.org/spreadsheetml/2006/main" count="1187" uniqueCount="331">
  <si>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</si>
  <si>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</si>
  <si>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</si>
  <si>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</si>
  <si>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</si>
  <si>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</si>
  <si>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</si>
  <si>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</si>
  <si>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</si>
  <si>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</si>
  <si>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</si>
  <si>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</si>
  <si>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</si>
  <si>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</si>
  <si>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</si>
  <si>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</si>
  <si>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</si>
  <si>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</si>
  <si>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</si>
  <si>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</si>
  <si>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</si>
  <si>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</si>
  <si>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</si>
  <si>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</si>
  <si>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</si>
  <si>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</si>
  <si>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</si>
  <si>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</si>
  <si>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</si>
  <si>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</si>
  <si>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</si>
  <si>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</si>
  <si>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</si>
  <si>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</si>
  <si>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</si>
  <si>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</si>
  <si>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</si>
  <si>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</si>
  <si>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</si>
  <si>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</si>
  <si>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</si>
  <si>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</si>
  <si>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</si>
  <si>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</si>
  <si>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</si>
  <si>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</si>
  <si>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</si>
  <si>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</si>
  <si>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</si>
  <si>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</si>
  <si>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</si>
  <si>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</si>
  <si>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</si>
  <si>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</si>
  <si>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</si>
  <si>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</si>
  <si>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</si>
  <si>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</si>
  <si>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</si>
  <si>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</si>
  <si>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</si>
  <si>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</si>
  <si>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</si>
  <si>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</si>
  <si>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</si>
  <si>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</si>
  <si>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</si>
  <si>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</si>
  <si>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</si>
  <si>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</si>
  <si>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</si>
  <si>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</si>
  <si>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</si>
  <si>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</si>
  <si>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</si>
  <si>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</si>
  <si>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</si>
  <si>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</si>
  <si>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</si>
  <si>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</si>
  <si>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</si>
  <si>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</si>
  <si>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</si>
  <si>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</si>
  <si>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</si>
  <si>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</si>
  <si>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</si>
  <si>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</si>
  <si>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</si>
  <si>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</si>
  <si>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</si>
  <si>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</si>
  <si>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</si>
  <si>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</si>
  <si>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</si>
  <si>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</si>
  <si>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</si>
  <si>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</si>
  <si>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</si>
  <si>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</si>
  <si>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</si>
  <si>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</si>
  <si>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</si>
  <si>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</si>
  <si>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</si>
  <si>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</si>
  <si>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</si>
  <si>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</si>
  <si>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</si>
  <si>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</si>
  <si>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</si>
  <si>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</si>
  <si>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</si>
  <si>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</si>
  <si>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</si>
  <si>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</si>
  <si>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</si>
  <si>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</si>
  <si>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</si>
  <si>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</si>
  <si>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</si>
  <si>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</si>
  <si>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</si>
  <si>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</si>
  <si>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</si>
  <si>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</si>
  <si>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</si>
  <si>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</si>
  <si>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</si>
  <si>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</si>
  <si>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</si>
  <si>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</si>
  <si>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</si>
  <si>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</si>
  <si>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</si>
  <si>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</si>
  <si>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</si>
  <si>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</si>
  <si>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</si>
  <si>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</si>
  <si>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</si>
  <si>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</si>
  <si>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</si>
  <si>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</si>
  <si>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</si>
  <si>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</si>
  <si>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</si>
  <si>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</si>
  <si>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</si>
  <si>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</si>
  <si>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</si>
  <si>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</si>
  <si>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</si>
  <si>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</si>
  <si>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</si>
  <si>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</si>
  <si>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</si>
  <si>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</si>
  <si>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</si>
  <si>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</si>
  <si>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</si>
  <si>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</si>
  <si>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</si>
  <si>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</si>
  <si>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</si>
  <si>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</si>
  <si>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</si>
  <si>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</si>
  <si>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</si>
  <si>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</si>
  <si>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</si>
  <si>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</si>
  <si>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</si>
  <si>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</si>
  <si>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</si>
  <si>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</si>
  <si>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</si>
  <si>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</si>
  <si>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</si>
  <si>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</si>
  <si>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</si>
  <si>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</si>
  <si>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</si>
  <si>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</si>
  <si>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</si>
  <si>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</si>
  <si>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</si>
  <si>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</si>
  <si>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</si>
  <si>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</si>
  <si>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</si>
  <si>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</si>
  <si>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</si>
  <si>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</si>
  <si>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</si>
  <si>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</si>
  <si>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</si>
  <si>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</si>
  <si>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</si>
  <si>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</si>
  <si>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</si>
  <si>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</si>
  <si>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</si>
  <si>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</si>
  <si>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</si>
  <si>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</si>
  <si>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</si>
  <si>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</si>
  <si>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</si>
  <si>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</si>
  <si>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</si>
  <si>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</si>
  <si>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</si>
  <si>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</si>
  <si>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</si>
  <si>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</si>
  <si>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</si>
  <si>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</si>
  <si>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</si>
  <si>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</si>
  <si>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</si>
  <si>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</si>
  <si>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</si>
  <si>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</si>
  <si>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</si>
  <si>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</si>
  <si>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</si>
  <si>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</si>
  <si>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</si>
  <si>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</si>
  <si>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</si>
  <si>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</si>
  <si>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</si>
  <si>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</si>
  <si>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</si>
  <si>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</si>
  <si>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</si>
  <si>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</si>
  <si>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</si>
  <si>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</si>
  <si>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</si>
  <si>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</si>
  <si>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</si>
  <si>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</si>
  <si>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</si>
  <si>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</si>
  <si>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</si>
  <si>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</si>
  <si>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</si>
  <si>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</si>
  <si>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</si>
  <si>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</si>
  <si>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</si>
  <si>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</si>
  <si>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</si>
  <si>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</si>
  <si>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</si>
  <si>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</si>
  <si>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</si>
  <si>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</si>
  <si>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</si>
  <si>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</si>
  <si>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</si>
  <si>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</si>
  <si>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</si>
  <si>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</si>
  <si>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</si>
  <si>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</si>
  <si>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</si>
  <si>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</si>
  <si>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</si>
  <si>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</si>
  <si>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</si>
  <si>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</si>
  <si>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</si>
  <si>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</si>
  <si>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</si>
  <si>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</si>
  <si>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</si>
  <si>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</si>
  <si>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</si>
  <si>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</si>
  <si>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</si>
  <si>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</si>
  <si>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</si>
  <si>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</si>
  <si>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</si>
  <si>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</si>
  <si>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</si>
  <si>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</si>
  <si>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</si>
  <si>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</si>
  <si>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</si>
  <si>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</si>
  <si>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</si>
  <si>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</si>
  <si>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</si>
  <si>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</si>
  <si>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</si>
  <si>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</si>
  <si>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</si>
  <si>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</si>
  <si>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</si>
  <si>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</si>
  <si>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</si>
  <si>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</si>
  <si>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</si>
  <si>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</si>
  <si>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</si>
  <si>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</si>
  <si>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</si>
  <si>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</si>
  <si>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</si>
  <si>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</si>
  <si>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</si>
  <si>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</si>
  <si>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</si>
  <si>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</si>
  <si>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</si>
  <si>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</si>
  <si>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</si>
  <si>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</si>
  <si>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</si>
  <si>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</si>
  <si>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Société Forestière - itinéraire Pin maritime à 35 ans FERTILITE 1</t>
  </si>
  <si>
    <t>fcbainfo-2018-10-eucalyptus-france-production-plantation-rotation-melun</t>
  </si>
  <si>
    <t>F2</t>
  </si>
  <si>
    <t>F1</t>
  </si>
  <si>
    <t>Forestry commission - Hamilton and Christies (1974) - Yield class 6/8</t>
  </si>
  <si>
    <t>Forestry commission - S. N. Pryor (1988) - Yield table good site</t>
  </si>
  <si>
    <t>Forestry commission - Hamilton and Christies (1974) - Yield class 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</si>
</sst>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2.1995092375622822</c:v>
                </c:pt>
                <c:pt idx="2">
                  <c:v>3.1201960009585821</c:v>
                </c:pt>
                <c:pt idx="3">
                  <c:v>4.4279612721284538</c:v>
                </c:pt>
                <c:pt idx="4">
                  <c:v>6.2862102636608661</c:v>
                </c:pt>
                <c:pt idx="5">
                  <c:v>8.9275926817150726</c:v>
                </c:pt>
                <c:pt idx="6">
                  <c:v>12.683448795481496</c:v>
                </c:pt>
                <c:pt idx="7">
                  <c:v>18.025817623106104</c:v>
                </c:pt>
                <c:pt idx="8">
                  <c:v>25.627382069427991</c:v>
                </c:pt>
                <c:pt idx="9">
                  <c:v>36.447031603097592</c:v>
                </c:pt>
                <c:pt idx="10">
                  <c:v>51.852020306034944</c:v>
                </c:pt>
                <c:pt idx="11">
                  <c:v>73.792414122794256</c:v>
                </c:pt>
                <c:pt idx="12">
                  <c:v>105.05026759960845</c:v>
                </c:pt>
                <c:pt idx="13">
                  <c:v>149.59562328645418</c:v>
                </c:pt>
                <c:pt idx="14">
                  <c:v>213.09524079266461</c:v>
                </c:pt>
                <c:pt idx="15">
                  <c:v>184.43708559229185</c:v>
                </c:pt>
                <c:pt idx="16">
                  <c:v>213.95569519699578</c:v>
                </c:pt>
                <c:pt idx="17">
                  <c:v>243.38042530319785</c:v>
                </c:pt>
                <c:pt idx="18">
                  <c:v>272.7242242833733</c:v>
                </c:pt>
                <c:pt idx="19">
                  <c:v>301.99702144987947</c:v>
                </c:pt>
                <c:pt idx="20">
                  <c:v>331.20666216725641</c:v>
                </c:pt>
                <c:pt idx="21">
                  <c:v>261.59527644833929</c:v>
                </c:pt>
                <c:pt idx="22">
                  <c:v>284.27041035747783</c:v>
                </c:pt>
                <c:pt idx="23">
                  <c:v>306.9050523897962</c:v>
                </c:pt>
                <c:pt idx="24">
                  <c:v>329.50260723149029</c:v>
                </c:pt>
                <c:pt idx="25">
                  <c:v>352.06597448609381</c:v>
                </c:pt>
                <c:pt idx="26">
                  <c:v>374.59765184914085</c:v>
                </c:pt>
                <c:pt idx="27">
                  <c:v>397.09981214121757</c:v>
                </c:pt>
                <c:pt idx="28">
                  <c:v>419.57436195875334</c:v>
                </c:pt>
                <c:pt idx="29">
                  <c:v>442.02298709837561</c:v>
                </c:pt>
                <c:pt idx="30">
                  <c:v>464.44718827106709</c:v>
                </c:pt>
                <c:pt idx="31">
                  <c:v>486.84830955966549</c:v>
                </c:pt>
                <c:pt idx="32">
                  <c:v>509.2275613667544</c:v>
                </c:pt>
                <c:pt idx="33">
                  <c:v>531.58603911963144</c:v>
                </c:pt>
                <c:pt idx="34">
                  <c:v>553.92473866577609</c:v>
                </c:pt>
                <c:pt idx="35">
                  <c:v>576.24456905681143</c:v>
                </c:pt>
                <c:pt idx="36">
                  <c:v>3.669434796176543E-12</c:v>
                </c:pt>
                <c:pt idx="37">
                  <c:v>3.669434796176543E-12</c:v>
                </c:pt>
                <c:pt idx="38">
                  <c:v>3.669434796176543E-12</c:v>
                </c:pt>
                <c:pt idx="39">
                  <c:v>3.669434796176543E-12</c:v>
                </c:pt>
                <c:pt idx="40">
                  <c:v>3.669434796176543E-12</c:v>
                </c:pt>
                <c:pt idx="41">
                  <c:v>3.669434796176543E-12</c:v>
                </c:pt>
                <c:pt idx="42">
                  <c:v>3.669434796176543E-12</c:v>
                </c:pt>
                <c:pt idx="43">
                  <c:v>3.669434796176543E-12</c:v>
                </c:pt>
                <c:pt idx="44">
                  <c:v>3.669434796176543E-12</c:v>
                </c:pt>
                <c:pt idx="45">
                  <c:v>3.669434796176543E-12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3.7597510481290182</c:v>
                </c:pt>
                <c:pt idx="2">
                  <c:v>6.3333710616437919</c:v>
                </c:pt>
                <c:pt idx="3">
                  <c:v>10.677411184380063</c:v>
                </c:pt>
                <c:pt idx="4">
                  <c:v>18.015351993923787</c:v>
                </c:pt>
                <c:pt idx="5">
                  <c:v>30.419744520549642</c:v>
                </c:pt>
                <c:pt idx="6">
                  <c:v>51.40370739978605</c:v>
                </c:pt>
                <c:pt idx="7">
                  <c:v>86.925912459172935</c:v>
                </c:pt>
                <c:pt idx="8">
                  <c:v>147.0990076519991</c:v>
                </c:pt>
                <c:pt idx="9">
                  <c:v>249.09530925477461</c:v>
                </c:pt>
                <c:pt idx="10">
                  <c:v>422.09119450330417</c:v>
                </c:pt>
                <c:pt idx="11">
                  <c:v>104.61340870508918</c:v>
                </c:pt>
                <c:pt idx="12">
                  <c:v>163.91063857007143</c:v>
                </c:pt>
                <c:pt idx="13">
                  <c:v>222.69121239914068</c:v>
                </c:pt>
                <c:pt idx="14">
                  <c:v>281.1129136595859</c:v>
                </c:pt>
                <c:pt idx="15">
                  <c:v>339.26127825812574</c:v>
                </c:pt>
                <c:pt idx="16">
                  <c:v>397.18983794003793</c:v>
                </c:pt>
                <c:pt idx="17">
                  <c:v>454.93515661064185</c:v>
                </c:pt>
                <c:pt idx="18">
                  <c:v>512.52373647398701</c:v>
                </c:pt>
                <c:pt idx="19">
                  <c:v>569.97563343154809</c:v>
                </c:pt>
                <c:pt idx="20">
                  <c:v>627.30653137041782</c:v>
                </c:pt>
                <c:pt idx="21">
                  <c:v>134.24638938649051</c:v>
                </c:pt>
                <c:pt idx="22">
                  <c:v>201.75881092692791</c:v>
                </c:pt>
                <c:pt idx="23">
                  <c:v>268.73984484198553</c:v>
                </c:pt>
                <c:pt idx="24">
                  <c:v>335.34226803283241</c:v>
                </c:pt>
                <c:pt idx="25">
                  <c:v>401.65220435716373</c:v>
                </c:pt>
                <c:pt idx="26">
                  <c:v>467.72478587342516</c:v>
                </c:pt>
                <c:pt idx="27">
                  <c:v>533.59823448667294</c:v>
                </c:pt>
                <c:pt idx="28">
                  <c:v>599.30054929577238</c:v>
                </c:pt>
                <c:pt idx="29">
                  <c:v>664.85308800712107</c:v>
                </c:pt>
                <c:pt idx="30">
                  <c:v>730.27265615701106</c:v>
                </c:pt>
                <c:pt idx="31">
                  <c:v>77.474616883045101</c:v>
                </c:pt>
                <c:pt idx="32">
                  <c:v>77.474616883045101</c:v>
                </c:pt>
                <c:pt idx="33">
                  <c:v>77.474616883045101</c:v>
                </c:pt>
                <c:pt idx="34">
                  <c:v>77.474616883045101</c:v>
                </c:pt>
                <c:pt idx="35">
                  <c:v>77.474616883045101</c:v>
                </c:pt>
                <c:pt idx="36">
                  <c:v>77.474616883045101</c:v>
                </c:pt>
                <c:pt idx="37">
                  <c:v>77.474616883045101</c:v>
                </c:pt>
                <c:pt idx="38">
                  <c:v>77.474616883045101</c:v>
                </c:pt>
                <c:pt idx="39">
                  <c:v>77.474616883045101</c:v>
                </c:pt>
                <c:pt idx="40">
                  <c:v>77.474616883045101</c:v>
                </c:pt>
                <c:pt idx="41">
                  <c:v>77.474616883045101</c:v>
                </c:pt>
                <c:pt idx="42">
                  <c:v>77.474616883045101</c:v>
                </c:pt>
                <c:pt idx="43">
                  <c:v>77.474616883045101</c:v>
                </c:pt>
                <c:pt idx="44">
                  <c:v>77.474616883045101</c:v>
                </c:pt>
                <c:pt idx="45">
                  <c:v>77.474616883045101</c:v>
                </c:pt>
                <c:pt idx="46">
                  <c:v>77.474616883045101</c:v>
                </c:pt>
                <c:pt idx="47">
                  <c:v>77.474616883045101</c:v>
                </c:pt>
                <c:pt idx="48">
                  <c:v>77.474616883045101</c:v>
                </c:pt>
                <c:pt idx="49">
                  <c:v>77.474616883045101</c:v>
                </c:pt>
                <c:pt idx="50">
                  <c:v>77.474616883045101</c:v>
                </c:pt>
                <c:pt idx="51">
                  <c:v>77.474616883045101</c:v>
                </c:pt>
                <c:pt idx="52">
                  <c:v>77.474616883045101</c:v>
                </c:pt>
                <c:pt idx="53">
                  <c:v>77.474616883045101</c:v>
                </c:pt>
                <c:pt idx="54">
                  <c:v>77.474616883045101</c:v>
                </c:pt>
                <c:pt idx="55">
                  <c:v>77.474616883045101</c:v>
                </c:pt>
                <c:pt idx="56">
                  <c:v>77.474616883045101</c:v>
                </c:pt>
                <c:pt idx="57">
                  <c:v>77.474616883045101</c:v>
                </c:pt>
                <c:pt idx="58">
                  <c:v>77.474616883045101</c:v>
                </c:pt>
                <c:pt idx="59">
                  <c:v>77.474616883045101</c:v>
                </c:pt>
                <c:pt idx="60">
                  <c:v>77.474616883045101</c:v>
                </c:pt>
                <c:pt idx="61">
                  <c:v>77.474616883045101</c:v>
                </c:pt>
                <c:pt idx="62">
                  <c:v>77.474616883045101</c:v>
                </c:pt>
                <c:pt idx="63">
                  <c:v>77.474616883045101</c:v>
                </c:pt>
                <c:pt idx="64">
                  <c:v>77.474616883045101</c:v>
                </c:pt>
                <c:pt idx="65">
                  <c:v>77.474616883045101</c:v>
                </c:pt>
                <c:pt idx="66">
                  <c:v>77.474616883045101</c:v>
                </c:pt>
                <c:pt idx="67">
                  <c:v>77.474616883045101</c:v>
                </c:pt>
                <c:pt idx="68">
                  <c:v>77.474616883045101</c:v>
                </c:pt>
                <c:pt idx="69">
                  <c:v>77.474616883045101</c:v>
                </c:pt>
                <c:pt idx="70">
                  <c:v>77.474616883045101</c:v>
                </c:pt>
                <c:pt idx="71">
                  <c:v>77.474616883045101</c:v>
                </c:pt>
                <c:pt idx="72">
                  <c:v>77.474616883045101</c:v>
                </c:pt>
                <c:pt idx="73">
                  <c:v>77.474616883045101</c:v>
                </c:pt>
                <c:pt idx="74">
                  <c:v>77.474616883045101</c:v>
                </c:pt>
                <c:pt idx="75">
                  <c:v>77.474616883045101</c:v>
                </c:pt>
                <c:pt idx="76">
                  <c:v>77.474616883045101</c:v>
                </c:pt>
                <c:pt idx="77">
                  <c:v>77.474616883045101</c:v>
                </c:pt>
                <c:pt idx="78">
                  <c:v>77.474616883045101</c:v>
                </c:pt>
                <c:pt idx="79">
                  <c:v>77.474616883045101</c:v>
                </c:pt>
                <c:pt idx="80">
                  <c:v>77.474616883045101</c:v>
                </c:pt>
                <c:pt idx="81">
                  <c:v>77.474616883045101</c:v>
                </c:pt>
                <c:pt idx="82">
                  <c:v>77.474616883045101</c:v>
                </c:pt>
                <c:pt idx="83">
                  <c:v>77.474616883045101</c:v>
                </c:pt>
                <c:pt idx="84">
                  <c:v>77.474616883045101</c:v>
                </c:pt>
                <c:pt idx="85">
                  <c:v>77.474616883045101</c:v>
                </c:pt>
                <c:pt idx="86">
                  <c:v>77.474616883045101</c:v>
                </c:pt>
                <c:pt idx="87">
                  <c:v>77.474616883045101</c:v>
                </c:pt>
                <c:pt idx="88">
                  <c:v>77.474616883045101</c:v>
                </c:pt>
                <c:pt idx="89">
                  <c:v>77.474616883045101</c:v>
                </c:pt>
                <c:pt idx="90">
                  <c:v>77.474616883045101</c:v>
                </c:pt>
                <c:pt idx="91">
                  <c:v>77.474616883045101</c:v>
                </c:pt>
                <c:pt idx="92">
                  <c:v>77.474616883045101</c:v>
                </c:pt>
                <c:pt idx="93">
                  <c:v>77.474616883045101</c:v>
                </c:pt>
                <c:pt idx="94">
                  <c:v>77.474616883045101</c:v>
                </c:pt>
                <c:pt idx="95">
                  <c:v>77.474616883045101</c:v>
                </c:pt>
                <c:pt idx="96">
                  <c:v>77.474616883045101</c:v>
                </c:pt>
                <c:pt idx="97">
                  <c:v>77.474616883045101</c:v>
                </c:pt>
                <c:pt idx="98">
                  <c:v>77.474616883045101</c:v>
                </c:pt>
                <c:pt idx="99">
                  <c:v>77.474616883045101</c:v>
                </c:pt>
                <c:pt idx="100">
                  <c:v>77.474616883045101</c:v>
                </c:pt>
                <c:pt idx="101">
                  <c:v>77.474616883045101</c:v>
                </c:pt>
                <c:pt idx="102">
                  <c:v>77.474616883045101</c:v>
                </c:pt>
                <c:pt idx="103">
                  <c:v>77.474616883045101</c:v>
                </c:pt>
                <c:pt idx="104">
                  <c:v>77.474616883045101</c:v>
                </c:pt>
                <c:pt idx="105">
                  <c:v>77.474616883045101</c:v>
                </c:pt>
                <c:pt idx="106">
                  <c:v>77.474616883045101</c:v>
                </c:pt>
                <c:pt idx="107">
                  <c:v>77.474616883045101</c:v>
                </c:pt>
                <c:pt idx="108">
                  <c:v>77.474616883045101</c:v>
                </c:pt>
                <c:pt idx="109">
                  <c:v>77.474616883045101</c:v>
                </c:pt>
                <c:pt idx="110">
                  <c:v>77.474616883045101</c:v>
                </c:pt>
                <c:pt idx="111">
                  <c:v>77.474616883045101</c:v>
                </c:pt>
                <c:pt idx="112">
                  <c:v>77.474616883045101</c:v>
                </c:pt>
                <c:pt idx="113">
                  <c:v>77.474616883045101</c:v>
                </c:pt>
                <c:pt idx="114">
                  <c:v>77.474616883045101</c:v>
                </c:pt>
                <c:pt idx="115">
                  <c:v>77.474616883045101</c:v>
                </c:pt>
                <c:pt idx="116">
                  <c:v>77.474616883045101</c:v>
                </c:pt>
                <c:pt idx="117">
                  <c:v>77.474616883045101</c:v>
                </c:pt>
                <c:pt idx="118">
                  <c:v>77.474616883045101</c:v>
                </c:pt>
                <c:pt idx="119">
                  <c:v>77.474616883045101</c:v>
                </c:pt>
                <c:pt idx="120">
                  <c:v>77.474616883045101</c:v>
                </c:pt>
                <c:pt idx="121">
                  <c:v>77.474616883045101</c:v>
                </c:pt>
                <c:pt idx="122">
                  <c:v>77.474616883045101</c:v>
                </c:pt>
                <c:pt idx="123">
                  <c:v>77.474616883045101</c:v>
                </c:pt>
                <c:pt idx="124">
                  <c:v>77.474616883045101</c:v>
                </c:pt>
                <c:pt idx="125">
                  <c:v>77.474616883045101</c:v>
                </c:pt>
                <c:pt idx="126">
                  <c:v>77.474616883045101</c:v>
                </c:pt>
                <c:pt idx="127">
                  <c:v>77.474616883045101</c:v>
                </c:pt>
                <c:pt idx="128">
                  <c:v>77.474616883045101</c:v>
                </c:pt>
                <c:pt idx="129">
                  <c:v>77.474616883045101</c:v>
                </c:pt>
                <c:pt idx="130">
                  <c:v>77.474616883045101</c:v>
                </c:pt>
                <c:pt idx="131">
                  <c:v>77.474616883045101</c:v>
                </c:pt>
                <c:pt idx="132">
                  <c:v>77.474616883045101</c:v>
                </c:pt>
                <c:pt idx="133">
                  <c:v>77.474616883045101</c:v>
                </c:pt>
                <c:pt idx="134">
                  <c:v>77.474616883045101</c:v>
                </c:pt>
                <c:pt idx="135">
                  <c:v>77.474616883045101</c:v>
                </c:pt>
                <c:pt idx="136">
                  <c:v>77.474616883045101</c:v>
                </c:pt>
                <c:pt idx="137">
                  <c:v>77.474616883045101</c:v>
                </c:pt>
                <c:pt idx="138">
                  <c:v>77.474616883045101</c:v>
                </c:pt>
                <c:pt idx="139">
                  <c:v>77.474616883045101</c:v>
                </c:pt>
                <c:pt idx="140">
                  <c:v>77.474616883045101</c:v>
                </c:pt>
                <c:pt idx="141">
                  <c:v>77.474616883045101</c:v>
                </c:pt>
                <c:pt idx="142">
                  <c:v>77.474616883045101</c:v>
                </c:pt>
                <c:pt idx="143">
                  <c:v>77.474616883045101</c:v>
                </c:pt>
                <c:pt idx="144">
                  <c:v>77.474616883045101</c:v>
                </c:pt>
                <c:pt idx="145">
                  <c:v>77.474616883045101</c:v>
                </c:pt>
                <c:pt idx="146">
                  <c:v>77.474616883045101</c:v>
                </c:pt>
                <c:pt idx="147">
                  <c:v>77.474616883045101</c:v>
                </c:pt>
                <c:pt idx="148">
                  <c:v>77.474616883045101</c:v>
                </c:pt>
                <c:pt idx="149">
                  <c:v>77.474616883045101</c:v>
                </c:pt>
                <c:pt idx="150">
                  <c:v>77.474616883045101</c:v>
                </c:pt>
                <c:pt idx="151">
                  <c:v>77.474616883045101</c:v>
                </c:pt>
                <c:pt idx="152">
                  <c:v>77.474616883045101</c:v>
                </c:pt>
                <c:pt idx="153">
                  <c:v>77.474616883045101</c:v>
                </c:pt>
                <c:pt idx="154">
                  <c:v>77.474616883045101</c:v>
                </c:pt>
                <c:pt idx="155">
                  <c:v>77.474616883045101</c:v>
                </c:pt>
                <c:pt idx="156">
                  <c:v>77.474616883045101</c:v>
                </c:pt>
                <c:pt idx="157">
                  <c:v>77.474616883045101</c:v>
                </c:pt>
                <c:pt idx="158">
                  <c:v>77.474616883045101</c:v>
                </c:pt>
                <c:pt idx="159">
                  <c:v>77.474616883045101</c:v>
                </c:pt>
                <c:pt idx="160">
                  <c:v>77.474616883045101</c:v>
                </c:pt>
                <c:pt idx="161">
                  <c:v>77.474616883045101</c:v>
                </c:pt>
                <c:pt idx="162">
                  <c:v>77.474616883045101</c:v>
                </c:pt>
                <c:pt idx="163">
                  <c:v>77.474616883045101</c:v>
                </c:pt>
                <c:pt idx="164">
                  <c:v>77.474616883045101</c:v>
                </c:pt>
                <c:pt idx="165">
                  <c:v>77.474616883045101</c:v>
                </c:pt>
                <c:pt idx="166">
                  <c:v>77.474616883045101</c:v>
                </c:pt>
                <c:pt idx="167">
                  <c:v>77.474616883045101</c:v>
                </c:pt>
                <c:pt idx="168">
                  <c:v>77.474616883045101</c:v>
                </c:pt>
                <c:pt idx="169">
                  <c:v>77.474616883045101</c:v>
                </c:pt>
                <c:pt idx="170">
                  <c:v>77.474616883045101</c:v>
                </c:pt>
                <c:pt idx="171">
                  <c:v>77.474616883045101</c:v>
                </c:pt>
                <c:pt idx="172">
                  <c:v>77.474616883045101</c:v>
                </c:pt>
                <c:pt idx="173">
                  <c:v>77.474616883045101</c:v>
                </c:pt>
                <c:pt idx="174">
                  <c:v>77.474616883045101</c:v>
                </c:pt>
                <c:pt idx="175">
                  <c:v>77.474616883045101</c:v>
                </c:pt>
                <c:pt idx="176">
                  <c:v>77.474616883045101</c:v>
                </c:pt>
                <c:pt idx="177">
                  <c:v>77.474616883045101</c:v>
                </c:pt>
                <c:pt idx="178">
                  <c:v>77.474616883045101</c:v>
                </c:pt>
                <c:pt idx="179">
                  <c:v>77.474616883045101</c:v>
                </c:pt>
                <c:pt idx="180">
                  <c:v>77.474616883045101</c:v>
                </c:pt>
                <c:pt idx="181">
                  <c:v>77.474616883045101</c:v>
                </c:pt>
                <c:pt idx="182">
                  <c:v>77.474616883045101</c:v>
                </c:pt>
                <c:pt idx="183">
                  <c:v>77.474616883045101</c:v>
                </c:pt>
                <c:pt idx="184">
                  <c:v>77.474616883045101</c:v>
                </c:pt>
                <c:pt idx="185">
                  <c:v>77.474616883045101</c:v>
                </c:pt>
                <c:pt idx="186">
                  <c:v>77.474616883045101</c:v>
                </c:pt>
                <c:pt idx="187">
                  <c:v>77.474616883045101</c:v>
                </c:pt>
                <c:pt idx="188">
                  <c:v>77.474616883045101</c:v>
                </c:pt>
                <c:pt idx="189">
                  <c:v>77.474616883045101</c:v>
                </c:pt>
                <c:pt idx="190">
                  <c:v>77.474616883045101</c:v>
                </c:pt>
                <c:pt idx="191">
                  <c:v>77.474616883045101</c:v>
                </c:pt>
                <c:pt idx="192">
                  <c:v>77.474616883045101</c:v>
                </c:pt>
                <c:pt idx="193">
                  <c:v>77.474616883045101</c:v>
                </c:pt>
                <c:pt idx="194">
                  <c:v>77.474616883045101</c:v>
                </c:pt>
                <c:pt idx="195">
                  <c:v>77.474616883045101</c:v>
                </c:pt>
                <c:pt idx="196">
                  <c:v>77.474616883045101</c:v>
                </c:pt>
                <c:pt idx="197">
                  <c:v>77.474616883045101</c:v>
                </c:pt>
                <c:pt idx="198">
                  <c:v>77.474616883045101</c:v>
                </c:pt>
                <c:pt idx="199">
                  <c:v>77.474616883045101</c:v>
                </c:pt>
                <c:pt idx="200">
                  <c:v>77.474616883045101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110.29146199065519</c:v>
                </c:pt>
                <c:pt idx="22">
                  <c:v>124.27700087602052</c:v>
                </c:pt>
                <c:pt idx="23">
                  <c:v>138.22430277628158</c:v>
                </c:pt>
                <c:pt idx="24">
                  <c:v>152.13777377111359</c:v>
                </c:pt>
                <c:pt idx="25">
                  <c:v>166.02094629475889</c:v>
                </c:pt>
                <c:pt idx="26">
                  <c:v>179.87671263181528</c:v>
                </c:pt>
                <c:pt idx="27">
                  <c:v>193.70748241961212</c:v>
                </c:pt>
                <c:pt idx="28">
                  <c:v>207.51529266966918</c:v>
                </c:pt>
                <c:pt idx="29">
                  <c:v>221.30188689717423</c:v>
                </c:pt>
                <c:pt idx="30">
                  <c:v>235.06877345752699</c:v>
                </c:pt>
                <c:pt idx="31">
                  <c:v>189.53880266603633</c:v>
                </c:pt>
                <c:pt idx="32">
                  <c:v>207.51529266966918</c:v>
                </c:pt>
                <c:pt idx="33">
                  <c:v>225.45581704538475</c:v>
                </c:pt>
                <c:pt idx="34">
                  <c:v>243.36364067727686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314.71720261424775</c:v>
                </c:pt>
                <c:pt idx="39">
                  <c:v>332.49568821053043</c:v>
                </c:pt>
                <c:pt idx="40">
                  <c:v>350.25322285655164</c:v>
                </c:pt>
                <c:pt idx="41">
                  <c:v>277.13386946464016</c:v>
                </c:pt>
                <c:pt idx="42">
                  <c:v>295.17849192957436</c:v>
                </c:pt>
                <c:pt idx="43">
                  <c:v>313.19851383460843</c:v>
                </c:pt>
                <c:pt idx="44">
                  <c:v>331.19554939327526</c:v>
                </c:pt>
                <c:pt idx="45">
                  <c:v>349.17102307812593</c:v>
                </c:pt>
                <c:pt idx="46">
                  <c:v>367.12620074726834</c:v>
                </c:pt>
                <c:pt idx="47">
                  <c:v>385.06221436094899</c:v>
                </c:pt>
                <c:pt idx="48">
                  <c:v>402.9800818512519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432.3026290462214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482.65645942680254</c:v>
                </c:pt>
                <c:pt idx="59">
                  <c:v>499.41562163511918</c:v>
                </c:pt>
                <c:pt idx="60">
                  <c:v>516.16288083607799</c:v>
                </c:pt>
                <c:pt idx="61">
                  <c:v>440.91863377904184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</c:v>
                </c:pt>
                <c:pt idx="65">
                  <c:v>501.13382934663713</c:v>
                </c:pt>
                <c:pt idx="66">
                  <c:v>516.16288083607799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576.18966166997234</c:v>
                </c:pt>
                <c:pt idx="71">
                  <c:v>499.20083687929633</c:v>
                </c:pt>
                <c:pt idx="72">
                  <c:v>512.29916163754626</c:v>
                </c:pt>
                <c:pt idx="73">
                  <c:v>525.39041594713956</c:v>
                </c:pt>
                <c:pt idx="74">
                  <c:v>538.47480076592342</c:v>
                </c:pt>
                <c:pt idx="75">
                  <c:v>551.55250649172569</c:v>
                </c:pt>
                <c:pt idx="76">
                  <c:v>564.6237137597426</c:v>
                </c:pt>
                <c:pt idx="77">
                  <c:v>577.68859416226462</c:v>
                </c:pt>
                <c:pt idx="78">
                  <c:v>590.747310899936</c:v>
                </c:pt>
                <c:pt idx="79">
                  <c:v>603.80001937245117</c:v>
                </c:pt>
                <c:pt idx="80">
                  <c:v>616.8468677155405</c:v>
                </c:pt>
                <c:pt idx="81">
                  <c:v>538.90368289481785</c:v>
                </c:pt>
                <c:pt idx="82">
                  <c:v>550.9094940154306</c:v>
                </c:pt>
                <c:pt idx="83">
                  <c:v>562.90982113451958</c:v>
                </c:pt>
                <c:pt idx="84">
                  <c:v>574.90479761309177</c:v>
                </c:pt>
                <c:pt idx="85">
                  <c:v>586.89455079472998</c:v>
                </c:pt>
                <c:pt idx="86">
                  <c:v>598.87920239708058</c:v>
                </c:pt>
                <c:pt idx="87">
                  <c:v>610.85886887038123</c:v>
                </c:pt>
                <c:pt idx="88">
                  <c:v>622.8336617264132</c:v>
                </c:pt>
                <c:pt idx="89">
                  <c:v>634.80368784084919</c:v>
                </c:pt>
                <c:pt idx="90">
                  <c:v>646.76904973162129</c:v>
                </c:pt>
                <c:pt idx="91">
                  <c:v>567.40855737534184</c:v>
                </c:pt>
                <c:pt idx="92">
                  <c:v>577.90272074471466</c:v>
                </c:pt>
                <c:pt idx="93">
                  <c:v>588.39290880026499</c:v>
                </c:pt>
                <c:pt idx="94">
                  <c:v>598.87920239708058</c:v>
                </c:pt>
                <c:pt idx="95">
                  <c:v>609.36167932827254</c:v>
                </c:pt>
                <c:pt idx="96">
                  <c:v>619.84041449272661</c:v>
                </c:pt>
                <c:pt idx="97">
                  <c:v>630.31548005092793</c:v>
                </c:pt>
                <c:pt idx="98">
                  <c:v>640.78694556988842</c:v>
                </c:pt>
                <c:pt idx="99">
                  <c:v>651.25487815811414</c:v>
                </c:pt>
                <c:pt idx="100">
                  <c:v>661.71934259144575</c:v>
                </c:pt>
                <c:pt idx="101">
                  <c:v>581.32852138015051</c:v>
                </c:pt>
                <c:pt idx="102">
                  <c:v>590.74731089993577</c:v>
                </c:pt>
                <c:pt idx="103">
                  <c:v>600.16297452894207</c:v>
                </c:pt>
                <c:pt idx="104">
                  <c:v>609.57556821855803</c:v>
                </c:pt>
                <c:pt idx="105">
                  <c:v>618.98514605149205</c:v>
                </c:pt>
                <c:pt idx="106">
                  <c:v>628.3917603322484</c:v>
                </c:pt>
                <c:pt idx="107">
                  <c:v>637.79546167190301</c:v>
                </c:pt>
                <c:pt idx="108">
                  <c:v>647.19629906762555</c:v>
                </c:pt>
                <c:pt idx="109">
                  <c:v>656.59431997733589</c:v>
                </c:pt>
                <c:pt idx="110">
                  <c:v>665.9895703898718</c:v>
                </c:pt>
                <c:pt idx="111">
                  <c:v>590.53328243145256</c:v>
                </c:pt>
                <c:pt idx="112">
                  <c:v>598.45126564391796</c:v>
                </c:pt>
                <c:pt idx="113">
                  <c:v>606.36707095513873</c:v>
                </c:pt>
                <c:pt idx="114">
                  <c:v>614.28073080742217</c:v>
                </c:pt>
                <c:pt idx="115">
                  <c:v>622.19227673896933</c:v>
                </c:pt>
                <c:pt idx="116">
                  <c:v>630.10173942049767</c:v>
                </c:pt>
                <c:pt idx="117">
                  <c:v>638.00914868992481</c:v>
                </c:pt>
                <c:pt idx="118">
                  <c:v>645.91453358524529</c:v>
                </c:pt>
                <c:pt idx="119">
                  <c:v>653.81792237571403</c:v>
                </c:pt>
                <c:pt idx="120">
                  <c:v>661.71934259144507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3.4529372293899008</c:v>
                </c:pt>
                <c:pt idx="2">
                  <c:v>4.134922909140152</c:v>
                </c:pt>
                <c:pt idx="3">
                  <c:v>4.9521016093783672</c:v>
                </c:pt>
                <c:pt idx="4">
                  <c:v>5.9313656670984827</c:v>
                </c:pt>
                <c:pt idx="5">
                  <c:v>7.1049739941731884</c:v>
                </c:pt>
                <c:pt idx="6">
                  <c:v>8.5116262097602071</c:v>
                </c:pt>
                <c:pt idx="7">
                  <c:v>10.197752352696471</c:v>
                </c:pt>
                <c:pt idx="8">
                  <c:v>12.219061549844341</c:v>
                </c:pt>
                <c:pt idx="9">
                  <c:v>14.642401763842701</c:v>
                </c:pt>
                <c:pt idx="10">
                  <c:v>17.547993258946569</c:v>
                </c:pt>
                <c:pt idx="11">
                  <c:v>21.032111064518954</c:v>
                </c:pt>
                <c:pt idx="12">
                  <c:v>25.210306912759112</c:v>
                </c:pt>
                <c:pt idx="13">
                  <c:v>30.221279398233865</c:v>
                </c:pt>
                <c:pt idx="14">
                  <c:v>36.23152307461509</c:v>
                </c:pt>
                <c:pt idx="15">
                  <c:v>43.440913618031878</c:v>
                </c:pt>
                <c:pt idx="16">
                  <c:v>52.089417948050851</c:v>
                </c:pt>
                <c:pt idx="17">
                  <c:v>62.465156390978699</c:v>
                </c:pt>
                <c:pt idx="18">
                  <c:v>74.91408990067265</c:v>
                </c:pt>
                <c:pt idx="19">
                  <c:v>89.851660589142838</c:v>
                </c:pt>
                <c:pt idx="20">
                  <c:v>107.77678025171018</c:v>
                </c:pt>
                <c:pt idx="21">
                  <c:v>123.48913708635268</c:v>
                </c:pt>
                <c:pt idx="22">
                  <c:v>139.15287690251947</c:v>
                </c:pt>
                <c:pt idx="23">
                  <c:v>154.77424993658505</c:v>
                </c:pt>
                <c:pt idx="24">
                  <c:v>170.35813814817595</c:v>
                </c:pt>
                <c:pt idx="25">
                  <c:v>185.90845549315006</c:v>
                </c:pt>
                <c:pt idx="26">
                  <c:v>201.42840663816685</c:v>
                </c:pt>
                <c:pt idx="27">
                  <c:v>216.92066147415531</c:v>
                </c:pt>
                <c:pt idx="28">
                  <c:v>232.38747702067272</c:v>
                </c:pt>
                <c:pt idx="29">
                  <c:v>247.83078510178561</c:v>
                </c:pt>
                <c:pt idx="30">
                  <c:v>263.25225698326904</c:v>
                </c:pt>
                <c:pt idx="31">
                  <c:v>212.25116945838477</c:v>
                </c:pt>
                <c:pt idx="32">
                  <c:v>232.38747702067272</c:v>
                </c:pt>
                <c:pt idx="33">
                  <c:v>252.48393447665805</c:v>
                </c:pt>
                <c:pt idx="34">
                  <c:v>272.54415933521597</c:v>
                </c:pt>
                <c:pt idx="35">
                  <c:v>292.57119286733285</c:v>
                </c:pt>
                <c:pt idx="36">
                  <c:v>312.56762590226907</c:v>
                </c:pt>
                <c:pt idx="37">
                  <c:v>332.53569070150917</c:v>
                </c:pt>
                <c:pt idx="38">
                  <c:v>352.47732958744837</c:v>
                </c:pt>
                <c:pt idx="39">
                  <c:v>372.39424721722963</c:v>
                </c:pt>
                <c:pt idx="40">
                  <c:v>392.28795108310896</c:v>
                </c:pt>
                <c:pt idx="41">
                  <c:v>310.37431902439818</c:v>
                </c:pt>
                <c:pt idx="42">
                  <c:v>330.5887794390465</c:v>
                </c:pt>
                <c:pt idx="43">
                  <c:v>350.77598230297468</c:v>
                </c:pt>
                <c:pt idx="44">
                  <c:v>370.93771617333078</c:v>
                </c:pt>
                <c:pt idx="45">
                  <c:v>391.07555937324901</c:v>
                </c:pt>
                <c:pt idx="46">
                  <c:v>411.19091448022044</c:v>
                </c:pt>
                <c:pt idx="47">
                  <c:v>431.28503571219579</c:v>
                </c:pt>
                <c:pt idx="48">
                  <c:v>451.3590509433181</c:v>
                </c:pt>
                <c:pt idx="49">
                  <c:v>471.41397959912462</c:v>
                </c:pt>
                <c:pt idx="50">
                  <c:v>491.45074734836277</c:v>
                </c:pt>
                <c:pt idx="51">
                  <c:v>408.76852632169266</c:v>
                </c:pt>
                <c:pt idx="52">
                  <c:v>427.65508781995095</c:v>
                </c:pt>
                <c:pt idx="53">
                  <c:v>446.52372121333877</c:v>
                </c:pt>
                <c:pt idx="54">
                  <c:v>465.37529026797807</c:v>
                </c:pt>
                <c:pt idx="55">
                  <c:v>484.21058310097715</c:v>
                </c:pt>
                <c:pt idx="56">
                  <c:v>503.03032155094519</c:v>
                </c:pt>
                <c:pt idx="57">
                  <c:v>521.83516907361673</c:v>
                </c:pt>
                <c:pt idx="58">
                  <c:v>540.62573744055476</c:v>
                </c:pt>
                <c:pt idx="59">
                  <c:v>559.40259245849381</c:v>
                </c:pt>
                <c:pt idx="60">
                  <c:v>578.16625888121018</c:v>
                </c:pt>
                <c:pt idx="61">
                  <c:v>493.86363096746436</c:v>
                </c:pt>
                <c:pt idx="62">
                  <c:v>510.74689630015183</c:v>
                </c:pt>
                <c:pt idx="63">
                  <c:v>527.61837615010938</c:v>
                </c:pt>
                <c:pt idx="64">
                  <c:v>544.47850023404158</c:v>
                </c:pt>
                <c:pt idx="65">
                  <c:v>561.32766950090252</c:v>
                </c:pt>
                <c:pt idx="66">
                  <c:v>578.16625888121018</c:v>
                </c:pt>
                <c:pt idx="67">
                  <c:v>594.99461969957781</c:v>
                </c:pt>
                <c:pt idx="68">
                  <c:v>611.81308180026451</c:v>
                </c:pt>
                <c:pt idx="69">
                  <c:v>628.62195542698885</c:v>
                </c:pt>
                <c:pt idx="70">
                  <c:v>645.42153289135774</c:v>
                </c:pt>
                <c:pt idx="71">
                  <c:v>559.16194808673959</c:v>
                </c:pt>
                <c:pt idx="72">
                  <c:v>573.83732650054367</c:v>
                </c:pt>
                <c:pt idx="73">
                  <c:v>588.50487081977224</c:v>
                </c:pt>
                <c:pt idx="74">
                  <c:v>603.16480370678448</c:v>
                </c:pt>
                <c:pt idx="75">
                  <c:v>617.81733612338326</c:v>
                </c:pt>
                <c:pt idx="76">
                  <c:v>632.46266821432175</c:v>
                </c:pt>
                <c:pt idx="77">
                  <c:v>647.10099010476836</c:v>
                </c:pt>
                <c:pt idx="78">
                  <c:v>661.73248262190111</c:v>
                </c:pt>
                <c:pt idx="79">
                  <c:v>676.35731794940477</c:v>
                </c:pt>
                <c:pt idx="80">
                  <c:v>690.97566022245371</c:v>
                </c:pt>
                <c:pt idx="81">
                  <c:v>603.64533082656214</c:v>
                </c:pt>
                <c:pt idx="82">
                  <c:v>617.09688971985042</c:v>
                </c:pt>
                <c:pt idx="83">
                  <c:v>630.54237231039235</c:v>
                </c:pt>
                <c:pt idx="84">
                  <c:v>643.98192636289014</c:v>
                </c:pt>
                <c:pt idx="85">
                  <c:v>657.41569297470858</c:v>
                </c:pt>
                <c:pt idx="86">
                  <c:v>670.84380700964471</c:v>
                </c:pt>
                <c:pt idx="87">
                  <c:v>684.26639749517881</c:v>
                </c:pt>
                <c:pt idx="88">
                  <c:v>697.68358798695533</c:v>
                </c:pt>
                <c:pt idx="89">
                  <c:v>711.09549690378617</c:v>
                </c:pt>
                <c:pt idx="90">
                  <c:v>724.50223783608362</c:v>
                </c:pt>
                <c:pt idx="91">
                  <c:v>635.58289211134877</c:v>
                </c:pt>
                <c:pt idx="92">
                  <c:v>647.34090521693804</c:v>
                </c:pt>
                <c:pt idx="93">
                  <c:v>659.09451365374798</c:v>
                </c:pt>
                <c:pt idx="94">
                  <c:v>670.84380700964471</c:v>
                </c:pt>
                <c:pt idx="95">
                  <c:v>682.58887147980658</c:v>
                </c:pt>
                <c:pt idx="96">
                  <c:v>694.32979005259676</c:v>
                </c:pt>
                <c:pt idx="97">
                  <c:v>706.06664268221482</c:v>
                </c:pt>
                <c:pt idx="98">
                  <c:v>717.79950644927874</c:v>
                </c:pt>
                <c:pt idx="99">
                  <c:v>729.52845571036823</c:v>
                </c:pt>
                <c:pt idx="100">
                  <c:v>741.2535622374586</c:v>
                </c:pt>
                <c:pt idx="101">
                  <c:v>651.17929806085033</c:v>
                </c:pt>
                <c:pt idx="102">
                  <c:v>661.73248262190089</c:v>
                </c:pt>
                <c:pt idx="103">
                  <c:v>672.28220367940526</c:v>
                </c:pt>
                <c:pt idx="104">
                  <c:v>682.82852322779866</c:v>
                </c:pt>
                <c:pt idx="105">
                  <c:v>693.37150119100852</c:v>
                </c:pt>
                <c:pt idx="106">
                  <c:v>703.91119552270209</c:v>
                </c:pt>
                <c:pt idx="107">
                  <c:v>714.4476623002206</c:v>
                </c:pt>
                <c:pt idx="108">
                  <c:v>724.98095581268706</c:v>
                </c:pt>
                <c:pt idx="109">
                  <c:v>735.51112864372828</c:v>
                </c:pt>
                <c:pt idx="110">
                  <c:v>746.03823174922036</c:v>
                </c:pt>
                <c:pt idx="111">
                  <c:v>661.49267622052639</c:v>
                </c:pt>
                <c:pt idx="112">
                  <c:v>670.36432737118685</c:v>
                </c:pt>
                <c:pt idx="113">
                  <c:v>679.23356539572876</c:v>
                </c:pt>
                <c:pt idx="114">
                  <c:v>688.10042624039909</c:v>
                </c:pt>
                <c:pt idx="115">
                  <c:v>696.96494484969332</c:v>
                </c:pt>
                <c:pt idx="116">
                  <c:v>705.82715520692807</c:v>
                </c:pt>
                <c:pt idx="117">
                  <c:v>714.68709037267445</c:v>
                </c:pt>
                <c:pt idx="118">
                  <c:v>723.54478252118372</c:v>
                </c:pt>
                <c:pt idx="119">
                  <c:v>732.40026297494114</c:v>
                </c:pt>
                <c:pt idx="120">
                  <c:v>741.25356223745791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43.694196003064881</c:v>
                </c:pt>
                <c:pt idx="12">
                  <c:v>65.967637157193224</c:v>
                </c:pt>
                <c:pt idx="13">
                  <c:v>88.043909645773326</c:v>
                </c:pt>
                <c:pt idx="14">
                  <c:v>109.98019761370591</c:v>
                </c:pt>
                <c:pt idx="15">
                  <c:v>131.8085611384661</c:v>
                </c:pt>
                <c:pt idx="16">
                  <c:v>153.54945750312902</c:v>
                </c:pt>
                <c:pt idx="17">
                  <c:v>175.21703901575162</c:v>
                </c:pt>
                <c:pt idx="18">
                  <c:v>196.82165695831426</c:v>
                </c:pt>
                <c:pt idx="19">
                  <c:v>218.37119819211662</c:v>
                </c:pt>
                <c:pt idx="20">
                  <c:v>239.87186299455311</c:v>
                </c:pt>
                <c:pt idx="21">
                  <c:v>147.72423485433481</c:v>
                </c:pt>
                <c:pt idx="22">
                  <c:v>173.28198421740612</c:v>
                </c:pt>
                <c:pt idx="23">
                  <c:v>198.75099238593933</c:v>
                </c:pt>
                <c:pt idx="24">
                  <c:v>224.14424082064872</c:v>
                </c:pt>
                <c:pt idx="25">
                  <c:v>249.47152135339448</c:v>
                </c:pt>
                <c:pt idx="26">
                  <c:v>274.74047191396772</c:v>
                </c:pt>
                <c:pt idx="27">
                  <c:v>299.95720938207864</c:v>
                </c:pt>
                <c:pt idx="28">
                  <c:v>325.1267377323847</c:v>
                </c:pt>
                <c:pt idx="29">
                  <c:v>350.25322285655176</c:v>
                </c:pt>
                <c:pt idx="30">
                  <c:v>375.34018425536209</c:v>
                </c:pt>
                <c:pt idx="31">
                  <c:v>274.91455293818166</c:v>
                </c:pt>
                <c:pt idx="32">
                  <c:v>295.96058121474732</c:v>
                </c:pt>
                <c:pt idx="33">
                  <c:v>316.97324046406396</c:v>
                </c:pt>
                <c:pt idx="34">
                  <c:v>337.95505284834667</c:v>
                </c:pt>
                <c:pt idx="35">
                  <c:v>358.90820183854038</c:v>
                </c:pt>
                <c:pt idx="36">
                  <c:v>379.83459522522372</c:v>
                </c:pt>
                <c:pt idx="37">
                  <c:v>400.73591351024589</c:v>
                </c:pt>
                <c:pt idx="38">
                  <c:v>421.61364767176138</c:v>
                </c:pt>
                <c:pt idx="39">
                  <c:v>442.46912905732142</c:v>
                </c:pt>
                <c:pt idx="40">
                  <c:v>463.30355334692075</c:v>
                </c:pt>
                <c:pt idx="41">
                  <c:v>358.38903311439248</c:v>
                </c:pt>
                <c:pt idx="42">
                  <c:v>374.30284650982253</c:v>
                </c:pt>
                <c:pt idx="43">
                  <c:v>390.20192247554218</c:v>
                </c:pt>
                <c:pt idx="44">
                  <c:v>406.08694591135946</c:v>
                </c:pt>
                <c:pt idx="45">
                  <c:v>421.95854377334371</c:v>
                </c:pt>
                <c:pt idx="46">
                  <c:v>437.81729201638274</c:v>
                </c:pt>
                <c:pt idx="47">
                  <c:v>453.66372147844748</c:v>
                </c:pt>
                <c:pt idx="48">
                  <c:v>469.49832289995237</c:v>
                </c:pt>
                <c:pt idx="49">
                  <c:v>485.32155123080787</c:v>
                </c:pt>
                <c:pt idx="50">
                  <c:v>501.13382934663628</c:v>
                </c:pt>
                <c:pt idx="51">
                  <c:v>438.85112479761938</c:v>
                </c:pt>
                <c:pt idx="52">
                  <c:v>450.56427866764187</c:v>
                </c:pt>
                <c:pt idx="53">
                  <c:v>462.27092062343581</c:v>
                </c:pt>
                <c:pt idx="54">
                  <c:v>473.97123882058969</c:v>
                </c:pt>
                <c:pt idx="55">
                  <c:v>485.66541136738368</c:v>
                </c:pt>
                <c:pt idx="56">
                  <c:v>497.35360709544074</c:v>
                </c:pt>
                <c:pt idx="57">
                  <c:v>509.0359862541668</c:v>
                </c:pt>
                <c:pt idx="58">
                  <c:v>520.71270113813011</c:v>
                </c:pt>
                <c:pt idx="59">
                  <c:v>532.38389665524505</c:v>
                </c:pt>
                <c:pt idx="60">
                  <c:v>544.04971084254669</c:v>
                </c:pt>
                <c:pt idx="61">
                  <c:v>500.96201419474897</c:v>
                </c:pt>
                <c:pt idx="62">
                  <c:v>509.37949916607187</c:v>
                </c:pt>
                <c:pt idx="63">
                  <c:v>517.79404539703103</c:v>
                </c:pt>
                <c:pt idx="64">
                  <c:v>526.20570739021298</c:v>
                </c:pt>
                <c:pt idx="65">
                  <c:v>534.61453776319524</c:v>
                </c:pt>
                <c:pt idx="66">
                  <c:v>543.02058734300351</c:v>
                </c:pt>
                <c:pt idx="67">
                  <c:v>551.42390525441863</c:v>
                </c:pt>
                <c:pt idx="68">
                  <c:v>559.82453900261726</c:v>
                </c:pt>
                <c:pt idx="69">
                  <c:v>568.22253455059774</c:v>
                </c:pt>
                <c:pt idx="70">
                  <c:v>576.617936391787</c:v>
                </c:pt>
                <c:pt idx="71">
                  <c:v>538.73213090432318</c:v>
                </c:pt>
                <c:pt idx="72">
                  <c:v>545.42181195220826</c:v>
                </c:pt>
                <c:pt idx="73">
                  <c:v>552.10977125790407</c:v>
                </c:pt>
                <c:pt idx="74">
                  <c:v>558.79603262623436</c:v>
                </c:pt>
                <c:pt idx="75">
                  <c:v>565.48061924570573</c:v>
                </c:pt>
                <c:pt idx="76">
                  <c:v>572.16355371171937</c:v>
                </c:pt>
                <c:pt idx="77">
                  <c:v>578.84485804864448</c:v>
                </c:pt>
                <c:pt idx="78">
                  <c:v>585.52455373081636</c:v>
                </c:pt>
                <c:pt idx="79">
                  <c:v>592.20266170252955</c:v>
                </c:pt>
                <c:pt idx="80">
                  <c:v>598.8792023970791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3.4359076455052011</c:v>
                </c:pt>
                <c:pt idx="2">
                  <c:v>4.3229745411916678</c:v>
                </c:pt>
                <c:pt idx="3">
                  <c:v>5.4399407732669722</c:v>
                </c:pt>
                <c:pt idx="4">
                  <c:v>6.8466035838358836</c:v>
                </c:pt>
                <c:pt idx="5">
                  <c:v>8.6183657393493096</c:v>
                </c:pt>
                <c:pt idx="6">
                  <c:v>10.850320788889475</c:v>
                </c:pt>
                <c:pt idx="7">
                  <c:v>13.662410817799808</c:v>
                </c:pt>
                <c:pt idx="8">
                  <c:v>17.205938989128065</c:v>
                </c:pt>
                <c:pt idx="9">
                  <c:v>21.671793643397155</c:v>
                </c:pt>
                <c:pt idx="10">
                  <c:v>27.300834897020753</c:v>
                </c:pt>
                <c:pt idx="11">
                  <c:v>34.397013757699646</c:v>
                </c:pt>
                <c:pt idx="12">
                  <c:v>43.343944362084081</c:v>
                </c:pt>
                <c:pt idx="13">
                  <c:v>54.625840389733639</c:v>
                </c:pt>
                <c:pt idx="14">
                  <c:v>68.853967588781487</c:v>
                </c:pt>
                <c:pt idx="15">
                  <c:v>86.800069041313407</c:v>
                </c:pt>
                <c:pt idx="16">
                  <c:v>109.43860523354437</c:v>
                </c:pt>
                <c:pt idx="17">
                  <c:v>138.00013861106413</c:v>
                </c:pt>
                <c:pt idx="18">
                  <c:v>174.03880922453607</c:v>
                </c:pt>
                <c:pt idx="19">
                  <c:v>219.51762865311431</c:v>
                </c:pt>
                <c:pt idx="20">
                  <c:v>276.91630711457987</c:v>
                </c:pt>
                <c:pt idx="21">
                  <c:v>244.77010117893894</c:v>
                </c:pt>
                <c:pt idx="22">
                  <c:v>275.0685456253342</c:v>
                </c:pt>
                <c:pt idx="23">
                  <c:v>305.29199795817402</c:v>
                </c:pt>
                <c:pt idx="24">
                  <c:v>335.44892106604829</c:v>
                </c:pt>
                <c:pt idx="25">
                  <c:v>365.54613136755262</c:v>
                </c:pt>
                <c:pt idx="26">
                  <c:v>395.58923125880574</c:v>
                </c:pt>
                <c:pt idx="27">
                  <c:v>425.58290306233681</c:v>
                </c:pt>
                <c:pt idx="28">
                  <c:v>455.53111567113888</c:v>
                </c:pt>
                <c:pt idx="29">
                  <c:v>485.43727396955416</c:v>
                </c:pt>
                <c:pt idx="30">
                  <c:v>515.30432949652698</c:v>
                </c:pt>
                <c:pt idx="31">
                  <c:v>451.64714849767762</c:v>
                </c:pt>
                <c:pt idx="32">
                  <c:v>476.99457924677745</c:v>
                </c:pt>
                <c:pt idx="33">
                  <c:v>502.3133728063986</c:v>
                </c:pt>
                <c:pt idx="34">
                  <c:v>527.60517400741901</c:v>
                </c:pt>
                <c:pt idx="35">
                  <c:v>552.87145728238067</c:v>
                </c:pt>
                <c:pt idx="36">
                  <c:v>578.11355145447635</c:v>
                </c:pt>
                <c:pt idx="37">
                  <c:v>603.33265997416459</c:v>
                </c:pt>
                <c:pt idx="38">
                  <c:v>628.52987759843575</c:v>
                </c:pt>
                <c:pt idx="39">
                  <c:v>653.70620425834352</c:v>
                </c:pt>
                <c:pt idx="40">
                  <c:v>678.86255668089984</c:v>
                </c:pt>
                <c:pt idx="41">
                  <c:v>567.42833038938647</c:v>
                </c:pt>
                <c:pt idx="42">
                  <c:v>594.47444068287086</c:v>
                </c:pt>
                <c:pt idx="43">
                  <c:v>621.49496059863225</c:v>
                </c:pt>
                <c:pt idx="44">
                  <c:v>648.49115768416164</c:v>
                </c:pt>
                <c:pt idx="45">
                  <c:v>675.46418548840961</c:v>
                </c:pt>
                <c:pt idx="46">
                  <c:v>702.41509804713814</c:v>
                </c:pt>
                <c:pt idx="47">
                  <c:v>729.34486203174185</c:v>
                </c:pt>
                <c:pt idx="48">
                  <c:v>756.25436701242222</c:v>
                </c:pt>
                <c:pt idx="49">
                  <c:v>783.1444341863438</c:v>
                </c:pt>
                <c:pt idx="50">
                  <c:v>810.01582384618257</c:v>
                </c:pt>
                <c:pt idx="51">
                  <c:v>672.06546302674576</c:v>
                </c:pt>
                <c:pt idx="52">
                  <c:v>694.71703608163637</c:v>
                </c:pt>
                <c:pt idx="53">
                  <c:v>717.35348694890615</c:v>
                </c:pt>
                <c:pt idx="54">
                  <c:v>739.97535939272996</c:v>
                </c:pt>
                <c:pt idx="55">
                  <c:v>762.58316126167222</c:v>
                </c:pt>
                <c:pt idx="56">
                  <c:v>785.17736787656031</c:v>
                </c:pt>
                <c:pt idx="57">
                  <c:v>807.75842500858505</c:v>
                </c:pt>
                <c:pt idx="58">
                  <c:v>830.32675150748025</c:v>
                </c:pt>
                <c:pt idx="59">
                  <c:v>852.88274162947209</c:v>
                </c:pt>
                <c:pt idx="60">
                  <c:v>875.42676710648368</c:v>
                </c:pt>
                <c:pt idx="61">
                  <c:v>733.86886106220936</c:v>
                </c:pt>
                <c:pt idx="62">
                  <c:v>754.89805719297317</c:v>
                </c:pt>
                <c:pt idx="63">
                  <c:v>775.91535829950169</c:v>
                </c:pt>
                <c:pt idx="64">
                  <c:v>796.921131554922</c:v>
                </c:pt>
                <c:pt idx="65">
                  <c:v>817.9157232221346</c:v>
                </c:pt>
                <c:pt idx="66">
                  <c:v>838.89946036153367</c:v>
                </c:pt>
                <c:pt idx="67">
                  <c:v>859.8726523591954</c:v>
                </c:pt>
                <c:pt idx="68">
                  <c:v>880.83559229840557</c:v>
                </c:pt>
                <c:pt idx="69">
                  <c:v>901.78855819401076</c:v>
                </c:pt>
                <c:pt idx="70">
                  <c:v>922.73181410623704</c:v>
                </c:pt>
                <c:pt idx="71">
                  <c:v>785.17736787656077</c:v>
                </c:pt>
                <c:pt idx="72">
                  <c:v>803.24324506794244</c:v>
                </c:pt>
                <c:pt idx="73">
                  <c:v>821.30092282582302</c:v>
                </c:pt>
                <c:pt idx="74">
                  <c:v>839.3506066207857</c:v>
                </c:pt>
                <c:pt idx="75">
                  <c:v>857.39249237600063</c:v>
                </c:pt>
                <c:pt idx="76">
                  <c:v>875.42676710648402</c:v>
                </c:pt>
                <c:pt idx="77">
                  <c:v>893.45360950300494</c:v>
                </c:pt>
                <c:pt idx="78">
                  <c:v>911.47319046647726</c:v>
                </c:pt>
                <c:pt idx="79">
                  <c:v>929.4856735979447</c:v>
                </c:pt>
                <c:pt idx="80">
                  <c:v>947.49121564866357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/>
  <cols>
    <col min="1" max="1" width="6.7109375" customWidth="1"/>
    <col min="2" max="13" width="15.85546875" customWidth="1"/>
  </cols>
  <sheetData>
    <row r="12" spans="2:13" ht="15" customHeight="1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5" zoomScale="80" zoomScaleNormal="80" workbookViewId="0">
      <selection activeCell="F67" sqref="F67"/>
    </sheetView>
  </sheetViews>
  <sheetFormatPr baseColWidth="10" defaultColWidth="11.42578125" defaultRowHeight="1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>
      <c r="A5" s="268" t="s">
        <v>231</v>
      </c>
      <c r="B5" s="268"/>
      <c r="C5" s="24">
        <v>18.71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165</v>
      </c>
      <c r="B9" s="31" t="s">
        <v>36</v>
      </c>
      <c r="C9" s="32">
        <v>0.53</v>
      </c>
      <c r="D9" s="33">
        <f t="shared" ref="D9:D18" si="0">C9*$C$5</f>
        <v>9.9163000000000014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166</v>
      </c>
      <c r="B10" s="31" t="s">
        <v>24</v>
      </c>
      <c r="C10" s="32">
        <v>0.24</v>
      </c>
      <c r="D10" s="33">
        <f t="shared" si="0"/>
        <v>4.4904000000000002</v>
      </c>
      <c r="E10" s="34">
        <v>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167</v>
      </c>
      <c r="B11" s="31" t="s">
        <v>12</v>
      </c>
      <c r="C11" s="32">
        <v>7.0000000000000007E-2</v>
      </c>
      <c r="D11" s="33">
        <f t="shared" si="0"/>
        <v>1.3097000000000001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168</v>
      </c>
      <c r="B12" s="31" t="s">
        <v>16</v>
      </c>
      <c r="C12" s="32">
        <v>7.0000000000000007E-2</v>
      </c>
      <c r="D12" s="33">
        <f t="shared" si="0"/>
        <v>1.3097000000000001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169</v>
      </c>
      <c r="B13" s="31" t="s">
        <v>5</v>
      </c>
      <c r="C13" s="32">
        <v>7.0000000000000007E-2</v>
      </c>
      <c r="D13" s="33">
        <f t="shared" si="0"/>
        <v>1.3097000000000001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170</v>
      </c>
      <c r="B14" s="31" t="s">
        <v>52</v>
      </c>
      <c r="C14" s="32">
        <v>0.02</v>
      </c>
      <c r="D14" s="33">
        <f t="shared" si="0"/>
        <v>0.37420000000000003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175</v>
      </c>
      <c r="C19" s="37">
        <f>SUM(C9:C18)</f>
        <v>1.0000000000000002</v>
      </c>
      <c r="D19" s="38">
        <f>SUM(D9:D18)</f>
        <v>18.709999999999997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165</v>
      </c>
      <c r="B32" s="47" t="str">
        <f>IF(B9="","",B9)</f>
        <v>Pin maritime</v>
      </c>
      <c r="C32" s="23" t="s">
        <v>327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C33" s="23" t="s">
        <v>324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14</v>
      </c>
      <c r="B36" s="60">
        <v>161</v>
      </c>
      <c r="C36" s="60">
        <v>1</v>
      </c>
      <c r="D36" s="60">
        <v>45</v>
      </c>
      <c r="E36" s="51"/>
      <c r="F36" s="51">
        <v>0.5</v>
      </c>
      <c r="G36" s="51">
        <v>0.5</v>
      </c>
      <c r="H36" s="51"/>
      <c r="I36" s="49">
        <f>IFERROR(B36/A36,"")</f>
        <v>11.5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20</v>
      </c>
      <c r="B37" s="60">
        <v>253</v>
      </c>
      <c r="C37" s="60">
        <v>2</v>
      </c>
      <c r="D37" s="60">
        <v>72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22.833333333333332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35</v>
      </c>
      <c r="B38" s="60">
        <v>446</v>
      </c>
      <c r="C38" s="60">
        <v>3</v>
      </c>
      <c r="D38" s="60">
        <v>446</v>
      </c>
      <c r="E38" s="51">
        <v>0.4</v>
      </c>
      <c r="F38" s="51">
        <v>0.3</v>
      </c>
      <c r="G38" s="51">
        <v>0.3</v>
      </c>
      <c r="H38" s="51"/>
      <c r="I38" s="53">
        <f t="shared" si="1"/>
        <v>17.666666666666668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166</v>
      </c>
      <c r="B58" s="52" t="str">
        <f>IF(B10="","",B10)</f>
        <v>Eucalyptus</v>
      </c>
      <c r="C58" s="23" t="s">
        <v>327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C59" s="23" t="s">
        <v>325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10</v>
      </c>
      <c r="B62" s="60">
        <v>222</v>
      </c>
      <c r="C62" s="60">
        <v>1</v>
      </c>
      <c r="D62" s="60">
        <v>200</v>
      </c>
      <c r="E62" s="51"/>
      <c r="F62" s="51"/>
      <c r="G62" s="51">
        <v>1</v>
      </c>
      <c r="H62" s="51"/>
      <c r="I62" s="53">
        <f>IFERROR(B62/A62,"")</f>
        <v>22.2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20</v>
      </c>
      <c r="B63" s="60">
        <v>333</v>
      </c>
      <c r="C63" s="60">
        <v>2</v>
      </c>
      <c r="D63" s="60">
        <v>300</v>
      </c>
      <c r="E63" s="51"/>
      <c r="F63" s="51"/>
      <c r="G63" s="51">
        <v>1</v>
      </c>
      <c r="H63" s="51"/>
      <c r="I63" s="49">
        <f>IF(A63&lt;&gt;0,(B63-(B62-D62))/(A63-A62),"")</f>
        <v>31.1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30</v>
      </c>
      <c r="B64" s="60">
        <v>389</v>
      </c>
      <c r="C64" s="60">
        <v>3</v>
      </c>
      <c r="D64" s="60">
        <v>350</v>
      </c>
      <c r="E64" s="51"/>
      <c r="F64" s="51"/>
      <c r="G64" s="51">
        <v>1</v>
      </c>
      <c r="H64" s="51"/>
      <c r="I64" s="49">
        <f>IF(A64&lt;&gt;0,(B64-(B63-D63))/(A64-A63),"")</f>
        <v>35.6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/>
      <c r="B66" s="60"/>
      <c r="C66" s="60"/>
      <c r="D66" s="60"/>
      <c r="E66" s="51"/>
      <c r="F66" s="51"/>
      <c r="G66" s="51"/>
      <c r="H66" s="51"/>
      <c r="I66" s="49" t="str">
        <f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/>
      <c r="B67" s="60"/>
      <c r="C67" s="60"/>
      <c r="D67" s="60"/>
      <c r="E67" s="51"/>
      <c r="F67" s="51"/>
      <c r="G67" s="51"/>
      <c r="H67" s="51"/>
      <c r="I67" s="49" t="str">
        <f>IF(A67&lt;&gt;0,(B67-(B66-D66))/(A67-A66),"")</f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/>
      <c r="B68" s="60"/>
      <c r="C68" s="60"/>
      <c r="D68" s="60"/>
      <c r="E68" s="51"/>
      <c r="F68" s="51"/>
      <c r="G68" s="51"/>
      <c r="H68" s="51"/>
      <c r="I68" s="49" t="str">
        <f t="shared" ref="I68:I81" si="2">IF(A68&lt;&gt;0,(B68-(B67-D67))/(A68-A67),"")</f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167</v>
      </c>
      <c r="B84" s="52" t="str">
        <f>IF(B11="","",B11)</f>
        <v>Chêne pubescent</v>
      </c>
      <c r="C84" s="23" t="s">
        <v>326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C85" s="23" t="s">
        <v>328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20</v>
      </c>
      <c r="B88" s="60">
        <v>42</v>
      </c>
      <c r="C88" s="60"/>
      <c r="D88" s="60"/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30</v>
      </c>
      <c r="B89" s="60">
        <f>76+8+21</f>
        <v>105</v>
      </c>
      <c r="C89" s="60">
        <v>1</v>
      </c>
      <c r="D89" s="60">
        <f>21+8</f>
        <v>29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40</v>
      </c>
      <c r="B90" s="60">
        <f>116+21+21</f>
        <v>158</v>
      </c>
      <c r="C90" s="60">
        <v>2</v>
      </c>
      <c r="D90" s="60">
        <f>21+21</f>
        <v>42</v>
      </c>
      <c r="E90" s="87"/>
      <c r="F90" s="87"/>
      <c r="G90" s="87"/>
      <c r="H90" s="87"/>
      <c r="I90" s="53">
        <f t="shared" si="3"/>
        <v>8.1999999999999993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>
        <v>50</v>
      </c>
      <c r="B91" s="60">
        <f>157+21+21</f>
        <v>199</v>
      </c>
      <c r="C91" s="60">
        <v>3</v>
      </c>
      <c r="D91" s="60">
        <f t="shared" ref="D91:D96" si="4">21+21</f>
        <v>42</v>
      </c>
      <c r="E91" s="87"/>
      <c r="F91" s="87"/>
      <c r="G91" s="87"/>
      <c r="H91" s="87"/>
      <c r="I91" s="53">
        <f t="shared" si="3"/>
        <v>8.3000000000000007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>
        <v>60</v>
      </c>
      <c r="B92" s="60">
        <f>193+21+21</f>
        <v>235</v>
      </c>
      <c r="C92" s="60">
        <v>4</v>
      </c>
      <c r="D92" s="60">
        <f t="shared" si="4"/>
        <v>42</v>
      </c>
      <c r="E92" s="87"/>
      <c r="F92" s="87"/>
      <c r="G92" s="87"/>
      <c r="H92" s="87"/>
      <c r="I92" s="53">
        <f t="shared" si="3"/>
        <v>7.8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>
        <v>70</v>
      </c>
      <c r="B93" s="60">
        <f>221+21+21</f>
        <v>263</v>
      </c>
      <c r="C93" s="60">
        <v>5</v>
      </c>
      <c r="D93" s="60">
        <f t="shared" si="4"/>
        <v>42</v>
      </c>
      <c r="E93" s="87"/>
      <c r="F93" s="87"/>
      <c r="G93" s="87"/>
      <c r="H93" s="87"/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>
        <v>80</v>
      </c>
      <c r="B94" s="60">
        <f>240+21+21</f>
        <v>282</v>
      </c>
      <c r="C94" s="60">
        <v>6</v>
      </c>
      <c r="D94" s="60">
        <f t="shared" si="4"/>
        <v>42</v>
      </c>
      <c r="E94" s="87"/>
      <c r="F94" s="87"/>
      <c r="G94" s="87"/>
      <c r="H94" s="87"/>
      <c r="I94" s="53">
        <f t="shared" si="3"/>
        <v>6.1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>
        <v>90</v>
      </c>
      <c r="B95" s="60">
        <f>254+21+21</f>
        <v>296</v>
      </c>
      <c r="C95" s="60">
        <v>7</v>
      </c>
      <c r="D95" s="60">
        <f t="shared" si="4"/>
        <v>42</v>
      </c>
      <c r="E95" s="87"/>
      <c r="F95" s="87"/>
      <c r="G95" s="87"/>
      <c r="H95" s="87"/>
      <c r="I95" s="53">
        <f t="shared" si="3"/>
        <v>5.6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>
        <v>100</v>
      </c>
      <c r="B96" s="60">
        <f>261+21+21</f>
        <v>303</v>
      </c>
      <c r="C96" s="60">
        <v>8</v>
      </c>
      <c r="D96" s="60">
        <f t="shared" si="4"/>
        <v>42</v>
      </c>
      <c r="E96" s="87"/>
      <c r="F96" s="87"/>
      <c r="G96" s="87"/>
      <c r="H96" s="87"/>
      <c r="I96" s="53">
        <f t="shared" si="3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>
        <v>110</v>
      </c>
      <c r="B97" s="60">
        <f>266+20+19</f>
        <v>305</v>
      </c>
      <c r="C97" s="60">
        <v>9</v>
      </c>
      <c r="D97" s="60">
        <f>20+19</f>
        <v>39</v>
      </c>
      <c r="E97" s="87"/>
      <c r="F97" s="87"/>
      <c r="G97" s="87"/>
      <c r="H97" s="87"/>
      <c r="I97" s="53">
        <f t="shared" si="3"/>
        <v>4.4000000000000004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>
        <v>120</v>
      </c>
      <c r="B98" s="60">
        <f>268+17+18</f>
        <v>303</v>
      </c>
      <c r="C98" s="60">
        <v>10</v>
      </c>
      <c r="D98" s="60">
        <f>B98</f>
        <v>303</v>
      </c>
      <c r="E98" s="87"/>
      <c r="F98" s="87"/>
      <c r="G98" s="87"/>
      <c r="H98" s="87"/>
      <c r="I98" s="53">
        <f t="shared" si="3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>IF(A106&lt;&gt;0,(B106-(B105-D105))/(A106-A105),"")</f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168</v>
      </c>
      <c r="B110" s="52" t="str">
        <f>IF(B12="","",B12)</f>
        <v>Chêne vert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C111" s="23" t="s">
        <v>328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>
        <v>20</v>
      </c>
      <c r="B114" s="60">
        <v>42</v>
      </c>
      <c r="C114" s="50"/>
      <c r="D114" s="60"/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>
        <v>30</v>
      </c>
      <c r="B115" s="60">
        <f>76+8+21</f>
        <v>105</v>
      </c>
      <c r="C115" s="50">
        <v>1</v>
      </c>
      <c r="D115" s="60">
        <f>21+8</f>
        <v>29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6.3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>
        <v>40</v>
      </c>
      <c r="B116" s="60">
        <f>116+21+21</f>
        <v>158</v>
      </c>
      <c r="C116" s="50">
        <v>2</v>
      </c>
      <c r="D116" s="60">
        <f>21+21</f>
        <v>42</v>
      </c>
      <c r="E116" s="51"/>
      <c r="F116" s="51"/>
      <c r="G116" s="51"/>
      <c r="H116" s="51"/>
      <c r="I116" s="53">
        <f t="shared" si="5"/>
        <v>8.1999999999999993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>
        <v>50</v>
      </c>
      <c r="B117" s="60">
        <f>157+21+21</f>
        <v>199</v>
      </c>
      <c r="C117" s="50">
        <v>3</v>
      </c>
      <c r="D117" s="60">
        <f t="shared" ref="D117:D122" si="6">21+21</f>
        <v>42</v>
      </c>
      <c r="E117" s="51"/>
      <c r="F117" s="51"/>
      <c r="G117" s="51"/>
      <c r="H117" s="51"/>
      <c r="I117" s="53">
        <f t="shared" si="5"/>
        <v>8.3000000000000007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>
        <v>60</v>
      </c>
      <c r="B118" s="60">
        <f>193+21+21</f>
        <v>235</v>
      </c>
      <c r="C118" s="50">
        <v>4</v>
      </c>
      <c r="D118" s="60">
        <f t="shared" si="6"/>
        <v>42</v>
      </c>
      <c r="E118" s="51"/>
      <c r="F118" s="51"/>
      <c r="G118" s="51"/>
      <c r="H118" s="51"/>
      <c r="I118" s="53">
        <f t="shared" si="5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>
        <v>70</v>
      </c>
      <c r="B119" s="60">
        <f>221+21+21</f>
        <v>263</v>
      </c>
      <c r="C119" s="50">
        <v>5</v>
      </c>
      <c r="D119" s="60">
        <f t="shared" si="6"/>
        <v>42</v>
      </c>
      <c r="E119" s="51"/>
      <c r="F119" s="51"/>
      <c r="G119" s="51"/>
      <c r="H119" s="51"/>
      <c r="I119" s="53">
        <f t="shared" si="5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>
        <v>80</v>
      </c>
      <c r="B120" s="60">
        <f>240+21+21</f>
        <v>282</v>
      </c>
      <c r="C120" s="60">
        <v>6</v>
      </c>
      <c r="D120" s="60">
        <f t="shared" si="6"/>
        <v>42</v>
      </c>
      <c r="E120" s="87"/>
      <c r="F120" s="87"/>
      <c r="G120" s="87"/>
      <c r="H120" s="87"/>
      <c r="I120" s="53">
        <f t="shared" si="5"/>
        <v>6.1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>
        <v>90</v>
      </c>
      <c r="B121" s="60">
        <f>254+21+21</f>
        <v>296</v>
      </c>
      <c r="C121" s="60">
        <v>7</v>
      </c>
      <c r="D121" s="60">
        <f t="shared" si="6"/>
        <v>42</v>
      </c>
      <c r="E121" s="87"/>
      <c r="F121" s="87"/>
      <c r="G121" s="87"/>
      <c r="H121" s="87"/>
      <c r="I121" s="53">
        <f t="shared" si="5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>
        <v>100</v>
      </c>
      <c r="B122" s="60">
        <f>261+21+21</f>
        <v>303</v>
      </c>
      <c r="C122" s="60">
        <v>8</v>
      </c>
      <c r="D122" s="60">
        <f t="shared" si="6"/>
        <v>42</v>
      </c>
      <c r="E122" s="87"/>
      <c r="F122" s="87"/>
      <c r="G122" s="87"/>
      <c r="H122" s="87"/>
      <c r="I122" s="53">
        <f t="shared" si="5"/>
        <v>4.9000000000000004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>
        <v>110</v>
      </c>
      <c r="B123" s="60">
        <f>266+20+19</f>
        <v>305</v>
      </c>
      <c r="C123" s="60">
        <v>9</v>
      </c>
      <c r="D123" s="60">
        <f>20+19</f>
        <v>39</v>
      </c>
      <c r="E123" s="87"/>
      <c r="F123" s="87"/>
      <c r="G123" s="87"/>
      <c r="H123" s="87"/>
      <c r="I123" s="53">
        <f t="shared" si="5"/>
        <v>4.4000000000000004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>
        <v>120</v>
      </c>
      <c r="B124" s="60">
        <f>268+17+18</f>
        <v>303</v>
      </c>
      <c r="C124" s="60">
        <v>10</v>
      </c>
      <c r="D124" s="60">
        <f>B124</f>
        <v>303</v>
      </c>
      <c r="E124" s="87"/>
      <c r="F124" s="87"/>
      <c r="G124" s="87"/>
      <c r="H124" s="87"/>
      <c r="I124" s="53">
        <f t="shared" si="5"/>
        <v>3.7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169</v>
      </c>
      <c r="B136" s="52" t="str">
        <f>IF(B13="","",B13)</f>
        <v>Bouleau verruqueux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C137" s="23" t="s">
        <v>330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>
        <v>10</v>
      </c>
      <c r="B140" s="60">
        <v>11</v>
      </c>
      <c r="C140" s="50">
        <v>1</v>
      </c>
      <c r="D140" s="60">
        <v>0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>
        <v>20</v>
      </c>
      <c r="B141" s="60">
        <v>134</v>
      </c>
      <c r="C141" s="50">
        <v>2</v>
      </c>
      <c r="D141" s="60">
        <f>32+35</f>
        <v>67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7">IF(A141&lt;&gt;0,(B141-(B140-D140))/(A141-A140),"")</f>
        <v>12.3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>
        <v>30</v>
      </c>
      <c r="B142" s="60">
        <v>212</v>
      </c>
      <c r="C142" s="50">
        <v>3</v>
      </c>
      <c r="D142" s="60">
        <f>35+35</f>
        <v>70</v>
      </c>
      <c r="E142" s="51">
        <v>0.1</v>
      </c>
      <c r="F142" s="51">
        <v>0.45</v>
      </c>
      <c r="G142" s="51">
        <v>0.45</v>
      </c>
      <c r="H142" s="51"/>
      <c r="I142" s="57">
        <f t="shared" si="7"/>
        <v>14.5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>
        <v>40</v>
      </c>
      <c r="B143" s="60">
        <v>263</v>
      </c>
      <c r="C143" s="50">
        <v>4</v>
      </c>
      <c r="D143" s="60">
        <f>35+35</f>
        <v>70</v>
      </c>
      <c r="E143" s="51"/>
      <c r="F143" s="51"/>
      <c r="G143" s="51"/>
      <c r="H143" s="51"/>
      <c r="I143" s="57">
        <f t="shared" si="7"/>
        <v>12.1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>
        <v>50</v>
      </c>
      <c r="B144" s="60">
        <v>285</v>
      </c>
      <c r="C144" s="50">
        <v>5</v>
      </c>
      <c r="D144" s="60">
        <f>24+19</f>
        <v>43</v>
      </c>
      <c r="E144" s="51"/>
      <c r="F144" s="51"/>
      <c r="G144" s="51"/>
      <c r="H144" s="51"/>
      <c r="I144" s="57">
        <f t="shared" si="7"/>
        <v>9.1999999999999993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>
        <v>60</v>
      </c>
      <c r="B145" s="60">
        <v>310</v>
      </c>
      <c r="C145" s="50">
        <v>6</v>
      </c>
      <c r="D145" s="60">
        <f>16+14</f>
        <v>30</v>
      </c>
      <c r="E145" s="51"/>
      <c r="F145" s="51"/>
      <c r="G145" s="51"/>
      <c r="H145" s="51"/>
      <c r="I145" s="57">
        <f t="shared" si="7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>
        <v>70</v>
      </c>
      <c r="B146" s="60">
        <v>329</v>
      </c>
      <c r="C146" s="50">
        <v>7</v>
      </c>
      <c r="D146" s="60">
        <f>13+13</f>
        <v>26</v>
      </c>
      <c r="E146" s="51"/>
      <c r="F146" s="51"/>
      <c r="G146" s="51"/>
      <c r="H146" s="51"/>
      <c r="I146" s="57">
        <f t="shared" si="7"/>
        <v>4.9000000000000004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>
        <v>80</v>
      </c>
      <c r="B147" s="60">
        <f>319+12+11</f>
        <v>342</v>
      </c>
      <c r="C147" s="50">
        <v>8</v>
      </c>
      <c r="D147" s="60">
        <f>B147</f>
        <v>342</v>
      </c>
      <c r="E147" s="51"/>
      <c r="F147" s="51"/>
      <c r="G147" s="51"/>
      <c r="H147" s="51"/>
      <c r="I147" s="57">
        <f>IF(A147&lt;&gt;0,(B147-(B146-D146))/(A147-A146),"")</f>
        <v>3.9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170</v>
      </c>
      <c r="B162" s="52" t="str">
        <f>IF(B14="","",B14)</f>
        <v>Cormier</v>
      </c>
      <c r="C162" s="23" t="s">
        <v>326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C163" s="23" t="s">
        <v>329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>
        <v>20</v>
      </c>
      <c r="B166" s="60">
        <v>117</v>
      </c>
      <c r="C166" s="60">
        <v>1</v>
      </c>
      <c r="D166" s="60">
        <v>27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5.85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>
        <v>30</v>
      </c>
      <c r="B167" s="60">
        <f>178+16+27</f>
        <v>221</v>
      </c>
      <c r="C167" s="60">
        <v>2</v>
      </c>
      <c r="D167" s="60">
        <f>16+23</f>
        <v>39</v>
      </c>
      <c r="E167" s="51">
        <v>0.1</v>
      </c>
      <c r="F167" s="51">
        <v>0.45</v>
      </c>
      <c r="G167" s="51">
        <v>0.45</v>
      </c>
      <c r="H167" s="51"/>
      <c r="I167" s="49">
        <f t="shared" ref="I167:I185" si="8">IF(A167&lt;&gt;0,(B167-(B166-D166))/(A167-A166),"")</f>
        <v>13.1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>
        <v>40</v>
      </c>
      <c r="B168" s="60">
        <f>241+29+23</f>
        <v>293</v>
      </c>
      <c r="C168" s="60">
        <v>3</v>
      </c>
      <c r="D168" s="60">
        <f>29+32</f>
        <v>61</v>
      </c>
      <c r="E168" s="51"/>
      <c r="F168" s="51"/>
      <c r="G168" s="51"/>
      <c r="H168" s="51"/>
      <c r="I168" s="49">
        <f t="shared" si="8"/>
        <v>11.1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>
        <v>50</v>
      </c>
      <c r="B169" s="60">
        <f>283+36+32</f>
        <v>351</v>
      </c>
      <c r="C169" s="60">
        <v>4</v>
      </c>
      <c r="D169" s="60">
        <f>36+35</f>
        <v>71</v>
      </c>
      <c r="E169" s="51"/>
      <c r="F169" s="51"/>
      <c r="G169" s="51"/>
      <c r="H169" s="51"/>
      <c r="I169" s="49">
        <f t="shared" si="8"/>
        <v>11.9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>
        <v>60</v>
      </c>
      <c r="B170" s="60">
        <f>310+35+35</f>
        <v>380</v>
      </c>
      <c r="C170" s="60">
        <v>5</v>
      </c>
      <c r="D170" s="60">
        <f>35+37</f>
        <v>72</v>
      </c>
      <c r="E170" s="51"/>
      <c r="F170" s="51"/>
      <c r="G170" s="51"/>
      <c r="H170" s="51"/>
      <c r="I170" s="49">
        <f t="shared" si="8"/>
        <v>10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>
        <v>70</v>
      </c>
      <c r="B171" s="60">
        <f>327+37+37</f>
        <v>401</v>
      </c>
      <c r="C171" s="60">
        <v>6</v>
      </c>
      <c r="D171" s="60">
        <f>37+32</f>
        <v>69</v>
      </c>
      <c r="E171" s="51"/>
      <c r="F171" s="51"/>
      <c r="G171" s="51"/>
      <c r="H171" s="51"/>
      <c r="I171" s="49">
        <f t="shared" si="8"/>
        <v>9.3000000000000007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>
        <v>80</v>
      </c>
      <c r="B172" s="60">
        <f>349+31+32</f>
        <v>412</v>
      </c>
      <c r="C172" s="60">
        <v>7</v>
      </c>
      <c r="D172" s="60">
        <f>B172</f>
        <v>412</v>
      </c>
      <c r="E172" s="51"/>
      <c r="F172" s="51"/>
      <c r="G172" s="51"/>
      <c r="H172" s="51"/>
      <c r="I172" s="49">
        <f t="shared" si="8"/>
        <v>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2578125" defaultRowHeight="1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Eucalyptus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Bouleau verruqueux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201.49055911472067</v>
      </c>
      <c r="T3" s="59">
        <f>IF('Données projet'!E9&gt;30,$R$33-$H$33,LOOKUP('Données projet'!$E$9,$A$3:$A$203,R3:R203)-LOOKUP('Données projet'!$E$9,$A$3:$A$203,$H$3:$H$203))</f>
        <v>403.37692064114719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260.53994021583316</v>
      </c>
      <c r="AO3" s="59">
        <f>IF('Données projet'!E10&gt;30,$AM$33-$H$33,LOOKUP('Données projet'!$E$10,$A$3:$A$203,AM3:AM203)-LOOKUP('Données projet'!$E$10,$A$3:$A$203,$H$3:$H$203))</f>
        <v>669.20238852709122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279.20364724206644</v>
      </c>
      <c r="BJ3" s="59">
        <f>IF('Données projet'!E11&gt;30,$BH$33-$H$33,LOOKUP('Données projet'!$E$11,$A$3:$A$203,BH3:BH203)-LOOKUP('Données projet'!$E$11,$A$3:$A$203,$H$3:$H$203))</f>
        <v>173.99850582760712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327.06866218660838</v>
      </c>
      <c r="CE3" s="59">
        <f>IF('Données projet'!E12&gt;30,$CC$33-$H$33,LOOKUP('Données projet'!$E$12,$A$3:$A$203,CC3:CC203)-LOOKUP('Données projet'!$E$12,$A$3:$A$203,$H$3:$H$203))</f>
        <v>202.18198935334908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266.72672633301022</v>
      </c>
      <c r="CZ3" s="59">
        <f>IF('Données projet'!E13&gt;30,$CX$33-$H$33,LOOKUP('Données projet'!$E$13,$A$3:$A$203,CX3:CX203)-LOOKUP('Données projet'!$E$13,$A$3:$A$203,$H$3:$H$203))</f>
        <v>314.26991662544219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442.54137223086991</v>
      </c>
      <c r="DU3" s="59">
        <f>IF('Données projet'!E14&gt;30,$DS$33-$H$33,LOOKUP('Données projet'!$E$14,$A$3:$A$203,DS3:DS203)-LOOKUP('Données projet'!$E$14,$A$3:$A$203,$H$3:$H$203))</f>
        <v>454.23406186660714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11.5</v>
      </c>
      <c r="N4" s="13">
        <f>IF('Données projet'!$A$36&gt;35,N3+M4-V3,IF(A4&lt;'Données projet'!$A$36,$K$205^A4,IF(A4='Données projet'!$A$36,'Données projet'!$B$36,N3+M4-V3)))</f>
        <v>1.4375746958096607</v>
      </c>
      <c r="O4" s="13">
        <f>N4*VLOOKUP('Données projet'!$B$9,Paramètres!$A$1:$I$89,3,0)*VLOOKUP('Données projet'!$B$9,Paramètres!$A$1:$I$89,5,0)</f>
        <v>0.85966966809417722</v>
      </c>
      <c r="P4" s="13">
        <f>EXP(-1.0587+0.8836*LN(O4)+0.284)</f>
        <v>0.40320644916646331</v>
      </c>
      <c r="Q4" s="20">
        <f t="shared" ref="Q4:Q34" si="2">(O4+P4)*0.475*44/12</f>
        <v>2.1995092375622822</v>
      </c>
      <c r="R4" s="59">
        <f t="shared" si="0"/>
        <v>295.53284257089558</v>
      </c>
      <c r="S4" s="59">
        <f ca="1">AVERAGE(OFFSET($R$3,0,0,'Données projet'!$E$9+1,1))-AVERAGE(OFFSET($H$3,0,0,'Données projet'!$E$9+1,1))</f>
        <v>201.49055911472067</v>
      </c>
      <c r="T4" s="59">
        <f>$T$3</f>
        <v>403.37692064114719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22.2</v>
      </c>
      <c r="AI4" s="13">
        <f>IF('Données projet'!$A$62&gt;35,AI3+AH4-AQ3,IF(A4&lt;'Données projet'!$A$62,$AF$205^A4,IF(A4='Données projet'!$A$62,'Données projet'!$B$62,AI3+AH4-AQ3)))</f>
        <v>1.7164663642617921</v>
      </c>
      <c r="AJ4" s="13">
        <f>AI4*VLOOKUP('Données projet'!$B$10,Paramètres!$A$1:$I$89,3,0)*VLOOKUP('Données projet'!$B$10,Paramètres!$A$1:$I$89,5,0)</f>
        <v>1.4995050158191017</v>
      </c>
      <c r="AK4" s="13">
        <f>EXP(-1.0587+0.8836*LN(AJ4)+0.284)</f>
        <v>0.65920371994875537</v>
      </c>
      <c r="AL4" s="20">
        <f t="shared" ref="AL4:AL67" si="4">(AJ4+AK4)*0.475*44/12</f>
        <v>3.7597510481290182</v>
      </c>
      <c r="AM4" s="59">
        <f t="shared" ref="AM4:AM67" si="5">AL4+(AD4+AE4)*44/12</f>
        <v>297.09308438146235</v>
      </c>
      <c r="AN4" s="59">
        <f ca="1">AVERAGE(OFFSET($AM$3,0,0,'Données projet'!$E$10+1,1))-AVERAGE(OFFSET($H$3,0,0,'Données projet'!$E$10+1,1))</f>
        <v>260.53994021583316</v>
      </c>
      <c r="AO4" s="59">
        <f>$AO$3</f>
        <v>669.20238852709122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1.2223636300497438</v>
      </c>
      <c r="BF4" s="13">
        <f>EXP(-1.0587+0.8836*LN(BE4)+0.284)</f>
        <v>0.55030360208821416</v>
      </c>
      <c r="BG4" s="20">
        <f t="shared" ref="BG4:BG67" si="7">(BE4+BF4)*0.475*44/12</f>
        <v>3.0873954293069432</v>
      </c>
      <c r="BH4" s="59">
        <f t="shared" ref="BH4:BH67" si="8">BG4+(AY4+AZ4)*44/12</f>
        <v>296.42072876264024</v>
      </c>
      <c r="BI4" s="59">
        <f ca="1">AVERAGE(OFFSET($BH$3,0,0,'Données projet'!$E$11+1,1))-AVERAGE(OFFSET($H$3,0,0,'Données projet'!$E$11+1,1))</f>
        <v>279.20364724206644</v>
      </c>
      <c r="BJ4" s="59">
        <f>$BJ$3</f>
        <v>173.99850582760712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1.3728083845174046</v>
      </c>
      <c r="CA4" s="13">
        <f>EXP(-1.0587+0.8836*LN(BZ4)+0.284)</f>
        <v>0.60973930699832779</v>
      </c>
      <c r="CB4" s="20">
        <f t="shared" ref="CB4:CB67" si="10">(BZ4+CA4)*0.475*44/12</f>
        <v>3.4529372293899008</v>
      </c>
      <c r="CC4" s="59">
        <f t="shared" ref="CC4:CC67" si="11">CB4+(BT4+BU4)*44/12</f>
        <v>296.78627056272319</v>
      </c>
      <c r="CD4" s="59">
        <f ca="1">AVERAGE(OFFSET($CC$3,0,0,'Données projet'!$E$12+1,1))-AVERAGE(OFFSET($H$3,0,0,'Données projet'!$E$12+1,1))</f>
        <v>327.06866218660838</v>
      </c>
      <c r="CE4" s="59">
        <f>$CE$3</f>
        <v>202.18198935334908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1.0310202862584663</v>
      </c>
      <c r="CV4" s="13">
        <f>EXP(-1.0587+0.8836*LN(CU4)+0.284)</f>
        <v>0.47345092792653765</v>
      </c>
      <c r="CW4" s="20">
        <f t="shared" ref="CW4:CW67" si="13">(CU4+CV4)*0.475*44/12</f>
        <v>2.6202873647055487</v>
      </c>
      <c r="CX4" s="59">
        <f t="shared" ref="CX4:CX67" si="14">CW4+(CO4+CP4)*44/12</f>
        <v>295.95362069803889</v>
      </c>
      <c r="CY4" s="59">
        <f ca="1">AVERAGE(OFFSET($CX$3,0,0,'Données projet'!$E$13+1,1))-AVERAGE(OFFSET($H$3,0,0,'Données projet'!$E$13+1,1))</f>
        <v>266.72672633301022</v>
      </c>
      <c r="CZ4" s="59">
        <f>$CZ$3</f>
        <v>314.26991662544219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5.85</v>
      </c>
      <c r="DO4" s="12">
        <f>IF('Données projet'!$A$166&gt;35,DO3+DN4-DW3,IF(A4&lt;'Données projet'!$A$166,$DL$205^A4,IF(A4='Données projet'!$A$166,'Données projet'!$B$166,DO3+DN4-DW3)))</f>
        <v>1.2688471048731957</v>
      </c>
      <c r="DP4" s="17">
        <f>DO4*VLOOKUP('Données projet'!$B$14,Paramètres!$A$1:$I$89,3,0)*VLOOKUP('Données projet'!$B$14,Paramètres!$A$1:$I$89,5,0)</f>
        <v>1.3657870236855079</v>
      </c>
      <c r="DQ4" s="13">
        <f>EXP(-1.0587+0.8836*LN(DP4)+0.284)</f>
        <v>0.60698291631747847</v>
      </c>
      <c r="DR4" s="20">
        <f t="shared" ref="DR4:DR67" si="16">(DP4+DQ4)*0.475*44/12</f>
        <v>3.4359076455052011</v>
      </c>
      <c r="DS4" s="59">
        <f t="shared" ref="DS4:DS67" si="17">DR4+(DJ4+DK4)*44/12</f>
        <v>296.76924097883852</v>
      </c>
      <c r="DT4" s="59">
        <f ca="1">AVERAGE(OFFSET($DS$3,0,0,'Données projet'!$E$14+1,1))-AVERAGE(OFFSET($H$3,0,0,'Données projet'!$E$14+1,1))</f>
        <v>442.54137223086991</v>
      </c>
      <c r="DU4" s="59">
        <f>$DU$3</f>
        <v>454.23406186660714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11.5</v>
      </c>
      <c r="N5" s="13">
        <f>IF('Données projet'!$A$36&gt;35,N4+M5-V4,IF(A5&lt;'Données projet'!$A$36,$K$205^A5,IF(A5='Données projet'!$A$36,'Données projet'!$B$36,N4+M5-V4)))</f>
        <v>2.0666210060322383</v>
      </c>
      <c r="O5" s="13">
        <f>N5*VLOOKUP('Données projet'!$B$9,Paramètres!$A$1:$I$89,3,0)*VLOOKUP('Données projet'!$B$9,Paramètres!$A$1:$I$89,5,0)</f>
        <v>1.2358393616072785</v>
      </c>
      <c r="P5" s="13">
        <f t="shared" ref="P5:P68" si="33">EXP(-1.0587+0.8836*LN(O5)+0.284)</f>
        <v>0.5556607346368837</v>
      </c>
      <c r="Q5" s="20">
        <f t="shared" si="2"/>
        <v>3.1201960009585821</v>
      </c>
      <c r="R5" s="59">
        <f t="shared" si="0"/>
        <v>296.45352933429189</v>
      </c>
      <c r="S5" s="59">
        <f ca="1">AVERAGE(OFFSET($R$3,0,0,'Données projet'!$E$9+1,1))-AVERAGE(OFFSET($H$3,0,0,'Données projet'!$E$9+1,1))</f>
        <v>201.49055911472067</v>
      </c>
      <c r="T5" s="59">
        <f t="shared" ref="T5:T68" si="34">$T$3</f>
        <v>403.37692064114719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22.2</v>
      </c>
      <c r="AI5" s="13">
        <f>IF('Données projet'!$A$62&gt;35,AI4+AH5-AQ4,IF(A5&lt;'Données projet'!$A$62,$AF$205^A5,IF(A5='Données projet'!$A$62,'Données projet'!$B$62,AI4+AH5-AQ4)))</f>
        <v>2.9462567796420953</v>
      </c>
      <c r="AJ5" s="13">
        <f>AI5*VLOOKUP('Données projet'!$B$10,Paramètres!$A$1:$I$89,3,0)*VLOOKUP('Données projet'!$B$10,Paramètres!$A$1:$I$89,5,0)</f>
        <v>2.5738499226953349</v>
      </c>
      <c r="AK5" s="13">
        <f t="shared" ref="AK5:AK68" si="35">EXP(-1.0587+0.8836*LN(AJ5)+0.284)</f>
        <v>1.0625353758561251</v>
      </c>
      <c r="AL5" s="20">
        <f t="shared" si="4"/>
        <v>6.3333710616437919</v>
      </c>
      <c r="AM5" s="59">
        <f t="shared" si="5"/>
        <v>299.6667043949771</v>
      </c>
      <c r="AN5" s="59">
        <f ca="1">AVERAGE(OFFSET($AM$3,0,0,'Données projet'!$E$10+1,1))-AVERAGE(OFFSET($H$3,0,0,'Données projet'!$E$10+1,1))</f>
        <v>260.53994021583316</v>
      </c>
      <c r="AO5" s="59">
        <f t="shared" ref="AO5:AO68" si="36">$AO$3</f>
        <v>669.20238852709122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1.47354323872622</v>
      </c>
      <c r="BF5" s="13">
        <f t="shared" ref="BF5:BF68" si="37">EXP(-1.0587+0.8836*LN(BE5)+0.284)</f>
        <v>0.64910881835703094</v>
      </c>
      <c r="BG5" s="20">
        <f t="shared" si="7"/>
        <v>3.6969523327533285</v>
      </c>
      <c r="BH5" s="59">
        <f t="shared" si="8"/>
        <v>297.03028566608663</v>
      </c>
      <c r="BI5" s="59">
        <f ca="1">AVERAGE(OFFSET($BH$3,0,0,'Données projet'!$E$11+1,1))-AVERAGE(OFFSET($H$3,0,0,'Données projet'!$E$11+1,1))</f>
        <v>279.20364724206644</v>
      </c>
      <c r="BJ5" s="59">
        <f t="shared" ref="BJ5:BJ68" si="38">$BJ$3</f>
        <v>173.99850582760712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1.6549024065694471</v>
      </c>
      <c r="CA5" s="13">
        <f t="shared" ref="CA5:CA68" si="39">EXP(-1.0587+0.8836*LN(BZ5)+0.284)</f>
        <v>0.71921601016174064</v>
      </c>
      <c r="CB5" s="20">
        <f t="shared" si="10"/>
        <v>4.134922909140152</v>
      </c>
      <c r="CC5" s="59">
        <f t="shared" si="11"/>
        <v>297.46825624247344</v>
      </c>
      <c r="CD5" s="59">
        <f ca="1">AVERAGE(OFFSET($CC$3,0,0,'Données projet'!$E$12+1,1))-AVERAGE(OFFSET($H$3,0,0,'Données projet'!$E$12+1,1))</f>
        <v>327.06866218660838</v>
      </c>
      <c r="CE5" s="59">
        <f t="shared" ref="CE5:CE68" si="40">$CE$3</f>
        <v>202.18198935334908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1.310407828743207</v>
      </c>
      <c r="CV5" s="13">
        <f t="shared" ref="CV5:CV68" si="41">EXP(-1.0587+0.8836*LN(CU5)+0.284)</f>
        <v>0.58518398183877263</v>
      </c>
      <c r="CW5" s="20">
        <f t="shared" si="13"/>
        <v>3.3014890700969475</v>
      </c>
      <c r="CX5" s="59">
        <f t="shared" si="14"/>
        <v>296.63482240343023</v>
      </c>
      <c r="CY5" s="59">
        <f ca="1">AVERAGE(OFFSET($CX$3,0,0,'Données projet'!$E$13+1,1))-AVERAGE(OFFSET($H$3,0,0,'Données projet'!$E$13+1,1))</f>
        <v>266.72672633301022</v>
      </c>
      <c r="CZ5" s="59">
        <f t="shared" ref="CZ5:CZ68" si="42">$CZ$3</f>
        <v>314.26991662544219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5.85</v>
      </c>
      <c r="DO5" s="12">
        <f>IF('Données projet'!$A$166&gt;35,DO4+DN5-DW4,IF(A5&lt;'Données projet'!$A$166,$DL$205^A5,IF(A5='Données projet'!$A$166,'Données projet'!$B$166,DO4+DN5-DW4)))</f>
        <v>1.6099729755450907</v>
      </c>
      <c r="DP5" s="17">
        <f>DO5*VLOOKUP('Données projet'!$B$14,Paramètres!$A$1:$I$89,3,0)*VLOOKUP('Données projet'!$B$14,Paramètres!$A$1:$I$89,5,0)</f>
        <v>1.7329749108767356</v>
      </c>
      <c r="DQ5" s="13">
        <f t="shared" ref="DQ5:DQ68" si="43">EXP(-1.0587+0.8836*LN(DP5)+0.284)</f>
        <v>0.74911573478355231</v>
      </c>
      <c r="DR5" s="20">
        <f t="shared" si="16"/>
        <v>4.3229745411916678</v>
      </c>
      <c r="DS5" s="59">
        <f t="shared" si="17"/>
        <v>297.656307874525</v>
      </c>
      <c r="DT5" s="59">
        <f ca="1">AVERAGE(OFFSET($DS$3,0,0,'Données projet'!$E$14+1,1))-AVERAGE(OFFSET($H$3,0,0,'Données projet'!$E$14+1,1))</f>
        <v>442.54137223086991</v>
      </c>
      <c r="DU5" s="59">
        <f t="shared" ref="DU5:DU68" si="44">$DU$3</f>
        <v>454.23406186660714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11.5</v>
      </c>
      <c r="N6" s="13">
        <f>IF('Données projet'!$A$36&gt;35,N5+M6-V5,IF(A6&lt;'Données projet'!$A$36,$K$205^A6,IF(A6='Données projet'!$A$36,'Données projet'!$B$36,N5+M6-V5)))</f>
        <v>2.97092206410065</v>
      </c>
      <c r="O6" s="13">
        <f>N6*VLOOKUP('Données projet'!$B$9,Paramètres!$A$1:$I$89,3,0)*VLOOKUP('Données projet'!$B$9,Paramètres!$A$1:$I$89,5,0)</f>
        <v>1.7766113943321886</v>
      </c>
      <c r="P6" s="13">
        <f t="shared" si="33"/>
        <v>0.76575871406692364</v>
      </c>
      <c r="Q6" s="20">
        <f t="shared" si="2"/>
        <v>4.4279612721284538</v>
      </c>
      <c r="R6" s="59">
        <f t="shared" si="0"/>
        <v>297.76129460546179</v>
      </c>
      <c r="S6" s="59">
        <f ca="1">AVERAGE(OFFSET($R$3,0,0,'Données projet'!$E$9+1,1))-AVERAGE(OFFSET($H$3,0,0,'Données projet'!$E$9+1,1))</f>
        <v>201.49055911472067</v>
      </c>
      <c r="T6" s="59">
        <f t="shared" si="34"/>
        <v>403.37692064114719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22.2</v>
      </c>
      <c r="AI6" s="13">
        <f>IF('Données projet'!$A$62&gt;35,AI5+AH6-AQ5,IF(A6&lt;'Données projet'!$A$62,$AF$205^A6,IF(A6='Données projet'!$A$62,'Données projet'!$B$62,AI5+AH6-AQ5)))</f>
        <v>5.0571506627339238</v>
      </c>
      <c r="AJ6" s="13">
        <f>AI6*VLOOKUP('Données projet'!$B$10,Paramètres!$A$1:$I$89,3,0)*VLOOKUP('Données projet'!$B$10,Paramètres!$A$1:$I$89,5,0)</f>
        <v>4.4179268189643564</v>
      </c>
      <c r="AK6" s="13">
        <f t="shared" si="35"/>
        <v>1.7126441959907039</v>
      </c>
      <c r="AL6" s="20">
        <f t="shared" si="4"/>
        <v>10.677411184380063</v>
      </c>
      <c r="AM6" s="59">
        <f t="shared" si="5"/>
        <v>304.01074451771336</v>
      </c>
      <c r="AN6" s="59">
        <f ca="1">AVERAGE(OFFSET($AM$3,0,0,'Données projet'!$E$10+1,1))-AVERAGE(OFFSET($H$3,0,0,'Données projet'!$E$10+1,1))</f>
        <v>260.53994021583316</v>
      </c>
      <c r="AO6" s="59">
        <f t="shared" si="36"/>
        <v>669.20238852709122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1.7763369450933317</v>
      </c>
      <c r="BF6" s="13">
        <f t="shared" si="37"/>
        <v>0.76565418883323866</v>
      </c>
      <c r="BG6" s="20">
        <f t="shared" si="7"/>
        <v>4.4273012249221102</v>
      </c>
      <c r="BH6" s="59">
        <f t="shared" si="8"/>
        <v>297.76063455825545</v>
      </c>
      <c r="BI6" s="59">
        <f ca="1">AVERAGE(OFFSET($BH$3,0,0,'Données projet'!$E$11+1,1))-AVERAGE(OFFSET($H$3,0,0,'Données projet'!$E$11+1,1))</f>
        <v>279.20364724206644</v>
      </c>
      <c r="BJ6" s="59">
        <f t="shared" si="38"/>
        <v>173.99850582760712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1.9949630306432804</v>
      </c>
      <c r="CA6" s="13">
        <f t="shared" si="39"/>
        <v>0.84834889818640413</v>
      </c>
      <c r="CB6" s="20">
        <f t="shared" si="10"/>
        <v>4.9521016093783672</v>
      </c>
      <c r="CC6" s="59">
        <f t="shared" si="11"/>
        <v>298.28543494271167</v>
      </c>
      <c r="CD6" s="59">
        <f ca="1">AVERAGE(OFFSET($CC$3,0,0,'Données projet'!$E$12+1,1))-AVERAGE(OFFSET($H$3,0,0,'Données projet'!$E$12+1,1))</f>
        <v>327.06866218660838</v>
      </c>
      <c r="CE6" s="59">
        <f t="shared" si="40"/>
        <v>202.18198935334908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1.6655042587600553</v>
      </c>
      <c r="CV6" s="13">
        <f t="shared" si="41"/>
        <v>0.72328571431972233</v>
      </c>
      <c r="CW6" s="20">
        <f t="shared" si="13"/>
        <v>4.1604758697806128</v>
      </c>
      <c r="CX6" s="59">
        <f t="shared" si="14"/>
        <v>297.49380920311393</v>
      </c>
      <c r="CY6" s="59">
        <f ca="1">AVERAGE(OFFSET($CX$3,0,0,'Données projet'!$E$13+1,1))-AVERAGE(OFFSET($H$3,0,0,'Données projet'!$E$13+1,1))</f>
        <v>266.72672633301022</v>
      </c>
      <c r="CZ6" s="59">
        <f t="shared" si="42"/>
        <v>314.26991662544219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5.85</v>
      </c>
      <c r="DO6" s="12">
        <f>IF('Données projet'!$A$166&gt;35,DO5+DN6-DW5,IF(A6&lt;'Données projet'!$A$166,$DL$205^A6,IF(A6='Données projet'!$A$166,'Données projet'!$B$166,DO5+DN6-DW5)))</f>
        <v>2.0428095489444726</v>
      </c>
      <c r="DP6" s="17">
        <f>DO6*VLOOKUP('Données projet'!$B$14,Paramètres!$A$1:$I$89,3,0)*VLOOKUP('Données projet'!$B$14,Paramètres!$A$1:$I$89,5,0)</f>
        <v>2.1988801984838302</v>
      </c>
      <c r="DQ6" s="13">
        <f t="shared" si="43"/>
        <v>0.92453077181299614</v>
      </c>
      <c r="DR6" s="20">
        <f t="shared" si="16"/>
        <v>5.4399407732669722</v>
      </c>
      <c r="DS6" s="59">
        <f t="shared" si="17"/>
        <v>298.7732741066003</v>
      </c>
      <c r="DT6" s="59">
        <f ca="1">AVERAGE(OFFSET($DS$3,0,0,'Données projet'!$E$14+1,1))-AVERAGE(OFFSET($H$3,0,0,'Données projet'!$E$14+1,1))</f>
        <v>442.54137223086991</v>
      </c>
      <c r="DU6" s="59">
        <f t="shared" si="44"/>
        <v>454.23406186660714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11.5</v>
      </c>
      <c r="N7" s="13">
        <f>IF('Données projet'!$A$36&gt;35,N6+M7-V6,IF(A7&lt;'Données projet'!$A$36,$K$205^A7,IF(A7='Données projet'!$A$36,'Données projet'!$B$36,N6+M7-V6)))</f>
        <v>4.2709223825737004</v>
      </c>
      <c r="O7" s="13">
        <f>N7*VLOOKUP('Données projet'!$B$9,Paramètres!$A$1:$I$89,3,0)*VLOOKUP('Données projet'!$B$9,Paramètres!$A$1:$I$89,5,0)</f>
        <v>2.5540115847790728</v>
      </c>
      <c r="P7" s="13">
        <f t="shared" si="33"/>
        <v>1.0552957436386496</v>
      </c>
      <c r="Q7" s="20">
        <f t="shared" si="2"/>
        <v>6.2862102636608661</v>
      </c>
      <c r="R7" s="59">
        <f t="shared" si="0"/>
        <v>299.61954359699416</v>
      </c>
      <c r="S7" s="59">
        <f ca="1">AVERAGE(OFFSET($R$3,0,0,'Données projet'!$E$9+1,1))-AVERAGE(OFFSET($H$3,0,0,'Données projet'!$E$9+1,1))</f>
        <v>201.49055911472067</v>
      </c>
      <c r="T7" s="59">
        <f t="shared" si="34"/>
        <v>403.37692064114719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22.2</v>
      </c>
      <c r="AI7" s="13">
        <f>IF('Données projet'!$A$62&gt;35,AI6+AH7-AQ6,IF(A7&lt;'Données projet'!$A$62,$AF$205^A7,IF(A7='Données projet'!$A$62,'Données projet'!$B$62,AI6+AH7-AQ6)))</f>
        <v>8.6804290115870106</v>
      </c>
      <c r="AJ7" s="13">
        <f>AI7*VLOOKUP('Données projet'!$B$10,Paramètres!$A$1:$I$89,3,0)*VLOOKUP('Données projet'!$B$10,Paramètres!$A$1:$I$89,5,0)</f>
        <v>7.5832227845224134</v>
      </c>
      <c r="AK7" s="13">
        <f t="shared" si="35"/>
        <v>2.7605199871084696</v>
      </c>
      <c r="AL7" s="20">
        <f t="shared" si="4"/>
        <v>18.015351993923787</v>
      </c>
      <c r="AM7" s="59">
        <f t="shared" si="5"/>
        <v>311.3486853272571</v>
      </c>
      <c r="AN7" s="59">
        <f ca="1">AVERAGE(OFFSET($AM$3,0,0,'Données projet'!$E$10+1,1))-AVERAGE(OFFSET($H$3,0,0,'Données projet'!$E$10+1,1))</f>
        <v>260.53994021583316</v>
      </c>
      <c r="AO7" s="59">
        <f t="shared" si="36"/>
        <v>669.20238852709122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2.1413507656762891</v>
      </c>
      <c r="BF7" s="13">
        <f t="shared" si="37"/>
        <v>0.9031249003236328</v>
      </c>
      <c r="BG7" s="20">
        <f t="shared" si="7"/>
        <v>5.3024617849498643</v>
      </c>
      <c r="BH7" s="59">
        <f t="shared" si="8"/>
        <v>298.63579511828317</v>
      </c>
      <c r="BI7" s="59">
        <f ca="1">AVERAGE(OFFSET($BH$3,0,0,'Données projet'!$E$11+1,1))-AVERAGE(OFFSET($H$3,0,0,'Données projet'!$E$11+1,1))</f>
        <v>279.20364724206644</v>
      </c>
      <c r="BJ7" s="59">
        <f t="shared" si="38"/>
        <v>173.99850582760712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2.4049016291441401</v>
      </c>
      <c r="CA7" s="13">
        <f t="shared" si="39"/>
        <v>1.0006671749315441</v>
      </c>
      <c r="CB7" s="20">
        <f t="shared" si="10"/>
        <v>5.9313656670984827</v>
      </c>
      <c r="CC7" s="59">
        <f t="shared" si="11"/>
        <v>299.26469900043179</v>
      </c>
      <c r="CD7" s="59">
        <f ca="1">AVERAGE(OFFSET($CC$3,0,0,'Données projet'!$E$12+1,1))-AVERAGE(OFFSET($H$3,0,0,'Données projet'!$E$12+1,1))</f>
        <v>327.06866218660838</v>
      </c>
      <c r="CE7" s="59">
        <f t="shared" si="40"/>
        <v>202.18198935334908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2.116825292938223</v>
      </c>
      <c r="CV7" s="13">
        <f t="shared" si="41"/>
        <v>0.89397905748405238</v>
      </c>
      <c r="CW7" s="20">
        <f t="shared" si="13"/>
        <v>5.2438175769854629</v>
      </c>
      <c r="CX7" s="59">
        <f t="shared" si="14"/>
        <v>298.57715091031878</v>
      </c>
      <c r="CY7" s="59">
        <f ca="1">AVERAGE(OFFSET($CX$3,0,0,'Données projet'!$E$13+1,1))-AVERAGE(OFFSET($H$3,0,0,'Données projet'!$E$13+1,1))</f>
        <v>266.72672633301022</v>
      </c>
      <c r="CZ7" s="59">
        <f t="shared" si="42"/>
        <v>314.26991662544219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5.85</v>
      </c>
      <c r="DO7" s="12">
        <f>IF('Données projet'!$A$166&gt;35,DO6+DN7-DW6,IF(A7&lt;'Données projet'!$A$166,$DL$205^A7,IF(A7='Données projet'!$A$166,'Données projet'!$B$166,DO6+DN7-DW6)))</f>
        <v>2.5920129819855133</v>
      </c>
      <c r="DP7" s="17">
        <f>DO7*VLOOKUP('Données projet'!$B$14,Paramètres!$A$1:$I$89,3,0)*VLOOKUP('Données projet'!$B$14,Paramètres!$A$1:$I$89,5,0)</f>
        <v>2.7900427738092062</v>
      </c>
      <c r="DQ7" s="13">
        <f t="shared" si="43"/>
        <v>1.1410214848525453</v>
      </c>
      <c r="DR7" s="20">
        <f t="shared" si="16"/>
        <v>6.8466035838358836</v>
      </c>
      <c r="DS7" s="59">
        <f t="shared" si="17"/>
        <v>300.17993691716919</v>
      </c>
      <c r="DT7" s="59">
        <f ca="1">AVERAGE(OFFSET($DS$3,0,0,'Données projet'!$E$14+1,1))-AVERAGE(OFFSET($H$3,0,0,'Données projet'!$E$14+1,1))</f>
        <v>442.54137223086991</v>
      </c>
      <c r="DU7" s="59">
        <f t="shared" si="44"/>
        <v>454.23406186660714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11.5</v>
      </c>
      <c r="N8" s="13">
        <f>IF('Données projet'!$A$36&gt;35,N7+M8-V7,IF(A8&lt;'Données projet'!$A$36,$K$205^A8,IF(A8='Données projet'!$A$36,'Données projet'!$B$36,N7+M8-V7)))</f>
        <v>6.1397699449550585</v>
      </c>
      <c r="O8" s="13">
        <f>N8*VLOOKUP('Données projet'!$B$9,Paramètres!$A$1:$I$89,3,0)*VLOOKUP('Données projet'!$B$9,Paramètres!$A$1:$I$89,5,0)</f>
        <v>3.6715824270831252</v>
      </c>
      <c r="P8" s="13">
        <f t="shared" si="33"/>
        <v>1.454308107872897</v>
      </c>
      <c r="Q8" s="20">
        <f t="shared" si="2"/>
        <v>8.9275926817150726</v>
      </c>
      <c r="R8" s="59">
        <f t="shared" si="0"/>
        <v>302.26092601504837</v>
      </c>
      <c r="S8" s="59">
        <f ca="1">AVERAGE(OFFSET($R$3,0,0,'Données projet'!$E$9+1,1))-AVERAGE(OFFSET($H$3,0,0,'Données projet'!$E$9+1,1))</f>
        <v>201.49055911472067</v>
      </c>
      <c r="T8" s="59">
        <f t="shared" si="34"/>
        <v>403.37692064114719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22.2</v>
      </c>
      <c r="AI8" s="13">
        <f>IF('Données projet'!$A$62&gt;35,AI7+AH8-AQ7,IF(A8&lt;'Données projet'!$A$62,$AF$205^A8,IF(A8='Données projet'!$A$62,'Données projet'!$B$62,AI7+AH8-AQ7)))</f>
        <v>14.899664425751338</v>
      </c>
      <c r="AJ8" s="13">
        <f>AI8*VLOOKUP('Données projet'!$B$10,Paramètres!$A$1:$I$89,3,0)*VLOOKUP('Données projet'!$B$10,Paramètres!$A$1:$I$89,5,0)</f>
        <v>13.016346842336372</v>
      </c>
      <c r="AK8" s="13">
        <f t="shared" si="35"/>
        <v>4.4495351790318445</v>
      </c>
      <c r="AL8" s="20">
        <f t="shared" si="4"/>
        <v>30.419744520549642</v>
      </c>
      <c r="AM8" s="59">
        <f t="shared" si="5"/>
        <v>323.75307785388293</v>
      </c>
      <c r="AN8" s="59">
        <f ca="1">AVERAGE(OFFSET($AM$3,0,0,'Données projet'!$E$10+1,1))-AVERAGE(OFFSET($H$3,0,0,'Données projet'!$E$10+1,1))</f>
        <v>260.53994021583316</v>
      </c>
      <c r="AO8" s="59">
        <f t="shared" si="36"/>
        <v>669.20238852709122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2.5813701135521372</v>
      </c>
      <c r="BF8" s="13">
        <f t="shared" si="37"/>
        <v>1.0652780295337991</v>
      </c>
      <c r="BG8" s="20">
        <f t="shared" si="7"/>
        <v>6.3512455158746723</v>
      </c>
      <c r="BH8" s="59">
        <f t="shared" si="8"/>
        <v>299.68457884920798</v>
      </c>
      <c r="BI8" s="59">
        <f ca="1">AVERAGE(OFFSET($BH$3,0,0,'Données projet'!$E$11+1,1))-AVERAGE(OFFSET($H$3,0,0,'Données projet'!$E$11+1,1))</f>
        <v>279.20364724206644</v>
      </c>
      <c r="BJ8" s="59">
        <f t="shared" si="38"/>
        <v>173.99850582760712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2.8990772044508617</v>
      </c>
      <c r="CA8" s="13">
        <f t="shared" si="39"/>
        <v>1.1803337012945099</v>
      </c>
      <c r="CB8" s="20">
        <f t="shared" si="10"/>
        <v>7.1049739941731884</v>
      </c>
      <c r="CC8" s="59">
        <f t="shared" si="11"/>
        <v>300.43830732750649</v>
      </c>
      <c r="CD8" s="59">
        <f ca="1">AVERAGE(OFFSET($CC$3,0,0,'Données projet'!$E$12+1,1))-AVERAGE(OFFSET($H$3,0,0,'Données projet'!$E$12+1,1))</f>
        <v>327.06866218660838</v>
      </c>
      <c r="CE8" s="59">
        <f t="shared" si="40"/>
        <v>202.18198935334908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2.690446029936302</v>
      </c>
      <c r="CV8" s="13">
        <f t="shared" si="41"/>
        <v>1.1049555374832079</v>
      </c>
      <c r="CW8" s="20">
        <f t="shared" si="13"/>
        <v>6.6103243965889789</v>
      </c>
      <c r="CX8" s="59">
        <f t="shared" si="14"/>
        <v>299.94365772992228</v>
      </c>
      <c r="CY8" s="59">
        <f ca="1">AVERAGE(OFFSET($CX$3,0,0,'Données projet'!$E$13+1,1))-AVERAGE(OFFSET($H$3,0,0,'Données projet'!$E$13+1,1))</f>
        <v>266.72672633301022</v>
      </c>
      <c r="CZ8" s="59">
        <f t="shared" si="42"/>
        <v>314.26991662544219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5.85</v>
      </c>
      <c r="DO8" s="12">
        <f>IF('Données projet'!$A$166&gt;35,DO7+DN8-DW7,IF(A8&lt;'Données projet'!$A$166,$DL$205^A8,IF(A8='Données projet'!$A$166,'Données projet'!$B$166,DO7+DN8-DW7)))</f>
        <v>3.2888681679860574</v>
      </c>
      <c r="DP8" s="17">
        <f>DO8*VLOOKUP('Données projet'!$B$14,Paramètres!$A$1:$I$89,3,0)*VLOOKUP('Données projet'!$B$14,Paramètres!$A$1:$I$89,5,0)</f>
        <v>3.5401376960201922</v>
      </c>
      <c r="DQ8" s="13">
        <f t="shared" si="43"/>
        <v>1.4082062691564445</v>
      </c>
      <c r="DR8" s="20">
        <f t="shared" si="16"/>
        <v>8.6183657393493096</v>
      </c>
      <c r="DS8" s="59">
        <f t="shared" si="17"/>
        <v>301.95169907268263</v>
      </c>
      <c r="DT8" s="59">
        <f ca="1">AVERAGE(OFFSET($DS$3,0,0,'Données projet'!$E$14+1,1))-AVERAGE(OFFSET($H$3,0,0,'Données projet'!$E$14+1,1))</f>
        <v>442.54137223086991</v>
      </c>
      <c r="DU8" s="59">
        <f t="shared" si="44"/>
        <v>454.23406186660714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11.5</v>
      </c>
      <c r="N9" s="13">
        <f>IF('Données projet'!$A$36&gt;35,N8+M9-V8,IF(A9&lt;'Données projet'!$A$36,$K$205^A9,IF(A9='Données projet'!$A$36,'Données projet'!$B$36,N8+M9-V8)))</f>
        <v>8.8263779109600655</v>
      </c>
      <c r="O9" s="13">
        <f>N9*VLOOKUP('Données projet'!$B$9,Paramètres!$A$1:$I$89,3,0)*VLOOKUP('Données projet'!$B$9,Paramètres!$A$1:$I$89,5,0)</f>
        <v>5.2781739907541194</v>
      </c>
      <c r="P9" s="13">
        <f t="shared" si="33"/>
        <v>2.0041889540199458</v>
      </c>
      <c r="Q9" s="20">
        <f t="shared" si="2"/>
        <v>12.683448795481496</v>
      </c>
      <c r="R9" s="59">
        <f t="shared" si="0"/>
        <v>306.01678212881484</v>
      </c>
      <c r="S9" s="59">
        <f ca="1">AVERAGE(OFFSET($R$3,0,0,'Données projet'!$E$9+1,1))-AVERAGE(OFFSET($H$3,0,0,'Données projet'!$E$9+1,1))</f>
        <v>201.49055911472067</v>
      </c>
      <c r="T9" s="59">
        <f t="shared" si="34"/>
        <v>403.37692064114719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22.2</v>
      </c>
      <c r="AI9" s="13">
        <f>IF('Données projet'!$A$62&gt;35,AI8+AH9-AQ8,IF(A9&lt;'Données projet'!$A$62,$AF$205^A9,IF(A9='Données projet'!$A$62,'Données projet'!$B$62,AI8+AH9-AQ8)))</f>
        <v>25.574772825590163</v>
      </c>
      <c r="AJ9" s="13">
        <f>AI9*VLOOKUP('Données projet'!$B$10,Paramètres!$A$1:$I$89,3,0)*VLOOKUP('Données projet'!$B$10,Paramètres!$A$1:$I$89,5,0)</f>
        <v>22.342121540435571</v>
      </c>
      <c r="AK9" s="13">
        <f t="shared" si="35"/>
        <v>7.1719688326473294</v>
      </c>
      <c r="AL9" s="20">
        <f t="shared" si="4"/>
        <v>51.40370739978605</v>
      </c>
      <c r="AM9" s="59">
        <f t="shared" si="5"/>
        <v>344.73704073311939</v>
      </c>
      <c r="AN9" s="59">
        <f ca="1">AVERAGE(OFFSET($AM$3,0,0,'Données projet'!$E$10+1,1))-AVERAGE(OFFSET($H$3,0,0,'Données projet'!$E$10+1,1))</f>
        <v>260.53994021583316</v>
      </c>
      <c r="AO9" s="59">
        <f t="shared" si="36"/>
        <v>669.20238852709122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3.111807635605039</v>
      </c>
      <c r="BF9" s="13">
        <f t="shared" si="37"/>
        <v>1.2565452240335246</v>
      </c>
      <c r="BG9" s="20">
        <f t="shared" si="7"/>
        <v>7.6082145638704972</v>
      </c>
      <c r="BH9" s="59">
        <f t="shared" si="8"/>
        <v>300.9415478972038</v>
      </c>
      <c r="BI9" s="59">
        <f ca="1">AVERAGE(OFFSET($BH$3,0,0,'Données projet'!$E$11+1,1))-AVERAGE(OFFSET($H$3,0,0,'Données projet'!$E$11+1,1))</f>
        <v>279.20364724206644</v>
      </c>
      <c r="BJ9" s="59">
        <f t="shared" si="38"/>
        <v>173.99850582760712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3.494799344602582</v>
      </c>
      <c r="CA9" s="13">
        <f t="shared" si="39"/>
        <v>1.3922587662645227</v>
      </c>
      <c r="CB9" s="20">
        <f t="shared" si="10"/>
        <v>8.5116262097602071</v>
      </c>
      <c r="CC9" s="59">
        <f t="shared" si="11"/>
        <v>301.84495954309352</v>
      </c>
      <c r="CD9" s="59">
        <f ca="1">AVERAGE(OFFSET($CC$3,0,0,'Données projet'!$E$12+1,1))-AVERAGE(OFFSET($H$3,0,0,'Données projet'!$E$12+1,1))</f>
        <v>327.06866218660838</v>
      </c>
      <c r="CE9" s="59">
        <f t="shared" si="40"/>
        <v>202.18198935334908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3.4195074407641517</v>
      </c>
      <c r="CV9" s="13">
        <f t="shared" si="41"/>
        <v>1.3657218584637647</v>
      </c>
      <c r="CW9" s="20">
        <f t="shared" si="13"/>
        <v>8.3342743628219527</v>
      </c>
      <c r="CX9" s="59">
        <f t="shared" si="14"/>
        <v>301.66760769615524</v>
      </c>
      <c r="CY9" s="59">
        <f ca="1">AVERAGE(OFFSET($CX$3,0,0,'Données projet'!$E$13+1,1))-AVERAGE(OFFSET($H$3,0,0,'Données projet'!$E$13+1,1))</f>
        <v>266.72672633301022</v>
      </c>
      <c r="CZ9" s="59">
        <f t="shared" si="42"/>
        <v>314.26991662544219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5.85</v>
      </c>
      <c r="DO9" s="12">
        <f>IF('Données projet'!$A$166&gt;35,DO8+DN9-DW8,IF(A9&lt;'Données projet'!$A$166,$DL$205^A9,IF(A9='Données projet'!$A$166,'Données projet'!$B$166,DO8+DN9-DW8)))</f>
        <v>4.1730708532587206</v>
      </c>
      <c r="DP9" s="17">
        <f>DO9*VLOOKUP('Données projet'!$B$14,Paramètres!$A$1:$I$89,3,0)*VLOOKUP('Données projet'!$B$14,Paramètres!$A$1:$I$89,5,0)</f>
        <v>4.4918934664476859</v>
      </c>
      <c r="DQ9" s="13">
        <f t="shared" si="43"/>
        <v>1.7379557903309606</v>
      </c>
      <c r="DR9" s="20">
        <f t="shared" si="16"/>
        <v>10.850320788889475</v>
      </c>
      <c r="DS9" s="59">
        <f t="shared" si="17"/>
        <v>304.18365412222278</v>
      </c>
      <c r="DT9" s="59">
        <f ca="1">AVERAGE(OFFSET($DS$3,0,0,'Données projet'!$E$14+1,1))-AVERAGE(OFFSET($H$3,0,0,'Données projet'!$E$14+1,1))</f>
        <v>442.54137223086991</v>
      </c>
      <c r="DU9" s="59">
        <f t="shared" si="44"/>
        <v>454.23406186660714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11.5</v>
      </c>
      <c r="N10" s="13">
        <f>IF('Données projet'!$A$36&gt;35,N9+M10-V9,IF(A10&lt;'Données projet'!$A$36,$K$205^A10,IF(A10='Données projet'!$A$36,'Données projet'!$B$36,N9+M10-V9)))</f>
        <v>12.688577540449524</v>
      </c>
      <c r="O10" s="13">
        <f>N10*VLOOKUP('Données projet'!$B$9,Paramètres!$A$1:$I$89,3,0)*VLOOKUP('Données projet'!$B$9,Paramètres!$A$1:$I$89,5,0)</f>
        <v>7.5877693691888153</v>
      </c>
      <c r="P10" s="13">
        <f t="shared" si="33"/>
        <v>2.7619823761352635</v>
      </c>
      <c r="Q10" s="20">
        <f t="shared" si="2"/>
        <v>18.025817623106104</v>
      </c>
      <c r="R10" s="59">
        <f t="shared" si="0"/>
        <v>311.35915095643941</v>
      </c>
      <c r="S10" s="59">
        <f ca="1">AVERAGE(OFFSET($R$3,0,0,'Données projet'!$E$9+1,1))-AVERAGE(OFFSET($H$3,0,0,'Données projet'!$E$9+1,1))</f>
        <v>201.49055911472067</v>
      </c>
      <c r="T10" s="59">
        <f t="shared" si="34"/>
        <v>403.37692064114719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22.2</v>
      </c>
      <c r="AI10" s="13">
        <f>IF('Données projet'!$A$62&gt;35,AI9+AH10-AQ9,IF(A10&lt;'Données projet'!$A$62,$AF$205^A10,IF(A10='Données projet'!$A$62,'Données projet'!$B$62,AI9+AH10-AQ9)))</f>
        <v>43.898237328762029</v>
      </c>
      <c r="AJ10" s="13">
        <f>AI10*VLOOKUP('Données projet'!$B$10,Paramètres!$A$1:$I$89,3,0)*VLOOKUP('Données projet'!$B$10,Paramètres!$A$1:$I$89,5,0)</f>
        <v>38.349500130406511</v>
      </c>
      <c r="AK10" s="13">
        <f t="shared" si="35"/>
        <v>11.560114678688</v>
      </c>
      <c r="AL10" s="20">
        <f t="shared" si="4"/>
        <v>86.925912459172935</v>
      </c>
      <c r="AM10" s="59">
        <f t="shared" si="5"/>
        <v>380.25924579250625</v>
      </c>
      <c r="AN10" s="59">
        <f ca="1">AVERAGE(OFFSET($AM$3,0,0,'Données projet'!$E$10+1,1))-AVERAGE(OFFSET($H$3,0,0,'Données projet'!$E$10+1,1))</f>
        <v>260.53994021583316</v>
      </c>
      <c r="AO10" s="59">
        <f t="shared" si="36"/>
        <v>669.20238852709122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3.7512430744326299</v>
      </c>
      <c r="BF10" s="13">
        <f t="shared" si="37"/>
        <v>1.4821538192545303</v>
      </c>
      <c r="BG10" s="20">
        <f t="shared" si="7"/>
        <v>9.1148329231718037</v>
      </c>
      <c r="BH10" s="59">
        <f t="shared" si="8"/>
        <v>302.44816625650515</v>
      </c>
      <c r="BI10" s="59">
        <f ca="1">AVERAGE(OFFSET($BH$3,0,0,'Données projet'!$E$11+1,1))-AVERAGE(OFFSET($H$3,0,0,'Données projet'!$E$11+1,1))</f>
        <v>279.20364724206644</v>
      </c>
      <c r="BJ10" s="59">
        <f t="shared" si="38"/>
        <v>173.99850582760712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4.2129345297474154</v>
      </c>
      <c r="CA10" s="13">
        <f t="shared" si="39"/>
        <v>1.6422342851979264</v>
      </c>
      <c r="CB10" s="20">
        <f t="shared" si="10"/>
        <v>10.197752352696471</v>
      </c>
      <c r="CC10" s="59">
        <f t="shared" si="11"/>
        <v>303.53108568602977</v>
      </c>
      <c r="CD10" s="59">
        <f ca="1">AVERAGE(OFFSET($CC$3,0,0,'Données projet'!$E$12+1,1))-AVERAGE(OFFSET($H$3,0,0,'Données projet'!$E$12+1,1))</f>
        <v>327.06866218660838</v>
      </c>
      <c r="CE10" s="59">
        <f t="shared" si="40"/>
        <v>202.18198935334908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4.3461310902855157</v>
      </c>
      <c r="CV10" s="13">
        <f t="shared" si="41"/>
        <v>1.6880282793406653</v>
      </c>
      <c r="CW10" s="20">
        <f t="shared" si="13"/>
        <v>10.509494235432264</v>
      </c>
      <c r="CX10" s="59">
        <f t="shared" si="14"/>
        <v>303.84282756876559</v>
      </c>
      <c r="CY10" s="59">
        <f ca="1">AVERAGE(OFFSET($CX$3,0,0,'Données projet'!$E$13+1,1))-AVERAGE(OFFSET($H$3,0,0,'Données projet'!$E$13+1,1))</f>
        <v>266.72672633301022</v>
      </c>
      <c r="CZ10" s="59">
        <f t="shared" si="42"/>
        <v>314.26991662544219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5.85</v>
      </c>
      <c r="DO10" s="12">
        <f>IF('Données projet'!$A$166&gt;35,DO9+DN10-DW9,IF(A10&lt;'Données projet'!$A$166,$DL$205^A10,IF(A10='Données projet'!$A$166,'Données projet'!$B$166,DO9+DN10-DW9)))</f>
        <v>5.2949888705880443</v>
      </c>
      <c r="DP10" s="17">
        <f>DO10*VLOOKUP('Données projet'!$B$14,Paramètres!$A$1:$I$89,3,0)*VLOOKUP('Données projet'!$B$14,Paramètres!$A$1:$I$89,5,0)</f>
        <v>5.6995260203009703</v>
      </c>
      <c r="DQ10" s="13">
        <f t="shared" si="43"/>
        <v>2.1449203822635123</v>
      </c>
      <c r="DR10" s="20">
        <f t="shared" si="16"/>
        <v>13.662410817799808</v>
      </c>
      <c r="DS10" s="59">
        <f t="shared" si="17"/>
        <v>306.99574415113312</v>
      </c>
      <c r="DT10" s="59">
        <f ca="1">AVERAGE(OFFSET($DS$3,0,0,'Données projet'!$E$14+1,1))-AVERAGE(OFFSET($H$3,0,0,'Données projet'!$E$14+1,1))</f>
        <v>442.54137223086991</v>
      </c>
      <c r="DU10" s="59">
        <f t="shared" si="44"/>
        <v>454.23406186660714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11.5</v>
      </c>
      <c r="N11" s="13">
        <f>IF('Données projet'!$A$36&gt;35,N10+M11-V10,IF(A11&lt;'Données projet'!$A$36,$K$205^A11,IF(A11='Données projet'!$A$36,'Données projet'!$B$36,N10+M11-V10)))</f>
        <v>18.240777997969012</v>
      </c>
      <c r="O11" s="13">
        <f>N11*VLOOKUP('Données projet'!$B$9,Paramètres!$A$1:$I$89,3,0)*VLOOKUP('Données projet'!$B$9,Paramètres!$A$1:$I$89,5,0)</f>
        <v>10.90798524278547</v>
      </c>
      <c r="P11" s="13">
        <f t="shared" si="33"/>
        <v>3.8063011128669646</v>
      </c>
      <c r="Q11" s="20">
        <f t="shared" si="2"/>
        <v>25.627382069427991</v>
      </c>
      <c r="R11" s="59">
        <f t="shared" si="0"/>
        <v>318.96071540276131</v>
      </c>
      <c r="S11" s="59">
        <f ca="1">AVERAGE(OFFSET($R$3,0,0,'Données projet'!$E$9+1,1))-AVERAGE(OFFSET($H$3,0,0,'Données projet'!$E$9+1,1))</f>
        <v>201.49055911472067</v>
      </c>
      <c r="T11" s="59">
        <f t="shared" si="34"/>
        <v>403.37692064114719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22.2</v>
      </c>
      <c r="AI11" s="13">
        <f>IF('Données projet'!$A$62&gt;35,AI10+AH11-AQ10,IF(A11&lt;'Données projet'!$A$62,$AF$205^A11,IF(A11='Données projet'!$A$62,'Données projet'!$B$62,AI10+AH11-AQ10)))</f>
        <v>75.349847825201451</v>
      </c>
      <c r="AJ11" s="13">
        <f>AI11*VLOOKUP('Données projet'!$B$10,Paramètres!$A$1:$I$89,3,0)*VLOOKUP('Données projet'!$B$10,Paramètres!$A$1:$I$89,5,0)</f>
        <v>65.825627060095997</v>
      </c>
      <c r="AK11" s="13">
        <f t="shared" si="35"/>
        <v>18.633133314257559</v>
      </c>
      <c r="AL11" s="20">
        <f t="shared" si="4"/>
        <v>147.0990076519991</v>
      </c>
      <c r="AM11" s="59">
        <f t="shared" si="5"/>
        <v>440.43234098533242</v>
      </c>
      <c r="AN11" s="59">
        <f ca="1">AVERAGE(OFFSET($AM$3,0,0,'Données projet'!$E$10+1,1))-AVERAGE(OFFSET($H$3,0,0,'Données projet'!$E$10+1,1))</f>
        <v>260.53994021583316</v>
      </c>
      <c r="AO11" s="59">
        <f t="shared" si="36"/>
        <v>669.20238852709122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4.5220740647558486</v>
      </c>
      <c r="BF11" s="13">
        <f t="shared" si="37"/>
        <v>1.7482697016499746</v>
      </c>
      <c r="BG11" s="20">
        <f t="shared" si="7"/>
        <v>10.92084872649014</v>
      </c>
      <c r="BH11" s="59">
        <f t="shared" si="8"/>
        <v>304.25418205982345</v>
      </c>
      <c r="BI11" s="59">
        <f ca="1">AVERAGE(OFFSET($BH$3,0,0,'Données projet'!$E$11+1,1))-AVERAGE(OFFSET($H$3,0,0,'Données projet'!$E$11+1,1))</f>
        <v>279.20364724206644</v>
      </c>
      <c r="BJ11" s="59">
        <f t="shared" si="38"/>
        <v>173.99850582760712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5.0786370265719523</v>
      </c>
      <c r="CA11" s="13">
        <f t="shared" si="39"/>
        <v>1.9370920929558988</v>
      </c>
      <c r="CB11" s="20">
        <f t="shared" si="10"/>
        <v>12.219061549844341</v>
      </c>
      <c r="CC11" s="59">
        <f t="shared" si="11"/>
        <v>305.55239488317767</v>
      </c>
      <c r="CD11" s="59">
        <f ca="1">AVERAGE(OFFSET($CC$3,0,0,'Données projet'!$E$12+1,1))-AVERAGE(OFFSET($H$3,0,0,'Données projet'!$E$12+1,1))</f>
        <v>327.06866218660838</v>
      </c>
      <c r="CE11" s="59">
        <f t="shared" si="40"/>
        <v>202.18198935334908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5.5238527130460966</v>
      </c>
      <c r="CV11" s="13">
        <f t="shared" si="41"/>
        <v>2.0863980862538192</v>
      </c>
      <c r="CW11" s="20">
        <f t="shared" si="13"/>
        <v>13.25452014211402</v>
      </c>
      <c r="CX11" s="59">
        <f t="shared" si="14"/>
        <v>306.58785347544733</v>
      </c>
      <c r="CY11" s="59">
        <f ca="1">AVERAGE(OFFSET($CX$3,0,0,'Données projet'!$E$13+1,1))-AVERAGE(OFFSET($H$3,0,0,'Données projet'!$E$13+1,1))</f>
        <v>266.72672633301022</v>
      </c>
      <c r="CZ11" s="59">
        <f t="shared" si="42"/>
        <v>314.26991662544219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5.85</v>
      </c>
      <c r="DO11" s="12">
        <f>IF('Données projet'!$A$166&gt;35,DO10+DN11-DW10,IF(A11&lt;'Données projet'!$A$166,$DL$205^A11,IF(A11='Données projet'!$A$166,'Données projet'!$B$166,DO10+DN11-DW10)))</f>
        <v>6.718531298781433</v>
      </c>
      <c r="DP11" s="17">
        <f>DO11*VLOOKUP('Données projet'!$B$14,Paramètres!$A$1:$I$89,3,0)*VLOOKUP('Données projet'!$B$14,Paramètres!$A$1:$I$89,5,0)</f>
        <v>7.2318270900083341</v>
      </c>
      <c r="DQ11" s="13">
        <f t="shared" si="43"/>
        <v>2.6471809420269188</v>
      </c>
      <c r="DR11" s="20">
        <f t="shared" si="16"/>
        <v>17.205938989128065</v>
      </c>
      <c r="DS11" s="59">
        <f t="shared" si="17"/>
        <v>310.53927232246139</v>
      </c>
      <c r="DT11" s="59">
        <f ca="1">AVERAGE(OFFSET($DS$3,0,0,'Données projet'!$E$14+1,1))-AVERAGE(OFFSET($H$3,0,0,'Données projet'!$E$14+1,1))</f>
        <v>442.54137223086991</v>
      </c>
      <c r="DU11" s="59">
        <f t="shared" si="44"/>
        <v>454.23406186660714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11.5</v>
      </c>
      <c r="N12" s="13">
        <f>IF('Données projet'!$A$36&gt;35,N11+M12-V11,IF(A12&lt;'Données projet'!$A$36,$K$205^A12,IF(A12='Données projet'!$A$36,'Données projet'!$B$36,N11+M12-V11)))</f>
        <v>26.222480881761854</v>
      </c>
      <c r="O12" s="13">
        <f>N12*VLOOKUP('Données projet'!$B$9,Paramètres!$A$1:$I$89,3,0)*VLOOKUP('Données projet'!$B$9,Paramètres!$A$1:$I$89,5,0)</f>
        <v>15.681043567293589</v>
      </c>
      <c r="P12" s="13">
        <f t="shared" si="33"/>
        <v>5.2454817550590969</v>
      </c>
      <c r="Q12" s="20">
        <f t="shared" si="2"/>
        <v>36.447031603097592</v>
      </c>
      <c r="R12" s="59">
        <f t="shared" si="0"/>
        <v>329.78036493643089</v>
      </c>
      <c r="S12" s="59">
        <f ca="1">AVERAGE(OFFSET($R$3,0,0,'Données projet'!$E$9+1,1))-AVERAGE(OFFSET($H$3,0,0,'Données projet'!$E$9+1,1))</f>
        <v>201.49055911472067</v>
      </c>
      <c r="T12" s="59">
        <f t="shared" si="34"/>
        <v>403.37692064114719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22.2</v>
      </c>
      <c r="AI12" s="13">
        <f>IF('Données projet'!$A$62&gt;35,AI11+AH12-AQ11,IF(A12&lt;'Données projet'!$A$62,$AF$205^A12,IF(A12='Données projet'!$A$62,'Données projet'!$B$62,AI11+AH12-AQ11)))</f>
        <v>129.33547934420284</v>
      </c>
      <c r="AJ12" s="13">
        <f>AI12*VLOOKUP('Données projet'!$B$10,Paramètres!$A$1:$I$89,3,0)*VLOOKUP('Données projet'!$B$10,Paramètres!$A$1:$I$89,5,0)</f>
        <v>112.98747475509562</v>
      </c>
      <c r="AK12" s="13">
        <f t="shared" si="35"/>
        <v>30.033755439033367</v>
      </c>
      <c r="AL12" s="20">
        <f t="shared" si="4"/>
        <v>249.09530925477461</v>
      </c>
      <c r="AM12" s="59">
        <f t="shared" si="5"/>
        <v>542.42864258810789</v>
      </c>
      <c r="AN12" s="59">
        <f ca="1">AVERAGE(OFFSET($AM$3,0,0,'Données projet'!$E$10+1,1))-AVERAGE(OFFSET($H$3,0,0,'Données projet'!$E$10+1,1))</f>
        <v>260.53994021583316</v>
      </c>
      <c r="AO12" s="59">
        <f t="shared" si="36"/>
        <v>669.20238852709122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5.4513006599100189</v>
      </c>
      <c r="BF12" s="13">
        <f t="shared" si="37"/>
        <v>2.062165822468125</v>
      </c>
      <c r="BG12" s="20">
        <f t="shared" si="7"/>
        <v>13.085954123475267</v>
      </c>
      <c r="BH12" s="59">
        <f t="shared" si="8"/>
        <v>306.4192874568086</v>
      </c>
      <c r="BI12" s="59">
        <f ca="1">AVERAGE(OFFSET($BH$3,0,0,'Données projet'!$E$11+1,1))-AVERAGE(OFFSET($H$3,0,0,'Données projet'!$E$11+1,1))</f>
        <v>279.20364724206644</v>
      </c>
      <c r="BJ12" s="59">
        <f t="shared" si="38"/>
        <v>173.99850582760712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6.1222299718989444</v>
      </c>
      <c r="CA12" s="13">
        <f t="shared" si="39"/>
        <v>2.2848906580585888</v>
      </c>
      <c r="CB12" s="20">
        <f t="shared" si="10"/>
        <v>14.642401763842701</v>
      </c>
      <c r="CC12" s="59">
        <f t="shared" si="11"/>
        <v>307.97573509717603</v>
      </c>
      <c r="CD12" s="59">
        <f ca="1">AVERAGE(OFFSET($CC$3,0,0,'Données projet'!$E$12+1,1))-AVERAGE(OFFSET($H$3,0,0,'Données projet'!$E$12+1,1))</f>
        <v>327.06866218660838</v>
      </c>
      <c r="CE12" s="59">
        <f t="shared" si="40"/>
        <v>202.18198935334908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7.0207152434102458</v>
      </c>
      <c r="CV12" s="13">
        <f t="shared" si="41"/>
        <v>2.5787820189978565</v>
      </c>
      <c r="CW12" s="20">
        <f t="shared" si="13"/>
        <v>16.71912439869411</v>
      </c>
      <c r="CX12" s="59">
        <f t="shared" si="14"/>
        <v>310.05245773202745</v>
      </c>
      <c r="CY12" s="59">
        <f ca="1">AVERAGE(OFFSET($CX$3,0,0,'Données projet'!$E$13+1,1))-AVERAGE(OFFSET($H$3,0,0,'Données projet'!$E$13+1,1))</f>
        <v>266.72672633301022</v>
      </c>
      <c r="CZ12" s="59">
        <f t="shared" si="42"/>
        <v>314.26991662544219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5.85</v>
      </c>
      <c r="DO12" s="12">
        <f>IF('Données projet'!$A$166&gt;35,DO11+DN12-DW11,IF(A12&lt;'Données projet'!$A$166,$DL$205^A12,IF(A12='Données projet'!$A$166,'Données projet'!$B$166,DO11+DN12-DW11)))</f>
        <v>8.5247889874587734</v>
      </c>
      <c r="DP12" s="17">
        <f>DO12*VLOOKUP('Données projet'!$B$14,Paramètres!$A$1:$I$89,3,0)*VLOOKUP('Données projet'!$B$14,Paramètres!$A$1:$I$89,5,0)</f>
        <v>9.1760828661006233</v>
      </c>
      <c r="DQ12" s="13">
        <f t="shared" si="43"/>
        <v>3.2670522401561191</v>
      </c>
      <c r="DR12" s="20">
        <f t="shared" si="16"/>
        <v>21.671793643397155</v>
      </c>
      <c r="DS12" s="59">
        <f t="shared" si="17"/>
        <v>315.00512697673048</v>
      </c>
      <c r="DT12" s="59">
        <f ca="1">AVERAGE(OFFSET($DS$3,0,0,'Données projet'!$E$14+1,1))-AVERAGE(OFFSET($H$3,0,0,'Données projet'!$E$14+1,1))</f>
        <v>442.54137223086991</v>
      </c>
      <c r="DU12" s="59">
        <f t="shared" si="44"/>
        <v>454.23406186660714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11.5</v>
      </c>
      <c r="N13" s="13">
        <f>IF('Données projet'!$A$36&gt;35,N12+M13-V12,IF(A13&lt;'Données projet'!$A$36,$K$205^A13,IF(A13='Données projet'!$A$36,'Données projet'!$B$36,N12+M13-V12)))</f>
        <v>37.696774976973437</v>
      </c>
      <c r="O13" s="13">
        <f>N13*VLOOKUP('Données projet'!$B$9,Paramètres!$A$1:$I$89,3,0)*VLOOKUP('Données projet'!$B$9,Paramètres!$A$1:$I$89,5,0)</f>
        <v>22.542671436230119</v>
      </c>
      <c r="P13" s="13">
        <f t="shared" si="33"/>
        <v>7.2288234763258323</v>
      </c>
      <c r="Q13" s="20">
        <f t="shared" si="2"/>
        <v>51.852020306034944</v>
      </c>
      <c r="R13" s="59">
        <f t="shared" si="0"/>
        <v>345.18535363936826</v>
      </c>
      <c r="S13" s="59">
        <f ca="1">AVERAGE(OFFSET($R$3,0,0,'Données projet'!$E$9+1,1))-AVERAGE(OFFSET($H$3,0,0,'Données projet'!$E$9+1,1))</f>
        <v>201.49055911472067</v>
      </c>
      <c r="T13" s="59">
        <f t="shared" si="34"/>
        <v>403.37692064114719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222</v>
      </c>
      <c r="AG13" s="12">
        <f>VLOOKUP(A13,'Données projet'!$A$61:$I$81,9,0)</f>
        <v>22.2</v>
      </c>
      <c r="AH13" s="12">
        <f t="array" ref="AH13">INDEX(AG:AG,MIN(IF(ISNUMBER(AG13:AG209),ROW(AG13:AG209),"")))</f>
        <v>22.2</v>
      </c>
      <c r="AI13" s="13">
        <f>IF('Données projet'!$A$62&gt;35,AI12+AH13-AQ12,IF(A13&lt;'Données projet'!$A$62,$AF$205^A13,IF(A13='Données projet'!$A$62,'Données projet'!$B$62,AI12+AH13-AQ12)))</f>
        <v>222</v>
      </c>
      <c r="AJ13" s="13">
        <f>AI13*VLOOKUP('Données projet'!$B$10,Paramètres!$A$1:$I$89,3,0)*VLOOKUP('Données projet'!$B$10,Paramètres!$A$1:$I$89,5,0)</f>
        <v>193.93920000000003</v>
      </c>
      <c r="AK13" s="13">
        <f t="shared" si="35"/>
        <v>48.409811198069384</v>
      </c>
      <c r="AL13" s="20">
        <f t="shared" si="4"/>
        <v>422.09119450330417</v>
      </c>
      <c r="AM13" s="59">
        <f t="shared" si="5"/>
        <v>715.42452783663748</v>
      </c>
      <c r="AN13" s="59">
        <f ca="1">AVERAGE(OFFSET($AM$3,0,0,'Données projet'!$E$10+1,1))-AVERAGE(OFFSET($H$3,0,0,'Données projet'!$E$10+1,1))</f>
        <v>260.53994021583316</v>
      </c>
      <c r="AO13" s="59">
        <f t="shared" si="36"/>
        <v>669.20238852709122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200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1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164.85302251985345</v>
      </c>
      <c r="AX13" s="21">
        <f t="shared" si="6"/>
        <v>164.85302251985345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6.5714710681855761</v>
      </c>
      <c r="BF13" s="13">
        <f t="shared" si="37"/>
        <v>2.4324209676242781</v>
      </c>
      <c r="BG13" s="20">
        <f t="shared" si="7"/>
        <v>15.681778629035497</v>
      </c>
      <c r="BH13" s="59">
        <f t="shared" si="8"/>
        <v>309.01511196236879</v>
      </c>
      <c r="BI13" s="59">
        <f ca="1">AVERAGE(OFFSET($BH$3,0,0,'Données projet'!$E$11+1,1))-AVERAGE(OFFSET($H$3,0,0,'Données projet'!$E$11+1,1))</f>
        <v>279.20364724206644</v>
      </c>
      <c r="BJ13" s="59">
        <f t="shared" si="38"/>
        <v>173.99850582760712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7.3802675073468773</v>
      </c>
      <c r="CA13" s="13">
        <f t="shared" si="39"/>
        <v>2.6951353207564148</v>
      </c>
      <c r="CB13" s="20">
        <f t="shared" si="10"/>
        <v>17.547993258946569</v>
      </c>
      <c r="CC13" s="59">
        <f t="shared" si="11"/>
        <v>310.88132659227989</v>
      </c>
      <c r="CD13" s="59">
        <f ca="1">AVERAGE(OFFSET($CC$3,0,0,'Données projet'!$E$12+1,1))-AVERAGE(OFFSET($H$3,0,0,'Données projet'!$E$12+1,1))</f>
        <v>327.06866218660838</v>
      </c>
      <c r="CE13" s="59">
        <f t="shared" si="40"/>
        <v>202.18198935334908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8.9232000000000014</v>
      </c>
      <c r="CV13" s="13">
        <f t="shared" si="41"/>
        <v>3.187367140202428</v>
      </c>
      <c r="CW13" s="20">
        <f t="shared" si="13"/>
        <v>21.092571102519226</v>
      </c>
      <c r="CX13" s="59">
        <f t="shared" si="14"/>
        <v>314.42590443585254</v>
      </c>
      <c r="CY13" s="59">
        <f ca="1">AVERAGE(OFFSET($CX$3,0,0,'Données projet'!$E$13+1,1))-AVERAGE(OFFSET($H$3,0,0,'Données projet'!$E$13+1,1))</f>
        <v>266.72672633301022</v>
      </c>
      <c r="CZ13" s="59">
        <f t="shared" si="42"/>
        <v>314.26991662544219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0.1075</v>
      </c>
      <c r="DE13" s="16">
        <f>IF(ISNA(VLOOKUP(A13,'Données projet'!$A$139:$I$159,7,0)),0%,VLOOKUP(A13,'Données projet'!$A$139:$I$159,7,0))</f>
        <v>0.25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5.85</v>
      </c>
      <c r="DO13" s="12">
        <f>IF('Données projet'!$A$166&gt;35,DO12+DN13-DW12,IF(A13&lt;'Données projet'!$A$166,$DL$205^A13,IF(A13='Données projet'!$A$166,'Données projet'!$B$166,DO12+DN13-DW12)))</f>
        <v>10.816653826391967</v>
      </c>
      <c r="DP13" s="17">
        <f>DO13*VLOOKUP('Données projet'!$B$14,Paramètres!$A$1:$I$89,3,0)*VLOOKUP('Données projet'!$B$14,Paramètres!$A$1:$I$89,5,0)</f>
        <v>11.643046178728314</v>
      </c>
      <c r="DQ13" s="13">
        <f t="shared" si="43"/>
        <v>4.0320743363075247</v>
      </c>
      <c r="DR13" s="20">
        <f t="shared" si="16"/>
        <v>27.300834897020753</v>
      </c>
      <c r="DS13" s="59">
        <f t="shared" si="17"/>
        <v>320.63416823035408</v>
      </c>
      <c r="DT13" s="59">
        <f ca="1">AVERAGE(OFFSET($DS$3,0,0,'Données projet'!$E$14+1,1))-AVERAGE(OFFSET($H$3,0,0,'Données projet'!$E$14+1,1))</f>
        <v>442.54137223086991</v>
      </c>
      <c r="DU13" s="59">
        <f t="shared" si="44"/>
        <v>454.23406186660714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11.5</v>
      </c>
      <c r="N14" s="13">
        <f>IF('Données projet'!$A$36&gt;35,N13+M14-V13,IF(A14&lt;'Données projet'!$A$36,$K$205^A14,IF(A14='Données projet'!$A$36,'Données projet'!$B$36,N13+M14-V13)))</f>
        <v>54.191929820527818</v>
      </c>
      <c r="O14" s="13">
        <f>N14*VLOOKUP('Données projet'!$B$9,Paramètres!$A$1:$I$89,3,0)*VLOOKUP('Données projet'!$B$9,Paramètres!$A$1:$I$89,5,0)</f>
        <v>32.406774032675635</v>
      </c>
      <c r="P14" s="13">
        <f t="shared" si="33"/>
        <v>9.9620761813689214</v>
      </c>
      <c r="Q14" s="20">
        <f t="shared" si="2"/>
        <v>73.792414122794256</v>
      </c>
      <c r="R14" s="59">
        <f t="shared" si="0"/>
        <v>367.12574745612756</v>
      </c>
      <c r="S14" s="59">
        <f ca="1">AVERAGE(OFFSET($R$3,0,0,'Données projet'!$E$9+1,1))-AVERAGE(OFFSET($H$3,0,0,'Données projet'!$E$9+1,1))</f>
        <v>201.49055911472067</v>
      </c>
      <c r="T14" s="59">
        <f t="shared" si="34"/>
        <v>403.37692064114719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31.1</v>
      </c>
      <c r="AI14" s="13">
        <f>IF('Données projet'!$A$62&gt;35,AI13+AH14-AQ13,IF(A14&lt;'Données projet'!$A$62,$AF$205^A14,IF(A14='Données projet'!$A$62,'Données projet'!$B$62,AI13+AH14-AQ13)))</f>
        <v>53.099999999999994</v>
      </c>
      <c r="AJ14" s="13">
        <f>AI14*VLOOKUP('Données projet'!$B$10,Paramètres!$A$1:$I$89,3,0)*VLOOKUP('Données projet'!$B$10,Paramètres!$A$1:$I$89,5,0)</f>
        <v>46.388159999999999</v>
      </c>
      <c r="AK14" s="13">
        <f t="shared" si="35"/>
        <v>13.676955045984235</v>
      </c>
      <c r="AL14" s="20">
        <f t="shared" si="4"/>
        <v>104.61340870508918</v>
      </c>
      <c r="AM14" s="59">
        <f t="shared" si="5"/>
        <v>397.94674203842249</v>
      </c>
      <c r="AN14" s="59">
        <f ca="1">AVERAGE(OFFSET($AM$3,0,0,'Données projet'!$E$10+1,1))-AVERAGE(OFFSET($H$3,0,0,'Données projet'!$E$10+1,1))</f>
        <v>260.53994021583316</v>
      </c>
      <c r="AO14" s="59">
        <f t="shared" si="36"/>
        <v>669.20238852709122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116.56869012288702</v>
      </c>
      <c r="AX14" s="21">
        <f t="shared" si="6"/>
        <v>116.56869012288702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7.921821725516951</v>
      </c>
      <c r="BF14" s="13">
        <f t="shared" si="37"/>
        <v>2.869154216054651</v>
      </c>
      <c r="BG14" s="20">
        <f t="shared" si="7"/>
        <v>18.794283098237205</v>
      </c>
      <c r="BH14" s="59">
        <f t="shared" si="8"/>
        <v>312.12761643157052</v>
      </c>
      <c r="BI14" s="59">
        <f ca="1">AVERAGE(OFFSET($BH$3,0,0,'Données projet'!$E$11+1,1))-AVERAGE(OFFSET($H$3,0,0,'Données projet'!$E$11+1,1))</f>
        <v>279.20364724206644</v>
      </c>
      <c r="BJ14" s="59">
        <f t="shared" si="38"/>
        <v>173.99850582760712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8.8968151686574988</v>
      </c>
      <c r="CA14" s="13">
        <f t="shared" si="39"/>
        <v>3.1790380741285023</v>
      </c>
      <c r="CB14" s="20">
        <f t="shared" si="10"/>
        <v>21.032111064518954</v>
      </c>
      <c r="CC14" s="59">
        <f t="shared" si="11"/>
        <v>314.36544439785229</v>
      </c>
      <c r="CD14" s="59">
        <f ca="1">AVERAGE(OFFSET($CC$3,0,0,'Données projet'!$E$12+1,1))-AVERAGE(OFFSET($H$3,0,0,'Données projet'!$E$12+1,1))</f>
        <v>327.06866218660838</v>
      </c>
      <c r="CE14" s="59">
        <f t="shared" si="40"/>
        <v>202.18198935334908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12.3</v>
      </c>
      <c r="CT14" s="12">
        <f>IF('Données projet'!$A$140&gt;35,CT13+CS14-DB13,IF(A14&lt;'Données projet'!$A$140,$CQ$205^A14,IF(A14='Données projet'!$A$140,'Données projet'!$B$140,CT13+CS14-DB13)))</f>
        <v>23.3</v>
      </c>
      <c r="CU14" s="17">
        <f>CT14*VLOOKUP('Données projet'!$B$13,Paramètres!$A$1:$I$89,3,0)*VLOOKUP('Données projet'!$B$13,Paramètres!$A$1:$I$89,5,0)</f>
        <v>18.900960000000001</v>
      </c>
      <c r="CV14" s="13">
        <f t="shared" si="41"/>
        <v>6.1866166524774453</v>
      </c>
      <c r="CW14" s="20">
        <f t="shared" si="13"/>
        <v>43.694196003064881</v>
      </c>
      <c r="CX14" s="59">
        <f t="shared" si="14"/>
        <v>337.02752933639817</v>
      </c>
      <c r="CY14" s="59">
        <f ca="1">AVERAGE(OFFSET($CX$3,0,0,'Données projet'!$E$13+1,1))-AVERAGE(OFFSET($H$3,0,0,'Données projet'!$E$13+1,1))</f>
        <v>266.72672633301022</v>
      </c>
      <c r="CZ14" s="59">
        <f t="shared" si="42"/>
        <v>314.26991662544219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5.85</v>
      </c>
      <c r="DO14" s="12">
        <f>IF('Données projet'!$A$166&gt;35,DO13+DN14-DW13,IF(A14&lt;'Données projet'!$A$166,$DL$205^A14,IF(A14='Données projet'!$A$166,'Données projet'!$B$166,DO13+DN14-DW13)))</f>
        <v>13.724679892033022</v>
      </c>
      <c r="DP14" s="17">
        <f>DO14*VLOOKUP('Données projet'!$B$14,Paramètres!$A$1:$I$89,3,0)*VLOOKUP('Données projet'!$B$14,Paramètres!$A$1:$I$89,5,0)</f>
        <v>14.773245435784343</v>
      </c>
      <c r="DQ14" s="13">
        <f t="shared" si="43"/>
        <v>4.9762361475838759</v>
      </c>
      <c r="DR14" s="20">
        <f t="shared" si="16"/>
        <v>34.397013757699646</v>
      </c>
      <c r="DS14" s="59">
        <f t="shared" si="17"/>
        <v>327.73034709103297</v>
      </c>
      <c r="DT14" s="59">
        <f ca="1">AVERAGE(OFFSET($DS$3,0,0,'Données projet'!$E$14+1,1))-AVERAGE(OFFSET($H$3,0,0,'Données projet'!$E$14+1,1))</f>
        <v>442.54137223086991</v>
      </c>
      <c r="DU14" s="59">
        <f t="shared" si="44"/>
        <v>454.23406186660714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11.5</v>
      </c>
      <c r="N15" s="13">
        <f>IF('Données projet'!$A$36&gt;35,N14+M15-V14,IF(A15&lt;'Données projet'!$A$36,$K$205^A15,IF(A15='Données projet'!$A$36,'Données projet'!$B$36,N14+M15-V14)))</f>
        <v>77.90494702708375</v>
      </c>
      <c r="O15" s="13">
        <f>N15*VLOOKUP('Données projet'!$B$9,Paramètres!$A$1:$I$89,3,0)*VLOOKUP('Données projet'!$B$9,Paramètres!$A$1:$I$89,5,0)</f>
        <v>46.587158322196082</v>
      </c>
      <c r="P15" s="13">
        <f t="shared" si="33"/>
        <v>13.728784797196329</v>
      </c>
      <c r="Q15" s="20">
        <f t="shared" si="2"/>
        <v>105.05026759960845</v>
      </c>
      <c r="R15" s="59">
        <f t="shared" si="0"/>
        <v>398.38360093294176</v>
      </c>
      <c r="S15" s="59">
        <f ca="1">AVERAGE(OFFSET($R$3,0,0,'Données projet'!$E$9+1,1))-AVERAGE(OFFSET($H$3,0,0,'Données projet'!$E$9+1,1))</f>
        <v>201.49055911472067</v>
      </c>
      <c r="T15" s="59">
        <f t="shared" si="34"/>
        <v>403.37692064114719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31.1</v>
      </c>
      <c r="AI15" s="13">
        <f>IF('Données projet'!$A$62&gt;35,AI14+AH15-AQ14,IF(A15&lt;'Données projet'!$A$62,$AF$205^A15,IF(A15='Données projet'!$A$62,'Données projet'!$B$62,AI14+AH15-AQ14)))</f>
        <v>84.199999999999989</v>
      </c>
      <c r="AJ15" s="13">
        <f>AI15*VLOOKUP('Données projet'!$B$10,Paramètres!$A$1:$I$89,3,0)*VLOOKUP('Données projet'!$B$10,Paramètres!$A$1:$I$89,5,0)</f>
        <v>73.557119999999998</v>
      </c>
      <c r="AK15" s="13">
        <f t="shared" si="35"/>
        <v>20.554251427792224</v>
      </c>
      <c r="AL15" s="20">
        <f t="shared" si="4"/>
        <v>163.91063857007143</v>
      </c>
      <c r="AM15" s="59">
        <f t="shared" si="5"/>
        <v>457.24397190340471</v>
      </c>
      <c r="AN15" s="59">
        <f ca="1">AVERAGE(OFFSET($AM$3,0,0,'Données projet'!$E$10+1,1))-AVERAGE(OFFSET($H$3,0,0,'Données projet'!$E$10+1,1))</f>
        <v>260.53994021583316</v>
      </c>
      <c r="AO15" s="59">
        <f t="shared" si="36"/>
        <v>669.20238852709122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82.426511259926741</v>
      </c>
      <c r="AX15" s="21">
        <f t="shared" si="6"/>
        <v>82.426511259926741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9.5496516380767513</v>
      </c>
      <c r="BF15" s="13">
        <f t="shared" si="37"/>
        <v>3.3843014943027487</v>
      </c>
      <c r="BG15" s="20">
        <f t="shared" si="7"/>
        <v>22.526635038894295</v>
      </c>
      <c r="BH15" s="59">
        <f t="shared" si="8"/>
        <v>315.85996837222763</v>
      </c>
      <c r="BI15" s="59">
        <f ca="1">AVERAGE(OFFSET($BH$3,0,0,'Données projet'!$E$11+1,1))-AVERAGE(OFFSET($H$3,0,0,'Données projet'!$E$11+1,1))</f>
        <v>279.20364724206644</v>
      </c>
      <c r="BJ15" s="59">
        <f t="shared" si="38"/>
        <v>173.99850582760712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10.724993378147735</v>
      </c>
      <c r="CA15" s="13">
        <f t="shared" si="39"/>
        <v>3.7498239880297484</v>
      </c>
      <c r="CB15" s="20">
        <f t="shared" si="10"/>
        <v>25.210306912759112</v>
      </c>
      <c r="CC15" s="59">
        <f t="shared" si="11"/>
        <v>318.54364024609242</v>
      </c>
      <c r="CD15" s="59">
        <f ca="1">AVERAGE(OFFSET($CC$3,0,0,'Données projet'!$E$12+1,1))-AVERAGE(OFFSET($H$3,0,0,'Données projet'!$E$12+1,1))</f>
        <v>327.06866218660838</v>
      </c>
      <c r="CE15" s="59">
        <f t="shared" si="40"/>
        <v>202.18198935334908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12.3</v>
      </c>
      <c r="CT15" s="12">
        <f>IF('Données projet'!$A$140&gt;35,CT14+CS15-DB14,IF(A15&lt;'Données projet'!$A$140,$CQ$205^A15,IF(A15='Données projet'!$A$140,'Données projet'!$B$140,CT14+CS15-DB14)))</f>
        <v>35.6</v>
      </c>
      <c r="CU15" s="17">
        <f>CT15*VLOOKUP('Données projet'!$B$13,Paramètres!$A$1:$I$89,3,0)*VLOOKUP('Données projet'!$B$13,Paramètres!$A$1:$I$89,5,0)</f>
        <v>28.878720000000001</v>
      </c>
      <c r="CV15" s="13">
        <f t="shared" si="41"/>
        <v>8.9974353055654852</v>
      </c>
      <c r="CW15" s="20">
        <f t="shared" si="13"/>
        <v>65.967637157193224</v>
      </c>
      <c r="CX15" s="59">
        <f t="shared" si="14"/>
        <v>359.30097049052654</v>
      </c>
      <c r="CY15" s="59">
        <f ca="1">AVERAGE(OFFSET($CX$3,0,0,'Données projet'!$E$13+1,1))-AVERAGE(OFFSET($H$3,0,0,'Données projet'!$E$13+1,1))</f>
        <v>266.72672633301022</v>
      </c>
      <c r="CZ15" s="59">
        <f t="shared" si="42"/>
        <v>314.26991662544219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5.85</v>
      </c>
      <c r="DO15" s="12">
        <f>IF('Données projet'!$A$166&gt;35,DO14+DN15-DW14,IF(A15&lt;'Données projet'!$A$166,$DL$205^A15,IF(A15='Données projet'!$A$166,'Données projet'!$B$166,DO14+DN15-DW14)))</f>
        <v>17.414520346317467</v>
      </c>
      <c r="DP15" s="17">
        <f>DO15*VLOOKUP('Données projet'!$B$14,Paramètres!$A$1:$I$89,3,0)*VLOOKUP('Données projet'!$B$14,Paramètres!$A$1:$I$89,5,0)</f>
        <v>18.74498970077612</v>
      </c>
      <c r="DQ15" s="13">
        <f t="shared" si="43"/>
        <v>6.1414855310424921</v>
      </c>
      <c r="DR15" s="20">
        <f t="shared" si="16"/>
        <v>43.343944362084081</v>
      </c>
      <c r="DS15" s="59">
        <f t="shared" si="17"/>
        <v>336.67727769541739</v>
      </c>
      <c r="DT15" s="59">
        <f ca="1">AVERAGE(OFFSET($DS$3,0,0,'Données projet'!$E$14+1,1))-AVERAGE(OFFSET($H$3,0,0,'Données projet'!$E$14+1,1))</f>
        <v>442.54137223086991</v>
      </c>
      <c r="DU15" s="59">
        <f t="shared" si="44"/>
        <v>454.23406186660714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11.5</v>
      </c>
      <c r="N16" s="13">
        <f>IF('Données projet'!$A$36&gt;35,N15+M16-V15,IF(A16&lt;'Données projet'!$A$36,$K$205^A16,IF(A16='Données projet'!$A$36,'Données projet'!$B$36,N15+M16-V15)))</f>
        <v>111.99418052452764</v>
      </c>
      <c r="O16" s="13">
        <f>N16*VLOOKUP('Données projet'!$B$9,Paramètres!$A$1:$I$89,3,0)*VLOOKUP('Données projet'!$B$9,Paramètres!$A$1:$I$89,5,0)</f>
        <v>66.972519953667529</v>
      </c>
      <c r="P16" s="13">
        <f t="shared" si="33"/>
        <v>18.919703942861187</v>
      </c>
      <c r="Q16" s="20">
        <f t="shared" si="2"/>
        <v>149.59562328645418</v>
      </c>
      <c r="R16" s="59">
        <f t="shared" si="0"/>
        <v>442.92895661978753</v>
      </c>
      <c r="S16" s="59">
        <f ca="1">AVERAGE(OFFSET($R$3,0,0,'Données projet'!$E$9+1,1))-AVERAGE(OFFSET($H$3,0,0,'Données projet'!$E$9+1,1))</f>
        <v>201.49055911472067</v>
      </c>
      <c r="T16" s="59">
        <f t="shared" si="34"/>
        <v>403.37692064114719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31.1</v>
      </c>
      <c r="AI16" s="13">
        <f>IF('Données projet'!$A$62&gt;35,AI15+AH16-AQ15,IF(A16&lt;'Données projet'!$A$62,$AF$205^A16,IF(A16='Données projet'!$A$62,'Données projet'!$B$62,AI15+AH16-AQ15)))</f>
        <v>115.29999999999998</v>
      </c>
      <c r="AJ16" s="13">
        <f>AI16*VLOOKUP('Données projet'!$B$10,Paramètres!$A$1:$I$89,3,0)*VLOOKUP('Données projet'!$B$10,Paramètres!$A$1:$I$89,5,0)</f>
        <v>100.72608</v>
      </c>
      <c r="AK16" s="13">
        <f t="shared" si="35"/>
        <v>27.134903195678856</v>
      </c>
      <c r="AL16" s="20">
        <f t="shared" si="4"/>
        <v>222.69121239914068</v>
      </c>
      <c r="AM16" s="59">
        <f t="shared" si="5"/>
        <v>516.02454573247405</v>
      </c>
      <c r="AN16" s="59">
        <f ca="1">AVERAGE(OFFSET($AM$3,0,0,'Données projet'!$E$10+1,1))-AVERAGE(OFFSET($H$3,0,0,'Données projet'!$E$10+1,1))</f>
        <v>260.53994021583316</v>
      </c>
      <c r="AO16" s="59">
        <f t="shared" si="36"/>
        <v>669.20238852709122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58.284345061443517</v>
      </c>
      <c r="AX16" s="21">
        <f t="shared" si="6"/>
        <v>58.284345061443517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11.511979134151852</v>
      </c>
      <c r="BF16" s="13">
        <f t="shared" si="37"/>
        <v>3.9919417855793822</v>
      </c>
      <c r="BG16" s="20">
        <f t="shared" si="7"/>
        <v>27.002662268531896</v>
      </c>
      <c r="BH16" s="59">
        <f t="shared" si="8"/>
        <v>320.33599560186519</v>
      </c>
      <c r="BI16" s="59">
        <f ca="1">AVERAGE(OFFSET($BH$3,0,0,'Données projet'!$E$11+1,1))-AVERAGE(OFFSET($H$3,0,0,'Données projet'!$E$11+1,1))</f>
        <v>279.20364724206644</v>
      </c>
      <c r="BJ16" s="59">
        <f t="shared" si="38"/>
        <v>173.99850582760712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12.928838104509001</v>
      </c>
      <c r="CA16" s="13">
        <f t="shared" si="39"/>
        <v>4.4230926504578099</v>
      </c>
      <c r="CB16" s="20">
        <f t="shared" si="10"/>
        <v>30.221279398233865</v>
      </c>
      <c r="CC16" s="59">
        <f t="shared" si="11"/>
        <v>323.5546127315672</v>
      </c>
      <c r="CD16" s="59">
        <f ca="1">AVERAGE(OFFSET($CC$3,0,0,'Données projet'!$E$12+1,1))-AVERAGE(OFFSET($H$3,0,0,'Données projet'!$E$12+1,1))</f>
        <v>327.06866218660838</v>
      </c>
      <c r="CE16" s="59">
        <f t="shared" si="40"/>
        <v>202.18198935334908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12.3</v>
      </c>
      <c r="CT16" s="12">
        <f>IF('Données projet'!$A$140&gt;35,CT15+CS16-DB15,IF(A16&lt;'Données projet'!$A$140,$CQ$205^A16,IF(A16='Données projet'!$A$140,'Données projet'!$B$140,CT15+CS16-DB15)))</f>
        <v>47.900000000000006</v>
      </c>
      <c r="CU16" s="17">
        <f>CT16*VLOOKUP('Données projet'!$B$13,Paramètres!$A$1:$I$89,3,0)*VLOOKUP('Données projet'!$B$13,Paramètres!$A$1:$I$89,5,0)</f>
        <v>38.856480000000012</v>
      </c>
      <c r="CV16" s="13">
        <f t="shared" si="41"/>
        <v>11.695047069343518</v>
      </c>
      <c r="CW16" s="20">
        <f t="shared" si="13"/>
        <v>88.043909645773326</v>
      </c>
      <c r="CX16" s="59">
        <f t="shared" si="14"/>
        <v>381.37724297910665</v>
      </c>
      <c r="CY16" s="59">
        <f ca="1">AVERAGE(OFFSET($CX$3,0,0,'Données projet'!$E$13+1,1))-AVERAGE(OFFSET($H$3,0,0,'Données projet'!$E$13+1,1))</f>
        <v>266.72672633301022</v>
      </c>
      <c r="CZ16" s="59">
        <f t="shared" si="42"/>
        <v>314.26991662544219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5.85</v>
      </c>
      <c r="DO16" s="12">
        <f>IF('Données projet'!$A$166&gt;35,DO15+DN16-DW15,IF(A16&lt;'Données projet'!$A$166,$DL$205^A16,IF(A16='Données projet'!$A$166,'Données projet'!$B$166,DO15+DN16-DW15)))</f>
        <v>22.096363724180279</v>
      </c>
      <c r="DP16" s="17">
        <f>DO16*VLOOKUP('Données projet'!$B$14,Paramètres!$A$1:$I$89,3,0)*VLOOKUP('Données projet'!$B$14,Paramètres!$A$1:$I$89,5,0)</f>
        <v>23.78452591270765</v>
      </c>
      <c r="DQ16" s="13">
        <f t="shared" si="43"/>
        <v>7.5795929713499435</v>
      </c>
      <c r="DR16" s="20">
        <f t="shared" si="16"/>
        <v>54.625840389733639</v>
      </c>
      <c r="DS16" s="59">
        <f t="shared" si="17"/>
        <v>347.95917372306695</v>
      </c>
      <c r="DT16" s="59">
        <f ca="1">AVERAGE(OFFSET($DS$3,0,0,'Données projet'!$E$14+1,1))-AVERAGE(OFFSET($H$3,0,0,'Données projet'!$E$14+1,1))</f>
        <v>442.54137223086991</v>
      </c>
      <c r="DU16" s="59">
        <f t="shared" si="44"/>
        <v>454.23406186660714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161</v>
      </c>
      <c r="L17" s="12">
        <f>VLOOKUP(A17,'Données projet'!$A$35:$I$55,9,0)</f>
        <v>11.5</v>
      </c>
      <c r="M17" s="12">
        <f t="array" ref="M17">INDEX(L:L,MIN(IF(ISNUMBER(L17:L213),ROW(L17:L213),"")))</f>
        <v>11.5</v>
      </c>
      <c r="N17" s="13">
        <f>IF('Données projet'!$A$36&gt;35,N16+M17-V16,IF(A17&lt;'Données projet'!$A$36,$K$205^A17,IF(A17='Données projet'!$A$36,'Données projet'!$B$36,N16+M17-V16)))</f>
        <v>161</v>
      </c>
      <c r="O17" s="13">
        <f>N17*VLOOKUP('Données projet'!$B$9,Paramètres!$A$1:$I$89,3,0)*VLOOKUP('Données projet'!$B$9,Paramètres!$A$1:$I$89,5,0)</f>
        <v>96.278000000000006</v>
      </c>
      <c r="P17" s="13">
        <f t="shared" si="33"/>
        <v>26.073334426410277</v>
      </c>
      <c r="Q17" s="20">
        <f t="shared" si="2"/>
        <v>213.09524079266461</v>
      </c>
      <c r="R17" s="59">
        <f t="shared" si="0"/>
        <v>506.4285741259979</v>
      </c>
      <c r="S17" s="59">
        <f ca="1">AVERAGE(OFFSET($R$3,0,0,'Données projet'!$E$9+1,1))-AVERAGE(OFFSET($H$3,0,0,'Données projet'!$E$9+1,1))</f>
        <v>201.49055911472067</v>
      </c>
      <c r="T17" s="59">
        <f t="shared" si="34"/>
        <v>403.37692064114719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45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8.0003910286047866</v>
      </c>
      <c r="AB17" s="21">
        <f>EXP(-LN(2)/2)*AB16+(1-EXP(-LN(2)/2))/(LN(2)/2)*V17*Y17*VLOOKUP('Données projet'!$B$9,Paramètres!$A$1:$I$89,3,0)*0.475*44/12</f>
        <v>15.234185563218597</v>
      </c>
      <c r="AC17" s="22">
        <f t="shared" si="3"/>
        <v>23.234576591823384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31.1</v>
      </c>
      <c r="AI17" s="13">
        <f>IF('Données projet'!$A$62&gt;35,AI16+AH17-AQ16,IF(A17&lt;'Données projet'!$A$62,$AF$205^A17,IF(A17='Données projet'!$A$62,'Données projet'!$B$62,AI16+AH17-AQ16)))</f>
        <v>146.39999999999998</v>
      </c>
      <c r="AJ17" s="13">
        <f>AI17*VLOOKUP('Données projet'!$B$10,Paramètres!$A$1:$I$89,3,0)*VLOOKUP('Données projet'!$B$10,Paramètres!$A$1:$I$89,5,0)</f>
        <v>127.89503999999999</v>
      </c>
      <c r="AK17" s="13">
        <f t="shared" si="35"/>
        <v>33.509503727991913</v>
      </c>
      <c r="AL17" s="20">
        <f t="shared" si="4"/>
        <v>281.1129136595859</v>
      </c>
      <c r="AM17" s="59">
        <f t="shared" si="5"/>
        <v>574.44624699291921</v>
      </c>
      <c r="AN17" s="59">
        <f ca="1">AVERAGE(OFFSET($AM$3,0,0,'Données projet'!$E$10+1,1))-AVERAGE(OFFSET($H$3,0,0,'Données projet'!$E$10+1,1))</f>
        <v>260.53994021583316</v>
      </c>
      <c r="AO17" s="59">
        <f t="shared" si="36"/>
        <v>669.20238852709122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41.213255629963378</v>
      </c>
      <c r="AX17" s="21">
        <f t="shared" si="6"/>
        <v>41.213255629963378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13.877539056685173</v>
      </c>
      <c r="BF17" s="13">
        <f t="shared" si="37"/>
        <v>4.7086819085950955</v>
      </c>
      <c r="BG17" s="20">
        <f t="shared" si="7"/>
        <v>32.371001514529802</v>
      </c>
      <c r="BH17" s="59">
        <f t="shared" si="8"/>
        <v>325.70433484786309</v>
      </c>
      <c r="BI17" s="59">
        <f ca="1">AVERAGE(OFFSET($BH$3,0,0,'Données projet'!$E$11+1,1))-AVERAGE(OFFSET($H$3,0,0,'Données projet'!$E$11+1,1))</f>
        <v>279.20364724206644</v>
      </c>
      <c r="BJ17" s="59">
        <f t="shared" si="38"/>
        <v>173.99850582760712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15.585543863661808</v>
      </c>
      <c r="CA17" s="13">
        <f t="shared" si="39"/>
        <v>5.217244504538245</v>
      </c>
      <c r="CB17" s="20">
        <f t="shared" si="10"/>
        <v>36.23152307461509</v>
      </c>
      <c r="CC17" s="59">
        <f t="shared" si="11"/>
        <v>329.56485640794841</v>
      </c>
      <c r="CD17" s="59">
        <f ca="1">AVERAGE(OFFSET($CC$3,0,0,'Données projet'!$E$12+1,1))-AVERAGE(OFFSET($H$3,0,0,'Données projet'!$E$12+1,1))</f>
        <v>327.06866218660838</v>
      </c>
      <c r="CE17" s="59">
        <f t="shared" si="40"/>
        <v>202.18198935334908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12.3</v>
      </c>
      <c r="CT17" s="12">
        <f>IF('Données projet'!$A$140&gt;35,CT16+CS17-DB16,IF(A17&lt;'Données projet'!$A$140,$CQ$205^A17,IF(A17='Données projet'!$A$140,'Données projet'!$B$140,CT16+CS17-DB16)))</f>
        <v>60.2</v>
      </c>
      <c r="CU17" s="17">
        <f>CT17*VLOOKUP('Données projet'!$B$13,Paramètres!$A$1:$I$89,3,0)*VLOOKUP('Données projet'!$B$13,Paramètres!$A$1:$I$89,5,0)</f>
        <v>48.834240000000008</v>
      </c>
      <c r="CV17" s="13">
        <f t="shared" si="41"/>
        <v>14.312284945668457</v>
      </c>
      <c r="CW17" s="20">
        <f t="shared" si="13"/>
        <v>109.98019761370591</v>
      </c>
      <c r="CX17" s="59">
        <f t="shared" si="14"/>
        <v>403.31353094703923</v>
      </c>
      <c r="CY17" s="59">
        <f ca="1">AVERAGE(OFFSET($CX$3,0,0,'Données projet'!$E$13+1,1))-AVERAGE(OFFSET($H$3,0,0,'Données projet'!$E$13+1,1))</f>
        <v>266.72672633301022</v>
      </c>
      <c r="CZ17" s="59">
        <f t="shared" si="42"/>
        <v>314.26991662544219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5.85</v>
      </c>
      <c r="DO17" s="12">
        <f>IF('Données projet'!$A$166&gt;35,DO16+DN17-DW16,IF(A17&lt;'Données projet'!$A$166,$DL$205^A17,IF(A17='Données projet'!$A$166,'Données projet'!$B$166,DO16+DN17-DW16)))</f>
        <v>28.036907139651255</v>
      </c>
      <c r="DP17" s="17">
        <f>DO17*VLOOKUP('Données projet'!$B$14,Paramètres!$A$1:$I$89,3,0)*VLOOKUP('Données projet'!$B$14,Paramètres!$A$1:$I$89,5,0)</f>
        <v>30.178926845120607</v>
      </c>
      <c r="DQ17" s="13">
        <f t="shared" si="43"/>
        <v>9.3544516747539319</v>
      </c>
      <c r="DR17" s="20">
        <f t="shared" si="16"/>
        <v>68.853967588781487</v>
      </c>
      <c r="DS17" s="59">
        <f t="shared" si="17"/>
        <v>362.18730092211479</v>
      </c>
      <c r="DT17" s="59">
        <f ca="1">AVERAGE(OFFSET($DS$3,0,0,'Données projet'!$E$14+1,1))-AVERAGE(OFFSET($H$3,0,0,'Données projet'!$E$14+1,1))</f>
        <v>442.54137223086991</v>
      </c>
      <c r="DU17" s="59">
        <f t="shared" si="44"/>
        <v>454.23406186660714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22.833333333333332</v>
      </c>
      <c r="N18" s="13">
        <f>IF('Données projet'!$A$36&gt;35,N17+M18-V17,IF(A18&lt;'Données projet'!$A$36,$K$205^A18,IF(A18='Données projet'!$A$36,'Données projet'!$B$36,N17+M18-V17)))</f>
        <v>138.83333333333334</v>
      </c>
      <c r="O18" s="13">
        <f>N18*VLOOKUP('Données projet'!$B$9,Paramètres!$A$1:$I$89,3,0)*VLOOKUP('Données projet'!$B$9,Paramètres!$A$1:$I$89,5,0)</f>
        <v>83.02233333333335</v>
      </c>
      <c r="P18" s="13">
        <f t="shared" si="33"/>
        <v>22.874557915829435</v>
      </c>
      <c r="Q18" s="20">
        <f t="shared" si="2"/>
        <v>184.43708559229185</v>
      </c>
      <c r="R18" s="59">
        <f t="shared" si="0"/>
        <v>477.77041892562517</v>
      </c>
      <c r="S18" s="59">
        <f ca="1">AVERAGE(OFFSET($R$3,0,0,'Données projet'!$E$9+1,1))-AVERAGE(OFFSET($H$3,0,0,'Données projet'!$E$9+1,1))</f>
        <v>201.49055911472067</v>
      </c>
      <c r="T18" s="59">
        <f t="shared" si="34"/>
        <v>403.37692064114719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7.7816199152053098</v>
      </c>
      <c r="AB18" s="21">
        <f>EXP(-LN(2)/2)*AB17+(1-EXP(-LN(2)/2))/(LN(2)/2)*V18*Y18*VLOOKUP('Données projet'!$B$9,Paramètres!$A$1:$I$89,3,0)*0.475*44/12</f>
        <v>10.772195917606075</v>
      </c>
      <c r="AC18" s="22">
        <f t="shared" si="3"/>
        <v>18.553815832811384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31.1</v>
      </c>
      <c r="AI18" s="13">
        <f>IF('Données projet'!$A$62&gt;35,AI17+AH18-AQ17,IF(A18&lt;'Données projet'!$A$62,$AF$205^A18,IF(A18='Données projet'!$A$62,'Données projet'!$B$62,AI17+AH18-AQ17)))</f>
        <v>177.49999999999997</v>
      </c>
      <c r="AJ18" s="13">
        <f>AI18*VLOOKUP('Données projet'!$B$10,Paramètres!$A$1:$I$89,3,0)*VLOOKUP('Données projet'!$B$10,Paramètres!$A$1:$I$89,5,0)</f>
        <v>155.06399999999999</v>
      </c>
      <c r="AK18" s="13">
        <f t="shared" si="35"/>
        <v>39.727164550120094</v>
      </c>
      <c r="AL18" s="20">
        <f t="shared" si="4"/>
        <v>339.26127825812574</v>
      </c>
      <c r="AM18" s="59">
        <f t="shared" si="5"/>
        <v>632.59461159145906</v>
      </c>
      <c r="AN18" s="59">
        <f ca="1">AVERAGE(OFFSET($AM$3,0,0,'Données projet'!$E$10+1,1))-AVERAGE(OFFSET($H$3,0,0,'Données projet'!$E$10+1,1))</f>
        <v>260.53994021583316</v>
      </c>
      <c r="AO18" s="59">
        <f t="shared" si="36"/>
        <v>669.20238852709122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29.142172530721766</v>
      </c>
      <c r="AX18" s="21">
        <f t="shared" si="6"/>
        <v>29.142172530721766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16.729190352551068</v>
      </c>
      <c r="BF18" s="13">
        <f t="shared" si="37"/>
        <v>5.5541103821765283</v>
      </c>
      <c r="BG18" s="20">
        <f t="shared" si="7"/>
        <v>38.810082112983899</v>
      </c>
      <c r="BH18" s="59">
        <f t="shared" si="8"/>
        <v>332.14341544631719</v>
      </c>
      <c r="BI18" s="59">
        <f ca="1">AVERAGE(OFFSET($BH$3,0,0,'Données projet'!$E$11+1,1))-AVERAGE(OFFSET($H$3,0,0,'Données projet'!$E$11+1,1))</f>
        <v>279.20364724206644</v>
      </c>
      <c r="BJ18" s="59">
        <f t="shared" si="38"/>
        <v>173.99850582760712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18.7881676267112</v>
      </c>
      <c r="CA18" s="13">
        <f t="shared" si="39"/>
        <v>6.1539837329243312</v>
      </c>
      <c r="CB18" s="20">
        <f t="shared" si="10"/>
        <v>43.440913618031878</v>
      </c>
      <c r="CC18" s="59">
        <f t="shared" si="11"/>
        <v>336.77424695136517</v>
      </c>
      <c r="CD18" s="59">
        <f ca="1">AVERAGE(OFFSET($CC$3,0,0,'Données projet'!$E$12+1,1))-AVERAGE(OFFSET($H$3,0,0,'Données projet'!$E$12+1,1))</f>
        <v>327.06866218660838</v>
      </c>
      <c r="CE18" s="59">
        <f t="shared" si="40"/>
        <v>202.18198935334908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12.3</v>
      </c>
      <c r="CT18" s="12">
        <f>IF('Données projet'!$A$140&gt;35,CT17+CS18-DB17,IF(A18&lt;'Données projet'!$A$140,$CQ$205^A18,IF(A18='Données projet'!$A$140,'Données projet'!$B$140,CT17+CS18-DB17)))</f>
        <v>72.5</v>
      </c>
      <c r="CU18" s="17">
        <f>CT18*VLOOKUP('Données projet'!$B$13,Paramètres!$A$1:$I$89,3,0)*VLOOKUP('Données projet'!$B$13,Paramètres!$A$1:$I$89,5,0)</f>
        <v>58.812000000000005</v>
      </c>
      <c r="CV18" s="13">
        <f t="shared" si="41"/>
        <v>16.86755663452599</v>
      </c>
      <c r="CW18" s="20">
        <f t="shared" si="13"/>
        <v>131.8085611384661</v>
      </c>
      <c r="CX18" s="59">
        <f t="shared" si="14"/>
        <v>425.14189447179945</v>
      </c>
      <c r="CY18" s="59">
        <f ca="1">AVERAGE(OFFSET($CX$3,0,0,'Données projet'!$E$13+1,1))-AVERAGE(OFFSET($H$3,0,0,'Données projet'!$E$13+1,1))</f>
        <v>266.72672633301022</v>
      </c>
      <c r="CZ18" s="59">
        <f t="shared" si="42"/>
        <v>314.26991662544219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5.85</v>
      </c>
      <c r="DO18" s="12">
        <f>IF('Données projet'!$A$166&gt;35,DO17+DN18-DW17,IF(A18&lt;'Données projet'!$A$166,$DL$205^A18,IF(A18='Données projet'!$A$166,'Données projet'!$B$166,DO17+DN18-DW17)))</f>
        <v>35.574548453745123</v>
      </c>
      <c r="DP18" s="17">
        <f>DO18*VLOOKUP('Données projet'!$B$14,Paramètres!$A$1:$I$89,3,0)*VLOOKUP('Données projet'!$B$14,Paramètres!$A$1:$I$89,5,0)</f>
        <v>38.292443955611247</v>
      </c>
      <c r="DQ18" s="13">
        <f t="shared" si="43"/>
        <v>11.544916259496933</v>
      </c>
      <c r="DR18" s="20">
        <f t="shared" si="16"/>
        <v>86.800069041313407</v>
      </c>
      <c r="DS18" s="59">
        <f t="shared" si="17"/>
        <v>380.13340237464672</v>
      </c>
      <c r="DT18" s="59">
        <f ca="1">AVERAGE(OFFSET($DS$3,0,0,'Données projet'!$E$14+1,1))-AVERAGE(OFFSET($H$3,0,0,'Données projet'!$E$14+1,1))</f>
        <v>442.54137223086991</v>
      </c>
      <c r="DU18" s="59">
        <f t="shared" si="44"/>
        <v>454.23406186660714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22.833333333333332</v>
      </c>
      <c r="N19" s="13">
        <f>IF('Données projet'!$A$36&gt;35,N18+M19-V18,IF(A19&lt;'Données projet'!$A$36,$K$205^A19,IF(A19='Données projet'!$A$36,'Données projet'!$B$36,N18+M19-V18)))</f>
        <v>161.66666666666669</v>
      </c>
      <c r="O19" s="13">
        <f>N19*VLOOKUP('Données projet'!$B$9,Paramètres!$A$1:$I$89,3,0)*VLOOKUP('Données projet'!$B$9,Paramètres!$A$1:$I$89,5,0)</f>
        <v>96.676666666666677</v>
      </c>
      <c r="P19" s="13">
        <f t="shared" si="33"/>
        <v>26.168708566058182</v>
      </c>
      <c r="Q19" s="20">
        <f t="shared" si="2"/>
        <v>213.95569519699578</v>
      </c>
      <c r="R19" s="59">
        <f t="shared" si="0"/>
        <v>507.28902853032912</v>
      </c>
      <c r="S19" s="59">
        <f ca="1">AVERAGE(OFFSET($R$3,0,0,'Données projet'!$E$9+1,1))-AVERAGE(OFFSET($H$3,0,0,'Données projet'!$E$9+1,1))</f>
        <v>201.49055911472067</v>
      </c>
      <c r="T19" s="59">
        <f t="shared" si="34"/>
        <v>403.37692064114719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7.568831109406414</v>
      </c>
      <c r="AB19" s="21">
        <f>EXP(-LN(2)/2)*AB18+(1-EXP(-LN(2)/2))/(LN(2)/2)*V19*Y19*VLOOKUP('Données projet'!$B$9,Paramètres!$A$1:$I$89,3,0)*0.475*44/12</f>
        <v>7.6170927816092995</v>
      </c>
      <c r="AC19" s="22">
        <f t="shared" si="3"/>
        <v>15.185923891015713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31.1</v>
      </c>
      <c r="AI19" s="13">
        <f>IF('Données projet'!$A$62&gt;35,AI18+AH19-AQ18,IF(A19&lt;'Données projet'!$A$62,$AF$205^A19,IF(A19='Données projet'!$A$62,'Données projet'!$B$62,AI18+AH19-AQ18)))</f>
        <v>208.59999999999997</v>
      </c>
      <c r="AJ19" s="13">
        <f>AI19*VLOOKUP('Données projet'!$B$10,Paramètres!$A$1:$I$89,3,0)*VLOOKUP('Données projet'!$B$10,Paramètres!$A$1:$I$89,5,0)</f>
        <v>182.23295999999999</v>
      </c>
      <c r="AK19" s="13">
        <f t="shared" si="35"/>
        <v>45.818621592366291</v>
      </c>
      <c r="AL19" s="20">
        <f t="shared" si="4"/>
        <v>397.18983794003793</v>
      </c>
      <c r="AM19" s="59">
        <f t="shared" si="5"/>
        <v>690.52317127337119</v>
      </c>
      <c r="AN19" s="59">
        <f ca="1">AVERAGE(OFFSET($AM$3,0,0,'Données projet'!$E$10+1,1))-AVERAGE(OFFSET($H$3,0,0,'Données projet'!$E$10+1,1))</f>
        <v>260.53994021583316</v>
      </c>
      <c r="AO19" s="59">
        <f t="shared" si="36"/>
        <v>669.20238852709122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20.606627814981692</v>
      </c>
      <c r="AX19" s="21">
        <f t="shared" si="6"/>
        <v>20.606627814981692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20.166818389681932</v>
      </c>
      <c r="BF19" s="13">
        <f t="shared" si="37"/>
        <v>6.5513327797938032</v>
      </c>
      <c r="BG19" s="20">
        <f t="shared" si="7"/>
        <v>46.534113286836906</v>
      </c>
      <c r="BH19" s="59">
        <f t="shared" si="8"/>
        <v>339.8674466201702</v>
      </c>
      <c r="BI19" s="59">
        <f ca="1">AVERAGE(OFFSET($BH$3,0,0,'Données projet'!$E$11+1,1))-AVERAGE(OFFSET($H$3,0,0,'Données projet'!$E$11+1,1))</f>
        <v>279.20364724206644</v>
      </c>
      <c r="BJ19" s="59">
        <f t="shared" si="38"/>
        <v>173.99850582760712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22.648888345335092</v>
      </c>
      <c r="CA19" s="13">
        <f t="shared" si="39"/>
        <v>7.2589114334500859</v>
      </c>
      <c r="CB19" s="20">
        <f t="shared" si="10"/>
        <v>52.089417948050851</v>
      </c>
      <c r="CC19" s="59">
        <f t="shared" si="11"/>
        <v>345.42275128138419</v>
      </c>
      <c r="CD19" s="59">
        <f ca="1">AVERAGE(OFFSET($CC$3,0,0,'Données projet'!$E$12+1,1))-AVERAGE(OFFSET($H$3,0,0,'Données projet'!$E$12+1,1))</f>
        <v>327.06866218660838</v>
      </c>
      <c r="CE19" s="59">
        <f t="shared" si="40"/>
        <v>202.18198935334908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12.3</v>
      </c>
      <c r="CT19" s="12">
        <f>IF('Données projet'!$A$140&gt;35,CT18+CS19-DB18,IF(A19&lt;'Données projet'!$A$140,$CQ$205^A19,IF(A19='Données projet'!$A$140,'Données projet'!$B$140,CT18+CS19-DB18)))</f>
        <v>84.8</v>
      </c>
      <c r="CU19" s="17">
        <f>CT19*VLOOKUP('Données projet'!$B$13,Paramètres!$A$1:$I$89,3,0)*VLOOKUP('Données projet'!$B$13,Paramètres!$A$1:$I$89,5,0)</f>
        <v>68.789760000000001</v>
      </c>
      <c r="CV19" s="13">
        <f t="shared" si="41"/>
        <v>19.372607944380292</v>
      </c>
      <c r="CW19" s="20">
        <f t="shared" si="13"/>
        <v>153.54945750312902</v>
      </c>
      <c r="CX19" s="59">
        <f t="shared" si="14"/>
        <v>446.88279083646233</v>
      </c>
      <c r="CY19" s="59">
        <f ca="1">AVERAGE(OFFSET($CX$3,0,0,'Données projet'!$E$13+1,1))-AVERAGE(OFFSET($H$3,0,0,'Données projet'!$E$13+1,1))</f>
        <v>266.72672633301022</v>
      </c>
      <c r="CZ19" s="59">
        <f t="shared" si="42"/>
        <v>314.26991662544219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5.85</v>
      </c>
      <c r="DO19" s="12">
        <f>IF('Données projet'!$A$166&gt;35,DO18+DN19-DW18,IF(A19&lt;'Données projet'!$A$166,$DL$205^A19,IF(A19='Données projet'!$A$166,'Données projet'!$B$166,DO18+DN19-DW18)))</f>
        <v>45.138662812705725</v>
      </c>
      <c r="DP19" s="17">
        <f>DO19*VLOOKUP('Données projet'!$B$14,Paramètres!$A$1:$I$89,3,0)*VLOOKUP('Données projet'!$B$14,Paramètres!$A$1:$I$89,5,0)</f>
        <v>48.587256651596441</v>
      </c>
      <c r="DQ19" s="13">
        <f t="shared" si="43"/>
        <v>14.248306161921862</v>
      </c>
      <c r="DR19" s="20">
        <f t="shared" si="16"/>
        <v>109.43860523354437</v>
      </c>
      <c r="DS19" s="59">
        <f t="shared" si="17"/>
        <v>402.77193856687768</v>
      </c>
      <c r="DT19" s="59">
        <f ca="1">AVERAGE(OFFSET($DS$3,0,0,'Données projet'!$E$14+1,1))-AVERAGE(OFFSET($H$3,0,0,'Données projet'!$E$14+1,1))</f>
        <v>442.54137223086991</v>
      </c>
      <c r="DU19" s="59">
        <f t="shared" si="44"/>
        <v>454.23406186660714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22.833333333333332</v>
      </c>
      <c r="N20" s="13">
        <f>IF('Données projet'!$A$36&gt;35,N19+M20-V19,IF(A20&lt;'Données projet'!$A$36,$K$205^A20,IF(A20='Données projet'!$A$36,'Données projet'!$B$36,N19+M20-V19)))</f>
        <v>184.50000000000003</v>
      </c>
      <c r="O20" s="13">
        <f>N20*VLOOKUP('Données projet'!$B$9,Paramètres!$A$1:$I$89,3,0)*VLOOKUP('Données projet'!$B$9,Paramètres!$A$1:$I$89,5,0)</f>
        <v>110.33100000000003</v>
      </c>
      <c r="P20" s="13">
        <f t="shared" si="33"/>
        <v>29.408957111883897</v>
      </c>
      <c r="Q20" s="20">
        <f t="shared" si="2"/>
        <v>243.38042530319785</v>
      </c>
      <c r="R20" s="59">
        <f t="shared" si="0"/>
        <v>536.71375863653111</v>
      </c>
      <c r="S20" s="59">
        <f ca="1">AVERAGE(OFFSET($R$3,0,0,'Données projet'!$E$9+1,1))-AVERAGE(OFFSET($H$3,0,0,'Données projet'!$E$9+1,1))</f>
        <v>201.49055911472067</v>
      </c>
      <c r="T20" s="59">
        <f t="shared" si="34"/>
        <v>403.37692064114719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7.3618610246921667</v>
      </c>
      <c r="AB20" s="21">
        <f>EXP(-LN(2)/2)*AB19+(1-EXP(-LN(2)/2))/(LN(2)/2)*V20*Y20*VLOOKUP('Données projet'!$B$9,Paramètres!$A$1:$I$89,3,0)*0.475*44/12</f>
        <v>5.3860979588030382</v>
      </c>
      <c r="AC20" s="22">
        <f t="shared" si="3"/>
        <v>12.747958983495206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31.1</v>
      </c>
      <c r="AI20" s="13">
        <f>IF('Données projet'!$A$62&gt;35,AI19+AH20-AQ19,IF(A20&lt;'Données projet'!$A$62,$AF$205^A20,IF(A20='Données projet'!$A$62,'Données projet'!$B$62,AI19+AH20-AQ19)))</f>
        <v>239.69999999999996</v>
      </c>
      <c r="AJ20" s="13">
        <f>AI20*VLOOKUP('Données projet'!$B$10,Paramètres!$A$1:$I$89,3,0)*VLOOKUP('Données projet'!$B$10,Paramètres!$A$1:$I$89,5,0)</f>
        <v>209.40192000000002</v>
      </c>
      <c r="AK20" s="13">
        <f t="shared" si="35"/>
        <v>51.804868484579089</v>
      </c>
      <c r="AL20" s="20">
        <f t="shared" si="4"/>
        <v>454.93515661064185</v>
      </c>
      <c r="AM20" s="59">
        <f t="shared" si="5"/>
        <v>748.26848994397517</v>
      </c>
      <c r="AN20" s="59">
        <f ca="1">AVERAGE(OFFSET($AM$3,0,0,'Données projet'!$E$10+1,1))-AVERAGE(OFFSET($H$3,0,0,'Données projet'!$E$10+1,1))</f>
        <v>260.53994021583316</v>
      </c>
      <c r="AO20" s="59">
        <f t="shared" si="36"/>
        <v>669.20238852709122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14.571086265360885</v>
      </c>
      <c r="AX20" s="21">
        <f t="shared" si="6"/>
        <v>14.571086265360885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24.31083366209619</v>
      </c>
      <c r="BF20" s="13">
        <f t="shared" si="37"/>
        <v>7.7276032052466093</v>
      </c>
      <c r="BG20" s="20">
        <f t="shared" si="7"/>
        <v>55.800277543955367</v>
      </c>
      <c r="BH20" s="59">
        <f t="shared" si="8"/>
        <v>349.13361087728867</v>
      </c>
      <c r="BI20" s="59">
        <f ca="1">AVERAGE(OFFSET($BH$3,0,0,'Données projet'!$E$11+1,1))-AVERAGE(OFFSET($H$3,0,0,'Données projet'!$E$11+1,1))</f>
        <v>279.20364724206644</v>
      </c>
      <c r="BJ20" s="59">
        <f t="shared" si="38"/>
        <v>173.99850582760712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27.302936266661874</v>
      </c>
      <c r="CA20" s="13">
        <f t="shared" si="39"/>
        <v>8.5622252975364237</v>
      </c>
      <c r="CB20" s="20">
        <f t="shared" si="10"/>
        <v>62.465156390978699</v>
      </c>
      <c r="CC20" s="59">
        <f t="shared" si="11"/>
        <v>355.79848972431199</v>
      </c>
      <c r="CD20" s="59">
        <f ca="1">AVERAGE(OFFSET($CC$3,0,0,'Données projet'!$E$12+1,1))-AVERAGE(OFFSET($H$3,0,0,'Données projet'!$E$12+1,1))</f>
        <v>327.06866218660838</v>
      </c>
      <c r="CE20" s="59">
        <f t="shared" si="40"/>
        <v>202.18198935334908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12.3</v>
      </c>
      <c r="CT20" s="12">
        <f>IF('Données projet'!$A$140&gt;35,CT19+CS20-DB19,IF(A20&lt;'Données projet'!$A$140,$CQ$205^A20,IF(A20='Données projet'!$A$140,'Données projet'!$B$140,CT19+CS20-DB19)))</f>
        <v>97.1</v>
      </c>
      <c r="CU20" s="17">
        <f>CT20*VLOOKUP('Données projet'!$B$13,Paramètres!$A$1:$I$89,3,0)*VLOOKUP('Données projet'!$B$13,Paramètres!$A$1:$I$89,5,0)</f>
        <v>78.767520000000005</v>
      </c>
      <c r="CV20" s="13">
        <f t="shared" si="41"/>
        <v>21.835564602345425</v>
      </c>
      <c r="CW20" s="20">
        <f t="shared" si="13"/>
        <v>175.21703901575162</v>
      </c>
      <c r="CX20" s="59">
        <f t="shared" si="14"/>
        <v>468.55037234908491</v>
      </c>
      <c r="CY20" s="59">
        <f ca="1">AVERAGE(OFFSET($CX$3,0,0,'Données projet'!$E$13+1,1))-AVERAGE(OFFSET($H$3,0,0,'Données projet'!$E$13+1,1))</f>
        <v>266.72672633301022</v>
      </c>
      <c r="CZ20" s="59">
        <f t="shared" si="42"/>
        <v>314.26991662544219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5.85</v>
      </c>
      <c r="DO20" s="12">
        <f>IF('Données projet'!$A$166&gt;35,DO19+DN20-DW19,IF(A20&lt;'Données projet'!$A$166,$DL$205^A20,IF(A20='Données projet'!$A$166,'Données projet'!$B$166,DO19+DN20-DW19)))</f>
        <v>57.274061627749042</v>
      </c>
      <c r="DP20" s="17">
        <f>DO20*VLOOKUP('Données projet'!$B$14,Paramètres!$A$1:$I$89,3,0)*VLOOKUP('Données projet'!$B$14,Paramètres!$A$1:$I$89,5,0)</f>
        <v>61.649799936109062</v>
      </c>
      <c r="DQ20" s="13">
        <f t="shared" si="43"/>
        <v>17.584729409956466</v>
      </c>
      <c r="DR20" s="20">
        <f t="shared" si="16"/>
        <v>138.00013861106413</v>
      </c>
      <c r="DS20" s="59">
        <f t="shared" si="17"/>
        <v>431.33347194439744</v>
      </c>
      <c r="DT20" s="59">
        <f ca="1">AVERAGE(OFFSET($DS$3,0,0,'Données projet'!$E$14+1,1))-AVERAGE(OFFSET($H$3,0,0,'Données projet'!$E$14+1,1))</f>
        <v>442.54137223086991</v>
      </c>
      <c r="DU20" s="59">
        <f t="shared" si="44"/>
        <v>454.23406186660714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22.833333333333332</v>
      </c>
      <c r="N21" s="13">
        <f>IF('Données projet'!$A$36&gt;35,N20+M21-V20,IF(A21&lt;'Données projet'!$A$36,$K$205^A21,IF(A21='Données projet'!$A$36,'Données projet'!$B$36,N20+M21-V20)))</f>
        <v>207.33333333333337</v>
      </c>
      <c r="O21" s="13">
        <f>N21*VLOOKUP('Données projet'!$B$9,Paramètres!$A$1:$I$89,3,0)*VLOOKUP('Données projet'!$B$9,Paramètres!$A$1:$I$89,5,0)</f>
        <v>123.98533333333336</v>
      </c>
      <c r="P21" s="13">
        <f t="shared" si="33"/>
        <v>32.60273802554125</v>
      </c>
      <c r="Q21" s="20">
        <f t="shared" si="2"/>
        <v>272.7242242833733</v>
      </c>
      <c r="R21" s="59">
        <f t="shared" si="0"/>
        <v>566.05755761670662</v>
      </c>
      <c r="S21" s="59">
        <f ca="1">AVERAGE(OFFSET($R$3,0,0,'Données projet'!$E$9+1,1))-AVERAGE(OFFSET($H$3,0,0,'Données projet'!$E$9+1,1))</f>
        <v>201.49055911472067</v>
      </c>
      <c r="T21" s="59">
        <f t="shared" si="34"/>
        <v>403.37692064114719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7.1605505478285139</v>
      </c>
      <c r="AB21" s="21">
        <f>EXP(-LN(2)/2)*AB20+(1-EXP(-LN(2)/2))/(LN(2)/2)*V21*Y21*VLOOKUP('Données projet'!$B$9,Paramètres!$A$1:$I$89,3,0)*0.475*44/12</f>
        <v>3.8085463908046506</v>
      </c>
      <c r="AC21" s="22">
        <f t="shared" si="3"/>
        <v>10.969096938633164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31.1</v>
      </c>
      <c r="AI21" s="13">
        <f>IF('Données projet'!$A$62&gt;35,AI20+AH21-AQ20,IF(A21&lt;'Données projet'!$A$62,$AF$205^A21,IF(A21='Données projet'!$A$62,'Données projet'!$B$62,AI20+AH21-AQ20)))</f>
        <v>270.79999999999995</v>
      </c>
      <c r="AJ21" s="13">
        <f>AI21*VLOOKUP('Données projet'!$B$10,Paramètres!$A$1:$I$89,3,0)*VLOOKUP('Données projet'!$B$10,Paramètres!$A$1:$I$89,5,0)</f>
        <v>236.57087999999999</v>
      </c>
      <c r="AK21" s="13">
        <f t="shared" si="35"/>
        <v>57.701121803246238</v>
      </c>
      <c r="AL21" s="20">
        <f t="shared" si="4"/>
        <v>512.52373647398701</v>
      </c>
      <c r="AM21" s="59">
        <f t="shared" si="5"/>
        <v>805.85706980732039</v>
      </c>
      <c r="AN21" s="59">
        <f ca="1">AVERAGE(OFFSET($AM$3,0,0,'Données projet'!$E$10+1,1))-AVERAGE(OFFSET($H$3,0,0,'Données projet'!$E$10+1,1))</f>
        <v>260.53994021583316</v>
      </c>
      <c r="AO21" s="59">
        <f t="shared" si="36"/>
        <v>669.20238852709122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10.303313907490848</v>
      </c>
      <c r="AX21" s="21">
        <f t="shared" si="6"/>
        <v>10.303313907490848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29.306389432677911</v>
      </c>
      <c r="BF21" s="13">
        <f t="shared" si="37"/>
        <v>9.1150691477493808</v>
      </c>
      <c r="BG21" s="20">
        <f t="shared" si="7"/>
        <v>66.917373694244205</v>
      </c>
      <c r="BH21" s="59">
        <f t="shared" si="8"/>
        <v>360.2507070275775</v>
      </c>
      <c r="BI21" s="59">
        <f ca="1">AVERAGE(OFFSET($BH$3,0,0,'Données projet'!$E$11+1,1))-AVERAGE(OFFSET($H$3,0,0,'Données projet'!$E$11+1,1))</f>
        <v>279.20364724206644</v>
      </c>
      <c r="BJ21" s="59">
        <f t="shared" si="38"/>
        <v>173.99850582760712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32.913329670545963</v>
      </c>
      <c r="CA21" s="13">
        <f t="shared" si="39"/>
        <v>10.099544913572311</v>
      </c>
      <c r="CB21" s="20">
        <f t="shared" si="10"/>
        <v>74.91408990067265</v>
      </c>
      <c r="CC21" s="59">
        <f t="shared" si="11"/>
        <v>368.24742323400596</v>
      </c>
      <c r="CD21" s="59">
        <f ca="1">AVERAGE(OFFSET($CC$3,0,0,'Données projet'!$E$12+1,1))-AVERAGE(OFFSET($H$3,0,0,'Données projet'!$E$12+1,1))</f>
        <v>327.06866218660838</v>
      </c>
      <c r="CE21" s="59">
        <f t="shared" si="40"/>
        <v>202.18198935334908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12.3</v>
      </c>
      <c r="CT21" s="12">
        <f>IF('Données projet'!$A$140&gt;35,CT20+CS21-DB20,IF(A21&lt;'Données projet'!$A$140,$CQ$205^A21,IF(A21='Données projet'!$A$140,'Données projet'!$B$140,CT20+CS21-DB20)))</f>
        <v>109.39999999999999</v>
      </c>
      <c r="CU21" s="17">
        <f>CT21*VLOOKUP('Données projet'!$B$13,Paramètres!$A$1:$I$89,3,0)*VLOOKUP('Données projet'!$B$13,Paramètres!$A$1:$I$89,5,0)</f>
        <v>88.745279999999994</v>
      </c>
      <c r="CV21" s="13">
        <f t="shared" si="41"/>
        <v>24.262369928218718</v>
      </c>
      <c r="CW21" s="20">
        <f t="shared" si="13"/>
        <v>196.82165695831426</v>
      </c>
      <c r="CX21" s="59">
        <f t="shared" si="14"/>
        <v>490.15499029164755</v>
      </c>
      <c r="CY21" s="59">
        <f ca="1">AVERAGE(OFFSET($CX$3,0,0,'Données projet'!$E$13+1,1))-AVERAGE(OFFSET($H$3,0,0,'Données projet'!$E$13+1,1))</f>
        <v>266.72672633301022</v>
      </c>
      <c r="CZ21" s="59">
        <f t="shared" si="42"/>
        <v>314.26991662544219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5.85</v>
      </c>
      <c r="DO21" s="12">
        <f>IF('Données projet'!$A$166&gt;35,DO20+DN21-DW20,IF(A21&lt;'Données projet'!$A$166,$DL$205^A21,IF(A21='Données projet'!$A$166,'Données projet'!$B$166,DO20+DN21-DW20)))</f>
        <v>72.672027280698373</v>
      </c>
      <c r="DP21" s="17">
        <f>DO21*VLOOKUP('Données projet'!$B$14,Paramètres!$A$1:$I$89,3,0)*VLOOKUP('Données projet'!$B$14,Paramètres!$A$1:$I$89,5,0)</f>
        <v>78.224170164943729</v>
      </c>
      <c r="DQ21" s="13">
        <f t="shared" si="43"/>
        <v>21.702418863498036</v>
      </c>
      <c r="DR21" s="20">
        <f t="shared" si="16"/>
        <v>174.03880922453607</v>
      </c>
      <c r="DS21" s="59">
        <f t="shared" si="17"/>
        <v>467.37214255786938</v>
      </c>
      <c r="DT21" s="59">
        <f ca="1">AVERAGE(OFFSET($DS$3,0,0,'Données projet'!$E$14+1,1))-AVERAGE(OFFSET($H$3,0,0,'Données projet'!$E$14+1,1))</f>
        <v>442.54137223086991</v>
      </c>
      <c r="DU21" s="59">
        <f t="shared" si="44"/>
        <v>454.23406186660714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22.833333333333332</v>
      </c>
      <c r="N22" s="13">
        <f>IF('Données projet'!$A$36&gt;35,N21+M22-V21,IF(A22&lt;'Données projet'!$A$36,$K$205^A22,IF(A22='Données projet'!$A$36,'Données projet'!$B$36,N21+M22-V21)))</f>
        <v>230.16666666666671</v>
      </c>
      <c r="O22" s="13">
        <f>N22*VLOOKUP('Données projet'!$B$9,Paramètres!$A$1:$I$89,3,0)*VLOOKUP('Données projet'!$B$9,Paramètres!$A$1:$I$89,5,0)</f>
        <v>137.6396666666667</v>
      </c>
      <c r="P22" s="13">
        <f t="shared" si="33"/>
        <v>35.755752347618163</v>
      </c>
      <c r="Q22" s="20">
        <f t="shared" si="2"/>
        <v>301.99702144987947</v>
      </c>
      <c r="R22" s="59">
        <f t="shared" si="0"/>
        <v>595.33035478321278</v>
      </c>
      <c r="S22" s="59">
        <f ca="1">AVERAGE(OFFSET($R$3,0,0,'Données projet'!$E$9+1,1))-AVERAGE(OFFSET($H$3,0,0,'Données projet'!$E$9+1,1))</f>
        <v>201.49055911472067</v>
      </c>
      <c r="T22" s="59">
        <f t="shared" si="34"/>
        <v>403.37692064114719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6.9647449165411555</v>
      </c>
      <c r="AB22" s="21">
        <f>EXP(-LN(2)/2)*AB21+(1-EXP(-LN(2)/2))/(LN(2)/2)*V22*Y22*VLOOKUP('Données projet'!$B$9,Paramètres!$A$1:$I$89,3,0)*0.475*44/12</f>
        <v>2.6930489794015195</v>
      </c>
      <c r="AC22" s="22">
        <f t="shared" si="3"/>
        <v>9.6577938959426746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31.1</v>
      </c>
      <c r="AI22" s="13">
        <f>IF('Données projet'!$A$62&gt;35,AI21+AH22-AQ21,IF(A22&lt;'Données projet'!$A$62,$AF$205^A22,IF(A22='Données projet'!$A$62,'Données projet'!$B$62,AI21+AH22-AQ21)))</f>
        <v>301.89999999999998</v>
      </c>
      <c r="AJ22" s="13">
        <f>AI22*VLOOKUP('Données projet'!$B$10,Paramètres!$A$1:$I$89,3,0)*VLOOKUP('Données projet'!$B$10,Paramètres!$A$1:$I$89,5,0)</f>
        <v>263.73984000000002</v>
      </c>
      <c r="AK22" s="13">
        <f t="shared" si="35"/>
        <v>63.5188968984965</v>
      </c>
      <c r="AL22" s="20">
        <f t="shared" si="4"/>
        <v>569.97563343154809</v>
      </c>
      <c r="AM22" s="59">
        <f t="shared" si="5"/>
        <v>863.30896676488146</v>
      </c>
      <c r="AN22" s="59">
        <f ca="1">AVERAGE(OFFSET($AM$3,0,0,'Données projet'!$E$10+1,1))-AVERAGE(OFFSET($H$3,0,0,'Données projet'!$E$10+1,1))</f>
        <v>260.53994021583316</v>
      </c>
      <c r="AO22" s="59">
        <f t="shared" si="36"/>
        <v>669.20238852709122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7.2855431326804432</v>
      </c>
      <c r="AX22" s="21">
        <f t="shared" si="6"/>
        <v>7.2855431326804432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35.328466045936516</v>
      </c>
      <c r="BF22" s="13">
        <f t="shared" si="37"/>
        <v>10.751650073316766</v>
      </c>
      <c r="BG22" s="20">
        <f t="shared" si="7"/>
        <v>80.256202241032796</v>
      </c>
      <c r="BH22" s="59">
        <f t="shared" si="8"/>
        <v>373.5895355743661</v>
      </c>
      <c r="BI22" s="59">
        <f ca="1">AVERAGE(OFFSET($BH$3,0,0,'Données projet'!$E$11+1,1))-AVERAGE(OFFSET($H$3,0,0,'Données projet'!$E$11+1,1))</f>
        <v>279.20364724206644</v>
      </c>
      <c r="BJ22" s="59">
        <f t="shared" si="38"/>
        <v>173.99850582760712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39.676584943897929</v>
      </c>
      <c r="CA22" s="13">
        <f t="shared" si="39"/>
        <v>11.912885250825237</v>
      </c>
      <c r="CB22" s="20">
        <f t="shared" si="10"/>
        <v>89.851660589142838</v>
      </c>
      <c r="CC22" s="59">
        <f t="shared" si="11"/>
        <v>383.18499392247617</v>
      </c>
      <c r="CD22" s="59">
        <f ca="1">AVERAGE(OFFSET($CC$3,0,0,'Données projet'!$E$12+1,1))-AVERAGE(OFFSET($H$3,0,0,'Données projet'!$E$12+1,1))</f>
        <v>327.06866218660838</v>
      </c>
      <c r="CE22" s="59">
        <f t="shared" si="40"/>
        <v>202.18198935334908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12.3</v>
      </c>
      <c r="CT22" s="12">
        <f>IF('Données projet'!$A$140&gt;35,CT21+CS22-DB21,IF(A22&lt;'Données projet'!$A$140,$CQ$205^A22,IF(A22='Données projet'!$A$140,'Données projet'!$B$140,CT21+CS22-DB21)))</f>
        <v>121.69999999999999</v>
      </c>
      <c r="CU22" s="17">
        <f>CT22*VLOOKUP('Données projet'!$B$13,Paramètres!$A$1:$I$89,3,0)*VLOOKUP('Données projet'!$B$13,Paramètres!$A$1:$I$89,5,0)</f>
        <v>98.723039999999997</v>
      </c>
      <c r="CV22" s="13">
        <f t="shared" si="41"/>
        <v>26.65755226341626</v>
      </c>
      <c r="CW22" s="20">
        <f t="shared" si="13"/>
        <v>218.37119819211662</v>
      </c>
      <c r="CX22" s="59">
        <f t="shared" si="14"/>
        <v>511.70453152544997</v>
      </c>
      <c r="CY22" s="59">
        <f ca="1">AVERAGE(OFFSET($CX$3,0,0,'Données projet'!$E$13+1,1))-AVERAGE(OFFSET($H$3,0,0,'Données projet'!$E$13+1,1))</f>
        <v>266.72672633301022</v>
      </c>
      <c r="CZ22" s="59">
        <f t="shared" si="42"/>
        <v>314.26991662544219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5.85</v>
      </c>
      <c r="DO22" s="12">
        <f>IF('Données projet'!$A$166&gt;35,DO21+DN22-DW21,IF(A22&lt;'Données projet'!$A$166,$DL$205^A22,IF(A22='Données projet'!$A$166,'Données projet'!$B$166,DO21+DN22-DW21)))</f>
        <v>92.209691420380025</v>
      </c>
      <c r="DP22" s="17">
        <f>DO22*VLOOKUP('Données projet'!$B$14,Paramètres!$A$1:$I$89,3,0)*VLOOKUP('Données projet'!$B$14,Paramètres!$A$1:$I$89,5,0)</f>
        <v>99.254511844897053</v>
      </c>
      <c r="DQ22" s="13">
        <f t="shared" si="43"/>
        <v>26.784318003781028</v>
      </c>
      <c r="DR22" s="20">
        <f t="shared" si="16"/>
        <v>219.51762865311431</v>
      </c>
      <c r="DS22" s="59">
        <f t="shared" si="17"/>
        <v>512.8509619864476</v>
      </c>
      <c r="DT22" s="59">
        <f ca="1">AVERAGE(OFFSET($DS$3,0,0,'Données projet'!$E$14+1,1))-AVERAGE(OFFSET($H$3,0,0,'Données projet'!$E$14+1,1))</f>
        <v>442.54137223086991</v>
      </c>
      <c r="DU22" s="59">
        <f t="shared" si="44"/>
        <v>454.23406186660714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253</v>
      </c>
      <c r="L23" s="12">
        <f>VLOOKUP(A23,'Données projet'!$A$35:$I$55,9,0)</f>
        <v>22.833333333333332</v>
      </c>
      <c r="M23" s="12">
        <f t="array" ref="M23">INDEX(L:L,MIN(IF(ISNUMBER(L23:L219),ROW(L23:L219),"")))</f>
        <v>22.833333333333332</v>
      </c>
      <c r="N23" s="13">
        <f>IF('Données projet'!$A$36&gt;35,N22+M23-V22,IF(A23&lt;'Données projet'!$A$36,$K$205^A23,IF(A23='Données projet'!$A$36,'Données projet'!$B$36,N22+M23-V22)))</f>
        <v>253.00000000000006</v>
      </c>
      <c r="O23" s="13">
        <f>N23*VLOOKUP('Données projet'!$B$9,Paramètres!$A$1:$I$89,3,0)*VLOOKUP('Données projet'!$B$9,Paramètres!$A$1:$I$89,5,0)</f>
        <v>151.29400000000007</v>
      </c>
      <c r="P23" s="13">
        <f t="shared" si="33"/>
        <v>38.872504593639988</v>
      </c>
      <c r="Q23" s="20">
        <f t="shared" si="2"/>
        <v>331.20666216725641</v>
      </c>
      <c r="R23" s="59">
        <f t="shared" si="0"/>
        <v>624.53999550058973</v>
      </c>
      <c r="S23" s="59">
        <f ca="1">AVERAGE(OFFSET($R$3,0,0,'Données projet'!$E$9+1,1))-AVERAGE(OFFSET($H$3,0,0,'Données projet'!$E$9+1,1))</f>
        <v>201.49055911472067</v>
      </c>
      <c r="T23" s="59">
        <f t="shared" si="34"/>
        <v>403.37692064114719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72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5.140490327406436</v>
      </c>
      <c r="AA23" s="21">
        <f>EXP(-LN(2)/25)*AA22+(1-EXP(-LN(2)/25))/(LN(2)/25)*Calculateur!V23*Calculateur!X23*VLOOKUP('Données projet'!$B$9,Paramètres!$A$1:$I$89,3,0)*0.475*44/12</f>
        <v>17.014794117152451</v>
      </c>
      <c r="AB23" s="21">
        <f>EXP(-LN(2)/2)*AB22+(1-EXP(-LN(2)/2))/(LN(2)/2)*V23*Y23*VLOOKUP('Données projet'!$B$9,Paramètres!$A$1:$I$89,3,0)*0.475*44/12</f>
        <v>21.404030716322129</v>
      </c>
      <c r="AC23" s="22">
        <f t="shared" si="3"/>
        <v>43.559315160881013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333</v>
      </c>
      <c r="AG23" s="12">
        <f>VLOOKUP(A23,'Données projet'!$A$61:$I$81,9,0)</f>
        <v>31.1</v>
      </c>
      <c r="AH23" s="12">
        <f t="array" ref="AH23">INDEX(AG:AG,MIN(IF(ISNUMBER(AG23:AG219),ROW(AG23:AG219),"")))</f>
        <v>31.1</v>
      </c>
      <c r="AI23" s="13">
        <f>IF('Données projet'!$A$62&gt;35,AI22+AH23-AQ22,IF(A23&lt;'Données projet'!$A$62,$AF$205^A23,IF(A23='Données projet'!$A$62,'Données projet'!$B$62,AI22+AH23-AQ22)))</f>
        <v>333</v>
      </c>
      <c r="AJ23" s="13">
        <f>AI23*VLOOKUP('Données projet'!$B$10,Paramètres!$A$1:$I$89,3,0)*VLOOKUP('Données projet'!$B$10,Paramètres!$A$1:$I$89,5,0)</f>
        <v>290.90880000000004</v>
      </c>
      <c r="AK23" s="13">
        <f t="shared" si="35"/>
        <v>69.267198872967185</v>
      </c>
      <c r="AL23" s="20">
        <f t="shared" si="4"/>
        <v>627.30653137041782</v>
      </c>
      <c r="AM23" s="59">
        <f t="shared" si="5"/>
        <v>920.63986470375107</v>
      </c>
      <c r="AN23" s="59">
        <f ca="1">AVERAGE(OFFSET($AM$3,0,0,'Données projet'!$E$10+1,1))-AVERAGE(OFFSET($H$3,0,0,'Données projet'!$E$10+1,1))</f>
        <v>260.53994021583316</v>
      </c>
      <c r="AO23" s="59">
        <f t="shared" si="36"/>
        <v>669.20238852709122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300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252.43119073352563</v>
      </c>
      <c r="AX23" s="21">
        <f t="shared" si="6"/>
        <v>252.43119073352563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42.588000000000001</v>
      </c>
      <c r="BF23" s="13">
        <f t="shared" si="37"/>
        <v>12.682073764365764</v>
      </c>
      <c r="BG23" s="20">
        <f t="shared" si="7"/>
        <v>96.262045139603686</v>
      </c>
      <c r="BH23" s="59">
        <f t="shared" si="8"/>
        <v>389.595378472937</v>
      </c>
      <c r="BI23" s="59">
        <f ca="1">AVERAGE(OFFSET($BH$3,0,0,'Données projet'!$E$11+1,1))-AVERAGE(OFFSET($H$3,0,0,'Données projet'!$E$11+1,1))</f>
        <v>279.20364724206644</v>
      </c>
      <c r="BJ23" s="59">
        <f t="shared" si="38"/>
        <v>173.99850582760712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47.829599999999999</v>
      </c>
      <c r="CA23" s="13">
        <f t="shared" si="39"/>
        <v>14.051804929211587</v>
      </c>
      <c r="CB23" s="20">
        <f t="shared" si="10"/>
        <v>107.77678025171018</v>
      </c>
      <c r="CC23" s="59">
        <f t="shared" si="11"/>
        <v>401.11011358504351</v>
      </c>
      <c r="CD23" s="59">
        <f ca="1">AVERAGE(OFFSET($CC$3,0,0,'Données projet'!$E$12+1,1))-AVERAGE(OFFSET($H$3,0,0,'Données projet'!$E$12+1,1))</f>
        <v>327.06866218660838</v>
      </c>
      <c r="CE23" s="59">
        <f t="shared" si="40"/>
        <v>202.18198935334908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134</v>
      </c>
      <c r="CR23" s="12">
        <f>VLOOKUP(A23,'Données projet'!$A$139:$I$159,9,0)</f>
        <v>12.3</v>
      </c>
      <c r="CS23" s="12">
        <f t="array" ref="CS23">INDEX(CR:CR,MIN(IF(ISNUMBER(CR23:CR219),ROW(CR23:CR219),"")))</f>
        <v>12.3</v>
      </c>
      <c r="CT23" s="12">
        <f>IF('Données projet'!$A$140&gt;35,CT22+CS23-DB22,IF(A23&lt;'Données projet'!$A$140,$CQ$205^A23,IF(A23='Données projet'!$A$140,'Données projet'!$B$140,CT22+CS23-DB22)))</f>
        <v>134</v>
      </c>
      <c r="CU23" s="17">
        <f>CT23*VLOOKUP('Données projet'!$B$13,Paramètres!$A$1:$I$89,3,0)*VLOOKUP('Données projet'!$B$13,Paramètres!$A$1:$I$89,5,0)</f>
        <v>108.70080000000002</v>
      </c>
      <c r="CV23" s="13">
        <f t="shared" si="41"/>
        <v>29.02467157581999</v>
      </c>
      <c r="CW23" s="20">
        <f t="shared" si="13"/>
        <v>239.87186299455311</v>
      </c>
      <c r="CX23" s="59">
        <f t="shared" si="14"/>
        <v>533.20519632788637</v>
      </c>
      <c r="CY23" s="59">
        <f ca="1">AVERAGE(OFFSET($CX$3,0,0,'Données projet'!$E$13+1,1))-AVERAGE(OFFSET($H$3,0,0,'Données projet'!$E$13+1,1))</f>
        <v>266.72672633301022</v>
      </c>
      <c r="CZ23" s="59">
        <f t="shared" si="42"/>
        <v>314.26991662544219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67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6.4334652752406898</v>
      </c>
      <c r="DH23" s="21">
        <f>EXP(-LN(2)/2)*DH22+(1-EXP(-LN(2)/2))/(LN(2)/2)*DB23*DE23*VLOOKUP('Données projet'!$B$13,Paramètres!$A$1:$I$89,3,0)*0.475*44/12</f>
        <v>12.820266304892172</v>
      </c>
      <c r="DI23" s="22">
        <f t="shared" si="15"/>
        <v>19.253731580132861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117</v>
      </c>
      <c r="DM23" s="12">
        <f>VLOOKUP(A23,'Données projet'!$A$165:$I$185,9,0)</f>
        <v>5.85</v>
      </c>
      <c r="DN23" s="12">
        <f t="array" ref="DN23">INDEX(DM:DM,MIN(IF(ISNUMBER(DM23:DM219),ROW(DM23:DM219),"")))</f>
        <v>5.85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125.93879999999999</v>
      </c>
      <c r="DQ23" s="13">
        <f t="shared" si="43"/>
        <v>33.056208869615254</v>
      </c>
      <c r="DR23" s="20">
        <f t="shared" si="16"/>
        <v>276.91630711457987</v>
      </c>
      <c r="DS23" s="59">
        <f t="shared" si="17"/>
        <v>570.24964044791318</v>
      </c>
      <c r="DT23" s="59">
        <f ca="1">AVERAGE(OFFSET($DS$3,0,0,'Données projet'!$E$14+1,1))-AVERAGE(OFFSET($H$3,0,0,'Données projet'!$E$14+1,1))</f>
        <v>442.54137223086991</v>
      </c>
      <c r="DU23" s="59">
        <f t="shared" si="44"/>
        <v>454.23406186660714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3.4401681423000579</v>
      </c>
      <c r="EC23" s="21">
        <f>EXP(-LN(2)/2)*EC22+(1-EXP(-LN(2)/2))/(LN(2)/2)*DW23*DZ23*VLOOKUP('Données projet'!$B$14,Paramètres!$A$1:$I$89,3,0)*0.475*44/12</f>
        <v>6.855383503448369</v>
      </c>
      <c r="ED23" s="22">
        <f t="shared" si="18"/>
        <v>10.295551645748427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17.666666666666668</v>
      </c>
      <c r="N24" s="13">
        <f>IF('Données projet'!$A$36&gt;35,N23+M24-V23,IF(A24&lt;'Données projet'!$A$36,$K$205^A24,IF(A24='Données projet'!$A$36,'Données projet'!$B$36,N23+M24-V23)))</f>
        <v>198.66666666666674</v>
      </c>
      <c r="O24" s="13">
        <f>N24*VLOOKUP('Données projet'!$B$9,Paramètres!$A$1:$I$89,3,0)*VLOOKUP('Données projet'!$B$9,Paramètres!$A$1:$I$89,5,0)</f>
        <v>118.80266666666671</v>
      </c>
      <c r="P24" s="13">
        <f t="shared" si="33"/>
        <v>31.395578184054433</v>
      </c>
      <c r="Q24" s="20">
        <f t="shared" si="2"/>
        <v>261.59527644833929</v>
      </c>
      <c r="R24" s="59">
        <f t="shared" si="0"/>
        <v>554.92860978167255</v>
      </c>
      <c r="S24" s="59">
        <f ca="1">AVERAGE(OFFSET($R$3,0,0,'Données projet'!$E$9+1,1))-AVERAGE(OFFSET($H$3,0,0,'Données projet'!$E$9+1,1))</f>
        <v>201.49055911472067</v>
      </c>
      <c r="T24" s="59">
        <f t="shared" si="34"/>
        <v>403.37692064114719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5.039688447475501</v>
      </c>
      <c r="AA24" s="21">
        <f>EXP(-LN(2)/25)*AA23+(1-EXP(-LN(2)/25))/(LN(2)/25)*Calculateur!V24*Calculateur!X24*VLOOKUP('Données projet'!$B$9,Paramètres!$A$1:$I$89,3,0)*0.475*44/12</f>
        <v>16.549523677249784</v>
      </c>
      <c r="AB24" s="21">
        <f>EXP(-LN(2)/2)*AB23+(1-EXP(-LN(2)/2))/(LN(2)/2)*V24*Y24*VLOOKUP('Données projet'!$B$9,Paramètres!$A$1:$I$89,3,0)*0.475*44/12</f>
        <v>15.134935264236535</v>
      </c>
      <c r="AC24" s="22">
        <f t="shared" si="3"/>
        <v>36.724147388961825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35.6</v>
      </c>
      <c r="AI24" s="13">
        <f>IF('Données projet'!$A$62&gt;35,AI23+AH24-AQ23,IF(A24&lt;'Données projet'!$A$62,$AF$205^A24,IF(A24='Données projet'!$A$62,'Données projet'!$B$62,AI23+AH24-AQ23)))</f>
        <v>68.600000000000023</v>
      </c>
      <c r="AJ24" s="13">
        <f>AI24*VLOOKUP('Données projet'!$B$10,Paramètres!$A$1:$I$89,3,0)*VLOOKUP('Données projet'!$B$10,Paramètres!$A$1:$I$89,5,0)</f>
        <v>59.928960000000032</v>
      </c>
      <c r="AK24" s="13">
        <f t="shared" si="35"/>
        <v>17.150306633391647</v>
      </c>
      <c r="AL24" s="20">
        <f t="shared" si="4"/>
        <v>134.24638938649051</v>
      </c>
      <c r="AM24" s="59">
        <f t="shared" si="5"/>
        <v>427.57972271982385</v>
      </c>
      <c r="AN24" s="59">
        <f ca="1">AVERAGE(OFFSET($AM$3,0,0,'Données projet'!$E$10+1,1))-AVERAGE(OFFSET($H$3,0,0,'Données projet'!$E$10+1,1))</f>
        <v>260.53994021583316</v>
      </c>
      <c r="AO24" s="59">
        <f t="shared" si="36"/>
        <v>669.20238852709122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178.49580675067077</v>
      </c>
      <c r="AX24" s="21">
        <f t="shared" si="6"/>
        <v>178.49580675067077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48.3</v>
      </c>
      <c r="BE24" s="13">
        <f>BD24*VLOOKUP('Données projet'!$B$11,Paramètres!$A$1:$I$89,3,0)*VLOOKUP('Données projet'!$B$11,Paramètres!$A$1:$I$89,5,0)</f>
        <v>48.976199999999999</v>
      </c>
      <c r="BF24" s="13">
        <f t="shared" si="37"/>
        <v>14.349041334347479</v>
      </c>
      <c r="BG24" s="20">
        <f t="shared" si="7"/>
        <v>110.29146199065519</v>
      </c>
      <c r="BH24" s="59">
        <f t="shared" si="8"/>
        <v>403.62479532398851</v>
      </c>
      <c r="BI24" s="59">
        <f ca="1">AVERAGE(OFFSET($BH$3,0,0,'Données projet'!$E$11+1,1))-AVERAGE(OFFSET($H$3,0,0,'Données projet'!$E$11+1,1))</f>
        <v>279.20364724206644</v>
      </c>
      <c r="BJ24" s="59">
        <f t="shared" si="38"/>
        <v>173.99850582760712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6.3</v>
      </c>
      <c r="BY24" s="12">
        <f>IF('Données projet'!$A$114&gt;35,BY23+BX24-CG23,IF(A24&lt;'Données projet'!$A$114,$BV$205^A24,IF(A24='Données projet'!$A$114,'Données projet'!$B$114,BY23+BX24-CG23)))</f>
        <v>48.3</v>
      </c>
      <c r="BZ24" s="13">
        <f>BY24*VLOOKUP('Données projet'!$B$12,Paramètres!$A$1:$I$89,3,0)*VLOOKUP('Données projet'!$B$12,Paramètres!$A$1:$I$89,5,0)</f>
        <v>55.004040000000003</v>
      </c>
      <c r="CA24" s="13">
        <f t="shared" si="39"/>
        <v>15.898813829484796</v>
      </c>
      <c r="CB24" s="20">
        <f t="shared" si="10"/>
        <v>123.48913708635268</v>
      </c>
      <c r="CC24" s="59">
        <f t="shared" si="11"/>
        <v>416.822470419686</v>
      </c>
      <c r="CD24" s="59">
        <f ca="1">AVERAGE(OFFSET($CC$3,0,0,'Données projet'!$E$12+1,1))-AVERAGE(OFFSET($H$3,0,0,'Données projet'!$E$12+1,1))</f>
        <v>327.06866218660838</v>
      </c>
      <c r="CE24" s="59">
        <f t="shared" si="40"/>
        <v>202.18198935334908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14.5</v>
      </c>
      <c r="CT24" s="12">
        <f>IF('Données projet'!$A$140&gt;35,CT23+CS24-DB23,IF(A24&lt;'Données projet'!$A$140,$CQ$205^A24,IF(A24='Données projet'!$A$140,'Données projet'!$B$140,CT23+CS24-DB23)))</f>
        <v>81.5</v>
      </c>
      <c r="CU24" s="17">
        <f>CT24*VLOOKUP('Données projet'!$B$13,Paramètres!$A$1:$I$89,3,0)*VLOOKUP('Données projet'!$B$13,Paramètres!$A$1:$I$89,5,0)</f>
        <v>66.112800000000007</v>
      </c>
      <c r="CV24" s="13">
        <f t="shared" si="41"/>
        <v>18.704942500096539</v>
      </c>
      <c r="CW24" s="20">
        <f t="shared" si="13"/>
        <v>147.72423485433481</v>
      </c>
      <c r="CX24" s="59">
        <f t="shared" si="14"/>
        <v>441.05756818766815</v>
      </c>
      <c r="CY24" s="59">
        <f ca="1">AVERAGE(OFFSET($CX$3,0,0,'Données projet'!$E$13+1,1))-AVERAGE(OFFSET($H$3,0,0,'Données projet'!$E$13+1,1))</f>
        <v>266.72672633301022</v>
      </c>
      <c r="CZ24" s="59">
        <f t="shared" si="42"/>
        <v>314.26991662544219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6.257541828967998</v>
      </c>
      <c r="DH24" s="21">
        <f>EXP(-LN(2)/2)*DH23+(1-EXP(-LN(2)/2))/(LN(2)/2)*DB24*DE24*VLOOKUP('Données projet'!$B$13,Paramètres!$A$1:$I$89,3,0)*0.475*44/12</f>
        <v>9.0652972408066574</v>
      </c>
      <c r="DI24" s="22">
        <f t="shared" si="15"/>
        <v>15.322839069774655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13.1</v>
      </c>
      <c r="DO24" s="12">
        <f>IF('Données projet'!$A$166&gt;35,DO23+DN24-DW23,IF(A24&lt;'Données projet'!$A$166,$DL$205^A24,IF(A24='Données projet'!$A$166,'Données projet'!$B$166,DO23+DN24-DW23)))</f>
        <v>103.1</v>
      </c>
      <c r="DP24" s="17">
        <f>DO24*VLOOKUP('Données projet'!$B$14,Paramètres!$A$1:$I$89,3,0)*VLOOKUP('Données projet'!$B$14,Paramètres!$A$1:$I$89,5,0)</f>
        <v>110.97684</v>
      </c>
      <c r="DQ24" s="13">
        <f t="shared" si="43"/>
        <v>29.561017136232916</v>
      </c>
      <c r="DR24" s="20">
        <f t="shared" si="16"/>
        <v>244.77010117893894</v>
      </c>
      <c r="DS24" s="59">
        <f t="shared" si="17"/>
        <v>538.10343451227232</v>
      </c>
      <c r="DT24" s="59">
        <f ca="1">AVERAGE(OFFSET($DS$3,0,0,'Données projet'!$E$14+1,1))-AVERAGE(OFFSET($H$3,0,0,'Données projet'!$E$14+1,1))</f>
        <v>442.54137223086991</v>
      </c>
      <c r="DU24" s="59">
        <f t="shared" si="44"/>
        <v>454.23406186660714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3.3460965635382829</v>
      </c>
      <c r="EC24" s="21">
        <f>EXP(-LN(2)/2)*EC23+(1-EXP(-LN(2)/2))/(LN(2)/2)*DW24*DZ24*VLOOKUP('Données projet'!$B$14,Paramètres!$A$1:$I$89,3,0)*0.475*44/12</f>
        <v>4.8474881629227333</v>
      </c>
      <c r="ED24" s="22">
        <f t="shared" si="18"/>
        <v>8.1935847264610153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17.666666666666668</v>
      </c>
      <c r="N25" s="13">
        <f>IF('Données projet'!$A$36&gt;35,N24+M25-V24,IF(A25&lt;'Données projet'!$A$36,$K$205^A25,IF(A25='Données projet'!$A$36,'Données projet'!$B$36,N24+M25-V24)))</f>
        <v>216.3333333333334</v>
      </c>
      <c r="O25" s="13">
        <f>N25*VLOOKUP('Données projet'!$B$9,Paramètres!$A$1:$I$89,3,0)*VLOOKUP('Données projet'!$B$9,Paramètres!$A$1:$I$89,5,0)</f>
        <v>129.36733333333339</v>
      </c>
      <c r="P25" s="13">
        <f t="shared" si="33"/>
        <v>33.850127158998376</v>
      </c>
      <c r="Q25" s="20">
        <f t="shared" si="2"/>
        <v>284.27041035747783</v>
      </c>
      <c r="R25" s="59">
        <f t="shared" si="0"/>
        <v>577.60374369081114</v>
      </c>
      <c r="S25" s="59">
        <f ca="1">AVERAGE(OFFSET($R$3,0,0,'Données projet'!$E$9+1,1))-AVERAGE(OFFSET($H$3,0,0,'Données projet'!$E$9+1,1))</f>
        <v>201.49055911472067</v>
      </c>
      <c r="T25" s="59">
        <f t="shared" si="34"/>
        <v>403.37692064114719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4.9408632309269365</v>
      </c>
      <c r="AA25" s="21">
        <f>EXP(-LN(2)/25)*AA24+(1-EXP(-LN(2)/25))/(LN(2)/25)*Calculateur!V25*Calculateur!X25*VLOOKUP('Données projet'!$B$9,Paramètres!$A$1:$I$89,3,0)*0.475*44/12</f>
        <v>16.096976081993763</v>
      </c>
      <c r="AB25" s="21">
        <f>EXP(-LN(2)/2)*AB24+(1-EXP(-LN(2)/2))/(LN(2)/2)*V25*Y25*VLOOKUP('Données projet'!$B$9,Paramètres!$A$1:$I$89,3,0)*0.475*44/12</f>
        <v>10.702015358161066</v>
      </c>
      <c r="AC25" s="22">
        <f t="shared" si="3"/>
        <v>31.739854671081766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35.6</v>
      </c>
      <c r="AI25" s="13">
        <f>IF('Données projet'!$A$62&gt;35,AI24+AH25-AQ24,IF(A25&lt;'Données projet'!$A$62,$AF$205^A25,IF(A25='Données projet'!$A$62,'Données projet'!$B$62,AI24+AH25-AQ24)))</f>
        <v>104.20000000000002</v>
      </c>
      <c r="AJ25" s="13">
        <f>AI25*VLOOKUP('Données projet'!$B$10,Paramètres!$A$1:$I$89,3,0)*VLOOKUP('Données projet'!$B$10,Paramètres!$A$1:$I$89,5,0)</f>
        <v>91.029120000000034</v>
      </c>
      <c r="AK25" s="13">
        <f t="shared" si="35"/>
        <v>24.813259479575809</v>
      </c>
      <c r="AL25" s="20">
        <f t="shared" si="4"/>
        <v>201.75881092692791</v>
      </c>
      <c r="AM25" s="59">
        <f t="shared" si="5"/>
        <v>495.09214426026119</v>
      </c>
      <c r="AN25" s="59">
        <f ca="1">AVERAGE(OFFSET($AM$3,0,0,'Données projet'!$E$10+1,1))-AVERAGE(OFFSET($H$3,0,0,'Données projet'!$E$10+1,1))</f>
        <v>260.53994021583316</v>
      </c>
      <c r="AO25" s="59">
        <f t="shared" si="36"/>
        <v>669.20238852709122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126.21559536676284</v>
      </c>
      <c r="AX25" s="21">
        <f t="shared" si="6"/>
        <v>126.21559536676284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54.599999999999994</v>
      </c>
      <c r="BE25" s="13">
        <f>BD25*VLOOKUP('Données projet'!$B$11,Paramètres!$A$1:$I$89,3,0)*VLOOKUP('Données projet'!$B$11,Paramètres!$A$1:$I$89,5,0)</f>
        <v>55.364399999999996</v>
      </c>
      <c r="BF25" s="13">
        <f t="shared" si="37"/>
        <v>15.990815813983085</v>
      </c>
      <c r="BG25" s="20">
        <f t="shared" si="7"/>
        <v>124.27700087602052</v>
      </c>
      <c r="BH25" s="59">
        <f t="shared" si="8"/>
        <v>417.61033420935382</v>
      </c>
      <c r="BI25" s="59">
        <f ca="1">AVERAGE(OFFSET($BH$3,0,0,'Données projet'!$E$11+1,1))-AVERAGE(OFFSET($H$3,0,0,'Données projet'!$E$11+1,1))</f>
        <v>279.20364724206644</v>
      </c>
      <c r="BJ25" s="59">
        <f t="shared" si="38"/>
        <v>173.99850582760712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6.3</v>
      </c>
      <c r="BY25" s="12">
        <f>IF('Données projet'!$A$114&gt;35,BY24+BX25-CG24,IF(A25&lt;'Données projet'!$A$114,$BV$205^A25,IF(A25='Données projet'!$A$114,'Données projet'!$B$114,BY24+BX25-CG24)))</f>
        <v>54.599999999999994</v>
      </c>
      <c r="BZ25" s="13">
        <f>BY25*VLOOKUP('Données projet'!$B$12,Paramètres!$A$1:$I$89,3,0)*VLOOKUP('Données projet'!$B$12,Paramètres!$A$1:$I$89,5,0)</f>
        <v>62.17848</v>
      </c>
      <c r="CA25" s="13">
        <f t="shared" si="39"/>
        <v>17.717908652164297</v>
      </c>
      <c r="CB25" s="20">
        <f t="shared" si="10"/>
        <v>139.15287690251947</v>
      </c>
      <c r="CC25" s="59">
        <f t="shared" si="11"/>
        <v>432.48621023585281</v>
      </c>
      <c r="CD25" s="59">
        <f ca="1">AVERAGE(OFFSET($CC$3,0,0,'Données projet'!$E$12+1,1))-AVERAGE(OFFSET($H$3,0,0,'Données projet'!$E$12+1,1))</f>
        <v>327.06866218660838</v>
      </c>
      <c r="CE25" s="59">
        <f t="shared" si="40"/>
        <v>202.18198935334908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14.5</v>
      </c>
      <c r="CT25" s="12">
        <f>IF('Données projet'!$A$140&gt;35,CT24+CS25-DB24,IF(A25&lt;'Données projet'!$A$140,$CQ$205^A25,IF(A25='Données projet'!$A$140,'Données projet'!$B$140,CT24+CS25-DB24)))</f>
        <v>96</v>
      </c>
      <c r="CU25" s="17">
        <f>CT25*VLOOKUP('Données projet'!$B$13,Paramètres!$A$1:$I$89,3,0)*VLOOKUP('Données projet'!$B$13,Paramètres!$A$1:$I$89,5,0)</f>
        <v>77.875200000000007</v>
      </c>
      <c r="CV25" s="13">
        <f t="shared" si="41"/>
        <v>21.616848354491538</v>
      </c>
      <c r="CW25" s="20">
        <f t="shared" si="13"/>
        <v>173.28198421740612</v>
      </c>
      <c r="CX25" s="59">
        <f t="shared" si="14"/>
        <v>466.61531755073941</v>
      </c>
      <c r="CY25" s="59">
        <f ca="1">AVERAGE(OFFSET($CX$3,0,0,'Données projet'!$E$13+1,1))-AVERAGE(OFFSET($H$3,0,0,'Données projet'!$E$13+1,1))</f>
        <v>266.72672633301022</v>
      </c>
      <c r="CZ25" s="59">
        <f t="shared" si="42"/>
        <v>314.26991662544219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6.0864290185850454</v>
      </c>
      <c r="DH25" s="21">
        <f>EXP(-LN(2)/2)*DH24+(1-EXP(-LN(2)/2))/(LN(2)/2)*DB25*DE25*VLOOKUP('Données projet'!$B$13,Paramètres!$A$1:$I$89,3,0)*0.475*44/12</f>
        <v>6.4101331524460869</v>
      </c>
      <c r="DI25" s="22">
        <f t="shared" si="15"/>
        <v>12.496562171031133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13.1</v>
      </c>
      <c r="DO25" s="12">
        <f>IF('Données projet'!$A$166&gt;35,DO24+DN25-DW24,IF(A25&lt;'Données projet'!$A$166,$DL$205^A25,IF(A25='Données projet'!$A$166,'Données projet'!$B$166,DO24+DN25-DW24)))</f>
        <v>116.19999999999999</v>
      </c>
      <c r="DP25" s="17">
        <f>DO25*VLOOKUP('Données projet'!$B$14,Paramètres!$A$1:$I$89,3,0)*VLOOKUP('Données projet'!$B$14,Paramètres!$A$1:$I$89,5,0)</f>
        <v>125.07767999999997</v>
      </c>
      <c r="DQ25" s="13">
        <f t="shared" si="43"/>
        <v>32.856413182010108</v>
      </c>
      <c r="DR25" s="20">
        <f t="shared" si="16"/>
        <v>275.0685456253342</v>
      </c>
      <c r="DS25" s="59">
        <f t="shared" si="17"/>
        <v>568.40187895866757</v>
      </c>
      <c r="DT25" s="59">
        <f ca="1">AVERAGE(OFFSET($DS$3,0,0,'Données projet'!$E$14+1,1))-AVERAGE(OFFSET($H$3,0,0,'Données projet'!$E$14+1,1))</f>
        <v>442.54137223086991</v>
      </c>
      <c r="DU25" s="59">
        <f t="shared" si="44"/>
        <v>454.23406186660714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3.254597377044758</v>
      </c>
      <c r="EC25" s="21">
        <f>EXP(-LN(2)/2)*EC24+(1-EXP(-LN(2)/2))/(LN(2)/2)*DW25*DZ25*VLOOKUP('Données projet'!$B$14,Paramètres!$A$1:$I$89,3,0)*0.475*44/12</f>
        <v>3.4276917517241845</v>
      </c>
      <c r="ED25" s="22">
        <f t="shared" si="18"/>
        <v>6.682289128768943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17.666666666666668</v>
      </c>
      <c r="N26" s="13">
        <f>IF('Données projet'!$A$36&gt;35,N25+M26-V25,IF(A26&lt;'Données projet'!$A$36,$K$205^A26,IF(A26='Données projet'!$A$36,'Données projet'!$B$36,N25+M26-V25)))</f>
        <v>234.00000000000006</v>
      </c>
      <c r="O26" s="13">
        <f>N26*VLOOKUP('Données projet'!$B$9,Paramètres!$A$1:$I$89,3,0)*VLOOKUP('Données projet'!$B$9,Paramètres!$A$1:$I$89,5,0)</f>
        <v>139.93200000000004</v>
      </c>
      <c r="P26" s="13">
        <f t="shared" si="33"/>
        <v>36.281427209452353</v>
      </c>
      <c r="Q26" s="20">
        <f t="shared" si="2"/>
        <v>306.9050523897962</v>
      </c>
      <c r="R26" s="59">
        <f t="shared" si="0"/>
        <v>600.23838572312957</v>
      </c>
      <c r="S26" s="59">
        <f ca="1">AVERAGE(OFFSET($R$3,0,0,'Données projet'!$E$9+1,1))-AVERAGE(OFFSET($H$3,0,0,'Données projet'!$E$9+1,1))</f>
        <v>201.49055911472067</v>
      </c>
      <c r="T26" s="59">
        <f t="shared" si="34"/>
        <v>403.37692064114719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4.8439759165974587</v>
      </c>
      <c r="AA26" s="21">
        <f>EXP(-LN(2)/25)*AA25+(1-EXP(-LN(2)/25))/(LN(2)/25)*Calculateur!V26*Calculateur!X26*VLOOKUP('Données projet'!$B$9,Paramètres!$A$1:$I$89,3,0)*0.475*44/12</f>
        <v>15.65680342452846</v>
      </c>
      <c r="AB26" s="21">
        <f>EXP(-LN(2)/2)*AB25+(1-EXP(-LN(2)/2))/(LN(2)/2)*V26*Y26*VLOOKUP('Données projet'!$B$9,Paramètres!$A$1:$I$89,3,0)*0.475*44/12</f>
        <v>7.5674676321182686</v>
      </c>
      <c r="AC26" s="22">
        <f t="shared" si="3"/>
        <v>28.068246973244189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35.6</v>
      </c>
      <c r="AI26" s="13">
        <f>IF('Données projet'!$A$62&gt;35,AI25+AH26-AQ25,IF(A26&lt;'Données projet'!$A$62,$AF$205^A26,IF(A26='Données projet'!$A$62,'Données projet'!$B$62,AI25+AH26-AQ25)))</f>
        <v>139.80000000000001</v>
      </c>
      <c r="AJ26" s="13">
        <f>AI26*VLOOKUP('Données projet'!$B$10,Paramètres!$A$1:$I$89,3,0)*VLOOKUP('Données projet'!$B$10,Paramètres!$A$1:$I$89,5,0)</f>
        <v>122.12928000000002</v>
      </c>
      <c r="AK26" s="13">
        <f t="shared" si="35"/>
        <v>32.171109382958193</v>
      </c>
      <c r="AL26" s="20">
        <f t="shared" si="4"/>
        <v>268.73984484198553</v>
      </c>
      <c r="AM26" s="59">
        <f t="shared" si="5"/>
        <v>562.07317817531884</v>
      </c>
      <c r="AN26" s="59">
        <f ca="1">AVERAGE(OFFSET($AM$3,0,0,'Données projet'!$E$10+1,1))-AVERAGE(OFFSET($H$3,0,0,'Données projet'!$E$10+1,1))</f>
        <v>260.53994021583316</v>
      </c>
      <c r="AO26" s="59">
        <f t="shared" si="36"/>
        <v>669.20238852709122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89.247903375335397</v>
      </c>
      <c r="AX26" s="21">
        <f t="shared" si="6"/>
        <v>89.247903375335397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60.899999999999991</v>
      </c>
      <c r="BE26" s="13">
        <f>BD26*VLOOKUP('Données projet'!$B$11,Paramètres!$A$1:$I$89,3,0)*VLOOKUP('Données projet'!$B$11,Paramètres!$A$1:$I$89,5,0)</f>
        <v>61.752599999999994</v>
      </c>
      <c r="BF26" s="13">
        <f t="shared" si="37"/>
        <v>17.610636043798049</v>
      </c>
      <c r="BG26" s="20">
        <f t="shared" si="7"/>
        <v>138.22430277628158</v>
      </c>
      <c r="BH26" s="59">
        <f t="shared" si="8"/>
        <v>431.55763610961492</v>
      </c>
      <c r="BI26" s="59">
        <f ca="1">AVERAGE(OFFSET($BH$3,0,0,'Données projet'!$E$11+1,1))-AVERAGE(OFFSET($H$3,0,0,'Données projet'!$E$11+1,1))</f>
        <v>279.20364724206644</v>
      </c>
      <c r="BJ26" s="59">
        <f t="shared" si="38"/>
        <v>173.99850582760712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6.3</v>
      </c>
      <c r="BY26" s="12">
        <f>IF('Données projet'!$A$114&gt;35,BY25+BX26-CG25,IF(A26&lt;'Données projet'!$A$114,$BV$205^A26,IF(A26='Données projet'!$A$114,'Données projet'!$B$114,BY25+BX26-CG25)))</f>
        <v>60.899999999999991</v>
      </c>
      <c r="BZ26" s="13">
        <f>BY26*VLOOKUP('Données projet'!$B$12,Paramètres!$A$1:$I$89,3,0)*VLOOKUP('Données projet'!$B$12,Paramètres!$A$1:$I$89,5,0)</f>
        <v>69.352919999999997</v>
      </c>
      <c r="CA26" s="13">
        <f t="shared" si="39"/>
        <v>19.512678049713916</v>
      </c>
      <c r="CB26" s="20">
        <f t="shared" si="10"/>
        <v>154.77424993658505</v>
      </c>
      <c r="CC26" s="59">
        <f t="shared" si="11"/>
        <v>448.10758326991834</v>
      </c>
      <c r="CD26" s="59">
        <f ca="1">AVERAGE(OFFSET($CC$3,0,0,'Données projet'!$E$12+1,1))-AVERAGE(OFFSET($H$3,0,0,'Données projet'!$E$12+1,1))</f>
        <v>327.06866218660838</v>
      </c>
      <c r="CE26" s="59">
        <f t="shared" si="40"/>
        <v>202.18198935334908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14.5</v>
      </c>
      <c r="CT26" s="12">
        <f>IF('Données projet'!$A$140&gt;35,CT25+CS26-DB25,IF(A26&lt;'Données projet'!$A$140,$CQ$205^A26,IF(A26='Données projet'!$A$140,'Données projet'!$B$140,CT25+CS26-DB25)))</f>
        <v>110.5</v>
      </c>
      <c r="CU26" s="17">
        <f>CT26*VLOOKUP('Données projet'!$B$13,Paramètres!$A$1:$I$89,3,0)*VLOOKUP('Données projet'!$B$13,Paramètres!$A$1:$I$89,5,0)</f>
        <v>89.637600000000006</v>
      </c>
      <c r="CV26" s="13">
        <f t="shared" si="41"/>
        <v>24.477802326855134</v>
      </c>
      <c r="CW26" s="20">
        <f t="shared" si="13"/>
        <v>198.75099238593933</v>
      </c>
      <c r="CX26" s="59">
        <f t="shared" si="14"/>
        <v>492.08432571927267</v>
      </c>
      <c r="CY26" s="59">
        <f ca="1">AVERAGE(OFFSET($CX$3,0,0,'Données projet'!$E$13+1,1))-AVERAGE(OFFSET($H$3,0,0,'Données projet'!$E$13+1,1))</f>
        <v>266.72672633301022</v>
      </c>
      <c r="CZ26" s="59">
        <f t="shared" si="42"/>
        <v>314.26991662544219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5.9199952970004457</v>
      </c>
      <c r="DH26" s="21">
        <f>EXP(-LN(2)/2)*DH25+(1-EXP(-LN(2)/2))/(LN(2)/2)*DB26*DE26*VLOOKUP('Données projet'!$B$13,Paramètres!$A$1:$I$89,3,0)*0.475*44/12</f>
        <v>4.5326486204033296</v>
      </c>
      <c r="DI26" s="22">
        <f t="shared" si="15"/>
        <v>10.452643917403776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13.1</v>
      </c>
      <c r="DO26" s="12">
        <f>IF('Données projet'!$A$166&gt;35,DO25+DN26-DW25,IF(A26&lt;'Données projet'!$A$166,$DL$205^A26,IF(A26='Données projet'!$A$166,'Données projet'!$B$166,DO25+DN26-DW25)))</f>
        <v>129.29999999999998</v>
      </c>
      <c r="DP26" s="17">
        <f>DO26*VLOOKUP('Données projet'!$B$14,Paramètres!$A$1:$I$89,3,0)*VLOOKUP('Données projet'!$B$14,Paramètres!$A$1:$I$89,5,0)</f>
        <v>139.17851999999999</v>
      </c>
      <c r="DQ26" s="13">
        <f t="shared" si="43"/>
        <v>36.108751554932439</v>
      </c>
      <c r="DR26" s="20">
        <f t="shared" si="16"/>
        <v>305.29199795817402</v>
      </c>
      <c r="DS26" s="59">
        <f t="shared" si="17"/>
        <v>598.62533129150734</v>
      </c>
      <c r="DT26" s="59">
        <f ca="1">AVERAGE(OFFSET($DS$3,0,0,'Données projet'!$E$14+1,1))-AVERAGE(OFFSET($H$3,0,0,'Données projet'!$E$14+1,1))</f>
        <v>442.54137223086991</v>
      </c>
      <c r="DU26" s="59">
        <f t="shared" si="44"/>
        <v>454.23406186660714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3.1656002406176316</v>
      </c>
      <c r="EC26" s="21">
        <f>EXP(-LN(2)/2)*EC25+(1-EXP(-LN(2)/2))/(LN(2)/2)*DW26*DZ26*VLOOKUP('Données projet'!$B$14,Paramètres!$A$1:$I$89,3,0)*0.475*44/12</f>
        <v>2.4237440814613667</v>
      </c>
      <c r="ED26" s="22">
        <f t="shared" si="18"/>
        <v>5.5893443220789987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17.666666666666668</v>
      </c>
      <c r="N27" s="13">
        <f>IF('Données projet'!$A$36&gt;35,N26+M27-V26,IF(A27&lt;'Données projet'!$A$36,$K$205^A27,IF(A27='Données projet'!$A$36,'Données projet'!$B$36,N26+M27-V26)))</f>
        <v>251.66666666666671</v>
      </c>
      <c r="O27" s="13">
        <f>N27*VLOOKUP('Données projet'!$B$9,Paramètres!$A$1:$I$89,3,0)*VLOOKUP('Données projet'!$B$9,Paramètres!$A$1:$I$89,5,0)</f>
        <v>150.4966666666667</v>
      </c>
      <c r="P27" s="13">
        <f t="shared" si="33"/>
        <v>38.691433179165045</v>
      </c>
      <c r="Q27" s="20">
        <f t="shared" si="2"/>
        <v>329.50260723149029</v>
      </c>
      <c r="R27" s="59">
        <f t="shared" si="0"/>
        <v>622.83594056482366</v>
      </c>
      <c r="S27" s="59">
        <f ca="1">AVERAGE(OFFSET($R$3,0,0,'Données projet'!$E$9+1,1))-AVERAGE(OFFSET($H$3,0,0,'Données projet'!$E$9+1,1))</f>
        <v>201.49055911472067</v>
      </c>
      <c r="T27" s="59">
        <f t="shared" si="34"/>
        <v>403.37692064114719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4.7489885034065553</v>
      </c>
      <c r="AA27" s="21">
        <f>EXP(-LN(2)/25)*AA26+(1-EXP(-LN(2)/25))/(LN(2)/25)*Calculateur!V27*Calculateur!X27*VLOOKUP('Données projet'!$B$9,Paramètres!$A$1:$I$89,3,0)*0.475*44/12</f>
        <v>15.228667311529222</v>
      </c>
      <c r="AB27" s="21">
        <f>EXP(-LN(2)/2)*AB26+(1-EXP(-LN(2)/2))/(LN(2)/2)*V27*Y27*VLOOKUP('Données projet'!$B$9,Paramètres!$A$1:$I$89,3,0)*0.475*44/12</f>
        <v>5.3510076790805341</v>
      </c>
      <c r="AC27" s="22">
        <f t="shared" si="3"/>
        <v>25.328663494016311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35.6</v>
      </c>
      <c r="AI27" s="13">
        <f>IF('Données projet'!$A$62&gt;35,AI26+AH27-AQ26,IF(A27&lt;'Données projet'!$A$62,$AF$205^A27,IF(A27='Données projet'!$A$62,'Données projet'!$B$62,AI26+AH27-AQ26)))</f>
        <v>175.4</v>
      </c>
      <c r="AJ27" s="13">
        <f>AI27*VLOOKUP('Données projet'!$B$10,Paramètres!$A$1:$I$89,3,0)*VLOOKUP('Données projet'!$B$10,Paramètres!$A$1:$I$89,5,0)</f>
        <v>153.22944000000004</v>
      </c>
      <c r="AK27" s="13">
        <f t="shared" si="35"/>
        <v>39.311575138468363</v>
      </c>
      <c r="AL27" s="20">
        <f t="shared" si="4"/>
        <v>335.34226803283241</v>
      </c>
      <c r="AM27" s="59">
        <f t="shared" si="5"/>
        <v>628.67560136616567</v>
      </c>
      <c r="AN27" s="59">
        <f ca="1">AVERAGE(OFFSET($AM$3,0,0,'Données projet'!$E$10+1,1))-AVERAGE(OFFSET($H$3,0,0,'Données projet'!$E$10+1,1))</f>
        <v>260.53994021583316</v>
      </c>
      <c r="AO27" s="59">
        <f t="shared" si="36"/>
        <v>669.20238852709122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63.107797683381428</v>
      </c>
      <c r="AX27" s="21">
        <f t="shared" si="6"/>
        <v>63.107797683381428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68.140799999999984</v>
      </c>
      <c r="BF27" s="13">
        <f t="shared" si="37"/>
        <v>19.21103183030446</v>
      </c>
      <c r="BG27" s="20">
        <f t="shared" si="7"/>
        <v>152.13777377111359</v>
      </c>
      <c r="BH27" s="59">
        <f t="shared" si="8"/>
        <v>445.4711071044469</v>
      </c>
      <c r="BI27" s="59">
        <f ca="1">AVERAGE(OFFSET($BH$3,0,0,'Données projet'!$E$11+1,1))-AVERAGE(OFFSET($H$3,0,0,'Données projet'!$E$11+1,1))</f>
        <v>279.20364724206644</v>
      </c>
      <c r="BJ27" s="59">
        <f t="shared" si="38"/>
        <v>173.99850582760712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6.3</v>
      </c>
      <c r="BY27" s="12">
        <f>IF('Données projet'!$A$114&gt;35,BY26+BX27-CG26,IF(A27&lt;'Données projet'!$A$114,$BV$205^A27,IF(A27='Données projet'!$A$114,'Données projet'!$B$114,BY26+BX27-CG26)))</f>
        <v>67.199999999999989</v>
      </c>
      <c r="BZ27" s="13">
        <f>BY27*VLOOKUP('Données projet'!$B$12,Paramètres!$A$1:$I$89,3,0)*VLOOKUP('Données projet'!$B$12,Paramètres!$A$1:$I$89,5,0)</f>
        <v>76.527359999999987</v>
      </c>
      <c r="CA27" s="13">
        <f t="shared" si="39"/>
        <v>21.28592506115368</v>
      </c>
      <c r="CB27" s="20">
        <f t="shared" si="10"/>
        <v>170.35813814817595</v>
      </c>
      <c r="CC27" s="59">
        <f t="shared" si="11"/>
        <v>463.69147148150927</v>
      </c>
      <c r="CD27" s="59">
        <f ca="1">AVERAGE(OFFSET($CC$3,0,0,'Données projet'!$E$12+1,1))-AVERAGE(OFFSET($H$3,0,0,'Données projet'!$E$12+1,1))</f>
        <v>327.06866218660838</v>
      </c>
      <c r="CE27" s="59">
        <f t="shared" si="40"/>
        <v>202.18198935334908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14.5</v>
      </c>
      <c r="CT27" s="12">
        <f>IF('Données projet'!$A$140&gt;35,CT26+CS27-DB26,IF(A27&lt;'Données projet'!$A$140,$CQ$205^A27,IF(A27='Données projet'!$A$140,'Données projet'!$B$140,CT26+CS27-DB26)))</f>
        <v>125</v>
      </c>
      <c r="CU27" s="17">
        <f>CT27*VLOOKUP('Données projet'!$B$13,Paramètres!$A$1:$I$89,3,0)*VLOOKUP('Données projet'!$B$13,Paramètres!$A$1:$I$89,5,0)</f>
        <v>101.4</v>
      </c>
      <c r="CV27" s="13">
        <f t="shared" si="41"/>
        <v>27.295257887453797</v>
      </c>
      <c r="CW27" s="20">
        <f t="shared" si="13"/>
        <v>224.14424082064872</v>
      </c>
      <c r="CX27" s="59">
        <f t="shared" si="14"/>
        <v>517.477574153982</v>
      </c>
      <c r="CY27" s="59">
        <f ca="1">AVERAGE(OFFSET($CX$3,0,0,'Données projet'!$E$13+1,1))-AVERAGE(OFFSET($H$3,0,0,'Données projet'!$E$13+1,1))</f>
        <v>266.72672633301022</v>
      </c>
      <c r="CZ27" s="59">
        <f t="shared" si="42"/>
        <v>314.26991662544219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5.7581127142849464</v>
      </c>
      <c r="DH27" s="21">
        <f>EXP(-LN(2)/2)*DH26+(1-EXP(-LN(2)/2))/(LN(2)/2)*DB27*DE27*VLOOKUP('Données projet'!$B$13,Paramètres!$A$1:$I$89,3,0)*0.475*44/12</f>
        <v>3.2050665762230439</v>
      </c>
      <c r="DI27" s="22">
        <f t="shared" si="15"/>
        <v>8.9631792905079912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13.1</v>
      </c>
      <c r="DO27" s="12">
        <f>IF('Données projet'!$A$166&gt;35,DO26+DN27-DW26,IF(A27&lt;'Données projet'!$A$166,$DL$205^A27,IF(A27='Données projet'!$A$166,'Données projet'!$B$166,DO26+DN27-DW26)))</f>
        <v>142.39999999999998</v>
      </c>
      <c r="DP27" s="17">
        <f>DO27*VLOOKUP('Données projet'!$B$14,Paramètres!$A$1:$I$89,3,0)*VLOOKUP('Données projet'!$B$14,Paramètres!$A$1:$I$89,5,0)</f>
        <v>153.27935999999997</v>
      </c>
      <c r="DQ27" s="13">
        <f t="shared" si="43"/>
        <v>39.322891329788526</v>
      </c>
      <c r="DR27" s="20">
        <f t="shared" si="16"/>
        <v>335.44892106604829</v>
      </c>
      <c r="DS27" s="59">
        <f t="shared" si="17"/>
        <v>628.7822543993816</v>
      </c>
      <c r="DT27" s="59">
        <f ca="1">AVERAGE(OFFSET($DS$3,0,0,'Données projet'!$E$14+1,1))-AVERAGE(OFFSET($H$3,0,0,'Données projet'!$E$14+1,1))</f>
        <v>442.54137223086991</v>
      </c>
      <c r="DU27" s="59">
        <f t="shared" si="44"/>
        <v>454.23406186660714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3.0790367355662607</v>
      </c>
      <c r="EC27" s="21">
        <f>EXP(-LN(2)/2)*EC26+(1-EXP(-LN(2)/2))/(LN(2)/2)*DW27*DZ27*VLOOKUP('Données projet'!$B$14,Paramètres!$A$1:$I$89,3,0)*0.475*44/12</f>
        <v>1.7138458758620922</v>
      </c>
      <c r="ED27" s="22">
        <f t="shared" si="18"/>
        <v>4.7928826114283529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17.666666666666668</v>
      </c>
      <c r="N28" s="13">
        <f>IF('Données projet'!$A$36&gt;35,N27+M28-V27,IF(A28&lt;'Données projet'!$A$36,$K$205^A28,IF(A28='Données projet'!$A$36,'Données projet'!$B$36,N27+M28-V27)))</f>
        <v>269.33333333333337</v>
      </c>
      <c r="O28" s="13">
        <f>N28*VLOOKUP('Données projet'!$B$9,Paramètres!$A$1:$I$89,3,0)*VLOOKUP('Données projet'!$B$9,Paramètres!$A$1:$I$89,5,0)</f>
        <v>161.06133333333338</v>
      </c>
      <c r="P28" s="13">
        <f t="shared" si="33"/>
        <v>41.081809912270735</v>
      </c>
      <c r="Q28" s="20">
        <f t="shared" si="2"/>
        <v>352.06597448609381</v>
      </c>
      <c r="R28" s="59">
        <f t="shared" si="0"/>
        <v>645.39930781942712</v>
      </c>
      <c r="S28" s="59">
        <f ca="1">AVERAGE(OFFSET($R$3,0,0,'Données projet'!$E$9+1,1))-AVERAGE(OFFSET($H$3,0,0,'Données projet'!$E$9+1,1))</f>
        <v>201.49055911472067</v>
      </c>
      <c r="T28" s="59">
        <f t="shared" si="34"/>
        <v>403.37692064114719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4.6558637354517245</v>
      </c>
      <c r="AA28" s="21">
        <f>EXP(-LN(2)/25)*AA27+(1-EXP(-LN(2)/25))/(LN(2)/25)*Calculateur!V28*Calculateur!X28*VLOOKUP('Données projet'!$B$9,Paramètres!$A$1:$I$89,3,0)*0.475*44/12</f>
        <v>14.812238603054647</v>
      </c>
      <c r="AB28" s="21">
        <f>EXP(-LN(2)/2)*AB27+(1-EXP(-LN(2)/2))/(LN(2)/2)*V28*Y28*VLOOKUP('Données projet'!$B$9,Paramètres!$A$1:$I$89,3,0)*0.475*44/12</f>
        <v>3.7837338160591352</v>
      </c>
      <c r="AC28" s="22">
        <f t="shared" si="3"/>
        <v>23.251836154565506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35.6</v>
      </c>
      <c r="AI28" s="13">
        <f>IF('Données projet'!$A$62&gt;35,AI27+AH28-AQ27,IF(A28&lt;'Données projet'!$A$62,$AF$205^A28,IF(A28='Données projet'!$A$62,'Données projet'!$B$62,AI27+AH28-AQ27)))</f>
        <v>211</v>
      </c>
      <c r="AJ28" s="13">
        <f>AI28*VLOOKUP('Données projet'!$B$10,Paramètres!$A$1:$I$89,3,0)*VLOOKUP('Données projet'!$B$10,Paramètres!$A$1:$I$89,5,0)</f>
        <v>184.32960000000003</v>
      </c>
      <c r="AK28" s="13">
        <f t="shared" si="35"/>
        <v>46.284105851003062</v>
      </c>
      <c r="AL28" s="20">
        <f t="shared" si="4"/>
        <v>401.65220435716373</v>
      </c>
      <c r="AM28" s="59">
        <f t="shared" si="5"/>
        <v>694.98553769049704</v>
      </c>
      <c r="AN28" s="59">
        <f ca="1">AVERAGE(OFFSET($AM$3,0,0,'Données projet'!$E$10+1,1))-AVERAGE(OFFSET($H$3,0,0,'Données projet'!$E$10+1,1))</f>
        <v>260.53994021583316</v>
      </c>
      <c r="AO28" s="59">
        <f t="shared" si="36"/>
        <v>669.20238852709122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44.623951687667706</v>
      </c>
      <c r="AX28" s="21">
        <f t="shared" si="6"/>
        <v>44.623951687667706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73.499999999999986</v>
      </c>
      <c r="BE28" s="13">
        <f>BD28*VLOOKUP('Données projet'!$B$11,Paramètres!$A$1:$I$89,3,0)*VLOOKUP('Données projet'!$B$11,Paramètres!$A$1:$I$89,5,0)</f>
        <v>74.528999999999982</v>
      </c>
      <c r="BF28" s="13">
        <f t="shared" si="37"/>
        <v>20.794031365411815</v>
      </c>
      <c r="BG28" s="20">
        <f t="shared" si="7"/>
        <v>166.02094629475889</v>
      </c>
      <c r="BH28" s="59">
        <f t="shared" si="8"/>
        <v>459.35427962809217</v>
      </c>
      <c r="BI28" s="59">
        <f ca="1">AVERAGE(OFFSET($BH$3,0,0,'Données projet'!$E$11+1,1))-AVERAGE(OFFSET($H$3,0,0,'Données projet'!$E$11+1,1))</f>
        <v>279.20364724206644</v>
      </c>
      <c r="BJ28" s="59">
        <f t="shared" si="38"/>
        <v>173.99850582760712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6.3</v>
      </c>
      <c r="BY28" s="12">
        <f>IF('Données projet'!$A$114&gt;35,BY27+BX28-CG27,IF(A28&lt;'Données projet'!$A$114,$BV$205^A28,IF(A28='Données projet'!$A$114,'Données projet'!$B$114,BY27+BX28-CG27)))</f>
        <v>73.499999999999986</v>
      </c>
      <c r="BZ28" s="13">
        <f>BY28*VLOOKUP('Données projet'!$B$12,Paramètres!$A$1:$I$89,3,0)*VLOOKUP('Données projet'!$B$12,Paramètres!$A$1:$I$89,5,0)</f>
        <v>83.701799999999977</v>
      </c>
      <c r="CA28" s="13">
        <f t="shared" si="39"/>
        <v>23.039896933866071</v>
      </c>
      <c r="CB28" s="20">
        <f t="shared" si="10"/>
        <v>185.90845549315006</v>
      </c>
      <c r="CC28" s="59">
        <f t="shared" si="11"/>
        <v>479.24178882648334</v>
      </c>
      <c r="CD28" s="59">
        <f ca="1">AVERAGE(OFFSET($CC$3,0,0,'Données projet'!$E$12+1,1))-AVERAGE(OFFSET($H$3,0,0,'Données projet'!$E$12+1,1))</f>
        <v>327.06866218660838</v>
      </c>
      <c r="CE28" s="59">
        <f t="shared" si="40"/>
        <v>202.18198935334908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14.5</v>
      </c>
      <c r="CT28" s="12">
        <f>IF('Données projet'!$A$140&gt;35,CT27+CS28-DB27,IF(A28&lt;'Données projet'!$A$140,$CQ$205^A28,IF(A28='Données projet'!$A$140,'Données projet'!$B$140,CT27+CS28-DB27)))</f>
        <v>139.5</v>
      </c>
      <c r="CU28" s="17">
        <f>CT28*VLOOKUP('Données projet'!$B$13,Paramètres!$A$1:$I$89,3,0)*VLOOKUP('Données projet'!$B$13,Paramètres!$A$1:$I$89,5,0)</f>
        <v>113.16240000000002</v>
      </c>
      <c r="CV28" s="13">
        <f t="shared" si="41"/>
        <v>30.074837140704965</v>
      </c>
      <c r="CW28" s="20">
        <f t="shared" si="13"/>
        <v>249.47152135339448</v>
      </c>
      <c r="CX28" s="59">
        <f t="shared" si="14"/>
        <v>542.80485468672782</v>
      </c>
      <c r="CY28" s="59">
        <f ca="1">AVERAGE(OFFSET($CX$3,0,0,'Données projet'!$E$13+1,1))-AVERAGE(OFFSET($H$3,0,0,'Données projet'!$E$13+1,1))</f>
        <v>266.72672633301022</v>
      </c>
      <c r="CZ28" s="59">
        <f t="shared" si="42"/>
        <v>314.26991662544219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5.6006568193068373</v>
      </c>
      <c r="DH28" s="21">
        <f>EXP(-LN(2)/2)*DH27+(1-EXP(-LN(2)/2))/(LN(2)/2)*DB28*DE28*VLOOKUP('Données projet'!$B$13,Paramètres!$A$1:$I$89,3,0)*0.475*44/12</f>
        <v>2.2663243102016652</v>
      </c>
      <c r="DI28" s="22">
        <f t="shared" si="15"/>
        <v>7.8669811295085026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13.1</v>
      </c>
      <c r="DO28" s="12">
        <f>IF('Données projet'!$A$166&gt;35,DO27+DN28-DW27,IF(A28&lt;'Données projet'!$A$166,$DL$205^A28,IF(A28='Données projet'!$A$166,'Données projet'!$B$166,DO27+DN28-DW27)))</f>
        <v>155.49999999999997</v>
      </c>
      <c r="DP28" s="17">
        <f>DO28*VLOOKUP('Données projet'!$B$14,Paramètres!$A$1:$I$89,3,0)*VLOOKUP('Données projet'!$B$14,Paramètres!$A$1:$I$89,5,0)</f>
        <v>167.38019999999997</v>
      </c>
      <c r="DQ28" s="13">
        <f t="shared" si="43"/>
        <v>42.502746239743168</v>
      </c>
      <c r="DR28" s="20">
        <f t="shared" si="16"/>
        <v>365.54613136755262</v>
      </c>
      <c r="DS28" s="59">
        <f t="shared" si="17"/>
        <v>658.87946470088593</v>
      </c>
      <c r="DT28" s="59">
        <f ca="1">AVERAGE(OFFSET($DS$3,0,0,'Données projet'!$E$14+1,1))-AVERAGE(OFFSET($H$3,0,0,'Données projet'!$E$14+1,1))</f>
        <v>442.54137223086991</v>
      </c>
      <c r="DU28" s="59">
        <f t="shared" si="44"/>
        <v>454.23406186660714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2.9948403141126967</v>
      </c>
      <c r="EC28" s="21">
        <f>EXP(-LN(2)/2)*EC27+(1-EXP(-LN(2)/2))/(LN(2)/2)*DW28*DZ28*VLOOKUP('Données projet'!$B$14,Paramètres!$A$1:$I$89,3,0)*0.475*44/12</f>
        <v>1.2118720407306833</v>
      </c>
      <c r="ED28" s="22">
        <f t="shared" si="18"/>
        <v>4.20671235484338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17.666666666666668</v>
      </c>
      <c r="N29" s="13">
        <f>IF('Données projet'!$A$36&gt;35,N28+M29-V28,IF(A29&lt;'Données projet'!$A$36,$K$205^A29,IF(A29='Données projet'!$A$36,'Données projet'!$B$36,N28+M29-V28)))</f>
        <v>287.00000000000006</v>
      </c>
      <c r="O29" s="13">
        <f>N29*VLOOKUP('Données projet'!$B$9,Paramètres!$A$1:$I$89,3,0)*VLOOKUP('Données projet'!$B$9,Paramètres!$A$1:$I$89,5,0)</f>
        <v>171.62600000000006</v>
      </c>
      <c r="P29" s="13">
        <f t="shared" si="33"/>
        <v>43.453991492329642</v>
      </c>
      <c r="Q29" s="20">
        <f t="shared" si="2"/>
        <v>374.59765184914085</v>
      </c>
      <c r="R29" s="59">
        <f t="shared" si="0"/>
        <v>667.93098518247416</v>
      </c>
      <c r="S29" s="59">
        <f ca="1">AVERAGE(OFFSET($R$3,0,0,'Données projet'!$E$9+1,1))-AVERAGE(OFFSET($H$3,0,0,'Données projet'!$E$9+1,1))</f>
        <v>201.49055911472067</v>
      </c>
      <c r="T29" s="59">
        <f t="shared" si="34"/>
        <v>403.37692064114719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4.5645650873959882</v>
      </c>
      <c r="AA29" s="21">
        <f>EXP(-LN(2)/25)*AA28+(1-EXP(-LN(2)/25))/(LN(2)/25)*Calculateur!V29*Calculateur!X29*VLOOKUP('Données projet'!$B$9,Paramètres!$A$1:$I$89,3,0)*0.475*44/12</f>
        <v>14.407197159512343</v>
      </c>
      <c r="AB29" s="21">
        <f>EXP(-LN(2)/2)*AB28+(1-EXP(-LN(2)/2))/(LN(2)/2)*V29*Y29*VLOOKUP('Données projet'!$B$9,Paramètres!$A$1:$I$89,3,0)*0.475*44/12</f>
        <v>2.6755038395402675</v>
      </c>
      <c r="AC29" s="22">
        <f t="shared" si="3"/>
        <v>21.647266086448596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35.6</v>
      </c>
      <c r="AI29" s="13">
        <f>IF('Données projet'!$A$62&gt;35,AI28+AH29-AQ28,IF(A29&lt;'Données projet'!$A$62,$AF$205^A29,IF(A29='Données projet'!$A$62,'Données projet'!$B$62,AI28+AH29-AQ28)))</f>
        <v>246.6</v>
      </c>
      <c r="AJ29" s="13">
        <f>AI29*VLOOKUP('Données projet'!$B$10,Paramètres!$A$1:$I$89,3,0)*VLOOKUP('Données projet'!$B$10,Paramètres!$A$1:$I$89,5,0)</f>
        <v>215.42976000000002</v>
      </c>
      <c r="AK29" s="13">
        <f t="shared" si="35"/>
        <v>53.120356290961816</v>
      </c>
      <c r="AL29" s="20">
        <f t="shared" si="4"/>
        <v>467.72478587342516</v>
      </c>
      <c r="AM29" s="59">
        <f t="shared" si="5"/>
        <v>761.05811920675842</v>
      </c>
      <c r="AN29" s="59">
        <f ca="1">AVERAGE(OFFSET($AM$3,0,0,'Données projet'!$E$10+1,1))-AVERAGE(OFFSET($H$3,0,0,'Données projet'!$E$10+1,1))</f>
        <v>260.53994021583316</v>
      </c>
      <c r="AO29" s="59">
        <f t="shared" si="36"/>
        <v>669.20238852709122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31.553898841690717</v>
      </c>
      <c r="AX29" s="21">
        <f t="shared" si="6"/>
        <v>31.553898841690717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79.799999999999983</v>
      </c>
      <c r="BE29" s="13">
        <f>BD29*VLOOKUP('Données projet'!$B$11,Paramètres!$A$1:$I$89,3,0)*VLOOKUP('Données projet'!$B$11,Paramètres!$A$1:$I$89,5,0)</f>
        <v>80.917199999999994</v>
      </c>
      <c r="BF29" s="13">
        <f t="shared" si="37"/>
        <v>22.361295290994434</v>
      </c>
      <c r="BG29" s="20">
        <f t="shared" si="7"/>
        <v>179.87671263181528</v>
      </c>
      <c r="BH29" s="59">
        <f t="shared" si="8"/>
        <v>473.21004596514859</v>
      </c>
      <c r="BI29" s="59">
        <f ca="1">AVERAGE(OFFSET($BH$3,0,0,'Données projet'!$E$11+1,1))-AVERAGE(OFFSET($H$3,0,0,'Données projet'!$E$11+1,1))</f>
        <v>279.20364724206644</v>
      </c>
      <c r="BJ29" s="59">
        <f t="shared" si="38"/>
        <v>173.99850582760712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6.3</v>
      </c>
      <c r="BY29" s="12">
        <f>IF('Données projet'!$A$114&gt;35,BY28+BX29-CG28,IF(A29&lt;'Données projet'!$A$114,$BV$205^A29,IF(A29='Données projet'!$A$114,'Données projet'!$B$114,BY28+BX29-CG28)))</f>
        <v>79.799999999999983</v>
      </c>
      <c r="BZ29" s="13">
        <f>BY29*VLOOKUP('Données projet'!$B$12,Paramètres!$A$1:$I$89,3,0)*VLOOKUP('Données projet'!$B$12,Paramètres!$A$1:$I$89,5,0)</f>
        <v>90.876239999999981</v>
      </c>
      <c r="CA29" s="13">
        <f t="shared" si="39"/>
        <v>24.776433667847034</v>
      </c>
      <c r="CB29" s="20">
        <f t="shared" si="10"/>
        <v>201.42840663816685</v>
      </c>
      <c r="CC29" s="59">
        <f t="shared" si="11"/>
        <v>494.76173997150016</v>
      </c>
      <c r="CD29" s="59">
        <f ca="1">AVERAGE(OFFSET($CC$3,0,0,'Données projet'!$E$12+1,1))-AVERAGE(OFFSET($H$3,0,0,'Données projet'!$E$12+1,1))</f>
        <v>327.06866218660838</v>
      </c>
      <c r="CE29" s="59">
        <f t="shared" si="40"/>
        <v>202.18198935334908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14.5</v>
      </c>
      <c r="CT29" s="12">
        <f>IF('Données projet'!$A$140&gt;35,CT28+CS29-DB28,IF(A29&lt;'Données projet'!$A$140,$CQ$205^A29,IF(A29='Données projet'!$A$140,'Données projet'!$B$140,CT28+CS29-DB28)))</f>
        <v>154</v>
      </c>
      <c r="CU29" s="17">
        <f>CT29*VLOOKUP('Données projet'!$B$13,Paramètres!$A$1:$I$89,3,0)*VLOOKUP('Données projet'!$B$13,Paramètres!$A$1:$I$89,5,0)</f>
        <v>124.9248</v>
      </c>
      <c r="CV29" s="13">
        <f t="shared" si="41"/>
        <v>32.820925500842712</v>
      </c>
      <c r="CW29" s="20">
        <f t="shared" si="13"/>
        <v>274.74047191396772</v>
      </c>
      <c r="CX29" s="59">
        <f t="shared" si="14"/>
        <v>568.07380524730104</v>
      </c>
      <c r="CY29" s="59">
        <f ca="1">AVERAGE(OFFSET($CX$3,0,0,'Données projet'!$E$13+1,1))-AVERAGE(OFFSET($H$3,0,0,'Données projet'!$E$13+1,1))</f>
        <v>266.72672633301022</v>
      </c>
      <c r="CZ29" s="59">
        <f t="shared" si="42"/>
        <v>314.26991662544219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5.4475065640571501</v>
      </c>
      <c r="DH29" s="21">
        <f>EXP(-LN(2)/2)*DH28+(1-EXP(-LN(2)/2))/(LN(2)/2)*DB29*DE29*VLOOKUP('Données projet'!$B$13,Paramètres!$A$1:$I$89,3,0)*0.475*44/12</f>
        <v>1.6025332881115222</v>
      </c>
      <c r="DI29" s="22">
        <f t="shared" si="15"/>
        <v>7.0500398521686725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13.1</v>
      </c>
      <c r="DO29" s="12">
        <f>IF('Données projet'!$A$166&gt;35,DO28+DN29-DW28,IF(A29&lt;'Données projet'!$A$166,$DL$205^A29,IF(A29='Données projet'!$A$166,'Données projet'!$B$166,DO28+DN29-DW28)))</f>
        <v>168.59999999999997</v>
      </c>
      <c r="DP29" s="17">
        <f>DO29*VLOOKUP('Données projet'!$B$14,Paramètres!$A$1:$I$89,3,0)*VLOOKUP('Données projet'!$B$14,Paramètres!$A$1:$I$89,5,0)</f>
        <v>181.48103999999995</v>
      </c>
      <c r="DQ29" s="13">
        <f t="shared" si="43"/>
        <v>45.651532971563213</v>
      </c>
      <c r="DR29" s="20">
        <f t="shared" si="16"/>
        <v>395.58923125880574</v>
      </c>
      <c r="DS29" s="59">
        <f t="shared" si="17"/>
        <v>688.922564592139</v>
      </c>
      <c r="DT29" s="59">
        <f ca="1">AVERAGE(OFFSET($DS$3,0,0,'Données projet'!$E$14+1,1))-AVERAGE(OFFSET($H$3,0,0,'Données projet'!$E$14+1,1))</f>
        <v>442.54137223086991</v>
      </c>
      <c r="DU29" s="59">
        <f t="shared" si="44"/>
        <v>454.23406186660714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2.9129462482314779</v>
      </c>
      <c r="EC29" s="21">
        <f>EXP(-LN(2)/2)*EC28+(1-EXP(-LN(2)/2))/(LN(2)/2)*DW29*DZ29*VLOOKUP('Données projet'!$B$14,Paramètres!$A$1:$I$89,3,0)*0.475*44/12</f>
        <v>0.85692293793104612</v>
      </c>
      <c r="ED29" s="22">
        <f t="shared" si="18"/>
        <v>3.769869186162524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17.666666666666668</v>
      </c>
      <c r="N30" s="13">
        <f>IF('Données projet'!$A$36&gt;35,N29+M30-V29,IF(A30&lt;'Données projet'!$A$36,$K$205^A30,IF(A30='Données projet'!$A$36,'Données projet'!$B$36,N29+M30-V29)))</f>
        <v>304.66666666666674</v>
      </c>
      <c r="O30" s="13">
        <f>N30*VLOOKUP('Données projet'!$B$9,Paramètres!$A$1:$I$89,3,0)*VLOOKUP('Données projet'!$B$9,Paramètres!$A$1:$I$89,5,0)</f>
        <v>182.19066666666671</v>
      </c>
      <c r="P30" s="13">
        <f t="shared" si="33"/>
        <v>45.809225471831397</v>
      </c>
      <c r="Q30" s="20">
        <f t="shared" si="2"/>
        <v>397.09981214121757</v>
      </c>
      <c r="R30" s="59">
        <f t="shared" si="0"/>
        <v>690.43314547455088</v>
      </c>
      <c r="S30" s="59">
        <f ca="1">AVERAGE(OFFSET($R$3,0,0,'Données projet'!$E$9+1,1))-AVERAGE(OFFSET($H$3,0,0,'Données projet'!$E$9+1,1))</f>
        <v>201.49055911472067</v>
      </c>
      <c r="T30" s="59">
        <f t="shared" si="34"/>
        <v>403.37692064114719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4.475056750141948</v>
      </c>
      <c r="AA30" s="21">
        <f>EXP(-LN(2)/25)*AA29+(1-EXP(-LN(2)/25))/(LN(2)/25)*Calculateur!V30*Calculateur!X30*VLOOKUP('Données projet'!$B$9,Paramètres!$A$1:$I$89,3,0)*0.475*44/12</f>
        <v>14.013231595543907</v>
      </c>
      <c r="AB30" s="21">
        <f>EXP(-LN(2)/2)*AB29+(1-EXP(-LN(2)/2))/(LN(2)/2)*V30*Y30*VLOOKUP('Données projet'!$B$9,Paramètres!$A$1:$I$89,3,0)*0.475*44/12</f>
        <v>1.8918669080295678</v>
      </c>
      <c r="AC30" s="22">
        <f t="shared" si="3"/>
        <v>20.380155253715422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35.6</v>
      </c>
      <c r="AI30" s="13">
        <f>IF('Données projet'!$A$62&gt;35,AI29+AH30-AQ29,IF(A30&lt;'Données projet'!$A$62,$AF$205^A30,IF(A30='Données projet'!$A$62,'Données projet'!$B$62,AI29+AH30-AQ29)))</f>
        <v>282.2</v>
      </c>
      <c r="AJ30" s="13">
        <f>AI30*VLOOKUP('Données projet'!$B$10,Paramètres!$A$1:$I$89,3,0)*VLOOKUP('Données projet'!$B$10,Paramètres!$A$1:$I$89,5,0)</f>
        <v>246.52992000000003</v>
      </c>
      <c r="AK30" s="13">
        <f t="shared" si="35"/>
        <v>59.842272049764333</v>
      </c>
      <c r="AL30" s="20">
        <f t="shared" si="4"/>
        <v>533.59823448667294</v>
      </c>
      <c r="AM30" s="59">
        <f t="shared" si="5"/>
        <v>826.93156782000619</v>
      </c>
      <c r="AN30" s="59">
        <f ca="1">AVERAGE(OFFSET($AM$3,0,0,'Données projet'!$E$10+1,1))-AVERAGE(OFFSET($H$3,0,0,'Données projet'!$E$10+1,1))</f>
        <v>260.53994021583316</v>
      </c>
      <c r="AO30" s="59">
        <f t="shared" si="36"/>
        <v>669.20238852709122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22.311975843833856</v>
      </c>
      <c r="AX30" s="21">
        <f t="shared" si="6"/>
        <v>22.311975843833856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86.09999999999998</v>
      </c>
      <c r="BE30" s="13">
        <f>BD30*VLOOKUP('Données projet'!$B$11,Paramètres!$A$1:$I$89,3,0)*VLOOKUP('Données projet'!$B$11,Paramètres!$A$1:$I$89,5,0)</f>
        <v>87.305399999999992</v>
      </c>
      <c r="BF30" s="13">
        <f t="shared" si="37"/>
        <v>23.914207130877781</v>
      </c>
      <c r="BG30" s="20">
        <f t="shared" si="7"/>
        <v>193.70748241961212</v>
      </c>
      <c r="BH30" s="59">
        <f t="shared" si="8"/>
        <v>487.04081575294543</v>
      </c>
      <c r="BI30" s="59">
        <f ca="1">AVERAGE(OFFSET($BH$3,0,0,'Données projet'!$E$11+1,1))-AVERAGE(OFFSET($H$3,0,0,'Données projet'!$E$11+1,1))</f>
        <v>279.20364724206644</v>
      </c>
      <c r="BJ30" s="59">
        <f t="shared" si="38"/>
        <v>173.99850582760712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6.3</v>
      </c>
      <c r="BY30" s="12">
        <f>IF('Données projet'!$A$114&gt;35,BY29+BX30-CG29,IF(A30&lt;'Données projet'!$A$114,$BV$205^A30,IF(A30='Données projet'!$A$114,'Données projet'!$B$114,BY29+BX30-CG29)))</f>
        <v>86.09999999999998</v>
      </c>
      <c r="BZ30" s="13">
        <f>BY30*VLOOKUP('Données projet'!$B$12,Paramètres!$A$1:$I$89,3,0)*VLOOKUP('Données projet'!$B$12,Paramètres!$A$1:$I$89,5,0)</f>
        <v>98.050679999999986</v>
      </c>
      <c r="CA30" s="13">
        <f t="shared" si="39"/>
        <v>26.497068214826026</v>
      </c>
      <c r="CB30" s="20">
        <f t="shared" si="10"/>
        <v>216.92066147415531</v>
      </c>
      <c r="CC30" s="59">
        <f t="shared" si="11"/>
        <v>510.25399480748865</v>
      </c>
      <c r="CD30" s="59">
        <f ca="1">AVERAGE(OFFSET($CC$3,0,0,'Données projet'!$E$12+1,1))-AVERAGE(OFFSET($H$3,0,0,'Données projet'!$E$12+1,1))</f>
        <v>327.06866218660838</v>
      </c>
      <c r="CE30" s="59">
        <f t="shared" si="40"/>
        <v>202.18198935334908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14.5</v>
      </c>
      <c r="CT30" s="12">
        <f>IF('Données projet'!$A$140&gt;35,CT29+CS30-DB29,IF(A30&lt;'Données projet'!$A$140,$CQ$205^A30,IF(A30='Données projet'!$A$140,'Données projet'!$B$140,CT29+CS30-DB29)))</f>
        <v>168.5</v>
      </c>
      <c r="CU30" s="17">
        <f>CT30*VLOOKUP('Données projet'!$B$13,Paramètres!$A$1:$I$89,3,0)*VLOOKUP('Données projet'!$B$13,Paramètres!$A$1:$I$89,5,0)</f>
        <v>136.68720000000002</v>
      </c>
      <c r="CV30" s="13">
        <f t="shared" si="41"/>
        <v>35.537035051911175</v>
      </c>
      <c r="CW30" s="20">
        <f t="shared" si="13"/>
        <v>299.95720938207864</v>
      </c>
      <c r="CX30" s="59">
        <f t="shared" si="14"/>
        <v>593.2905427154119</v>
      </c>
      <c r="CY30" s="59">
        <f ca="1">AVERAGE(OFFSET($CX$3,0,0,'Données projet'!$E$13+1,1))-AVERAGE(OFFSET($H$3,0,0,'Données projet'!$E$13+1,1))</f>
        <v>266.72672633301022</v>
      </c>
      <c r="CZ30" s="59">
        <f t="shared" si="42"/>
        <v>314.26991662544219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5.2985442105910874</v>
      </c>
      <c r="DH30" s="21">
        <f>EXP(-LN(2)/2)*DH29+(1-EXP(-LN(2)/2))/(LN(2)/2)*DB30*DE30*VLOOKUP('Données projet'!$B$13,Paramètres!$A$1:$I$89,3,0)*0.475*44/12</f>
        <v>1.1331621551008326</v>
      </c>
      <c r="DI30" s="22">
        <f t="shared" si="15"/>
        <v>6.4317063656919196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13.1</v>
      </c>
      <c r="DO30" s="12">
        <f>IF('Données projet'!$A$166&gt;35,DO29+DN30-DW29,IF(A30&lt;'Données projet'!$A$166,$DL$205^A30,IF(A30='Données projet'!$A$166,'Données projet'!$B$166,DO29+DN30-DW29)))</f>
        <v>181.69999999999996</v>
      </c>
      <c r="DP30" s="17">
        <f>DO30*VLOOKUP('Données projet'!$B$14,Paramètres!$A$1:$I$89,3,0)*VLOOKUP('Données projet'!$B$14,Paramètres!$A$1:$I$89,5,0)</f>
        <v>195.58187999999996</v>
      </c>
      <c r="DQ30" s="13">
        <f t="shared" si="43"/>
        <v>48.771939940097745</v>
      </c>
      <c r="DR30" s="20">
        <f t="shared" si="16"/>
        <v>425.58290306233681</v>
      </c>
      <c r="DS30" s="59">
        <f t="shared" si="17"/>
        <v>718.91623639567013</v>
      </c>
      <c r="DT30" s="59">
        <f ca="1">AVERAGE(OFFSET($DS$3,0,0,'Données projet'!$E$14+1,1))-AVERAGE(OFFSET($H$3,0,0,'Données projet'!$E$14+1,1))</f>
        <v>442.54137223086991</v>
      </c>
      <c r="DU30" s="59">
        <f t="shared" si="44"/>
        <v>454.23406186660714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2.8332915798884026</v>
      </c>
      <c r="EC30" s="21">
        <f>EXP(-LN(2)/2)*EC29+(1-EXP(-LN(2)/2))/(LN(2)/2)*DW30*DZ30*VLOOKUP('Données projet'!$B$14,Paramètres!$A$1:$I$89,3,0)*0.475*44/12</f>
        <v>0.60593602036534167</v>
      </c>
      <c r="ED30" s="22">
        <f t="shared" si="18"/>
        <v>3.4392276002537443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17.666666666666668</v>
      </c>
      <c r="N31" s="13">
        <f>IF('Données projet'!$A$36&gt;35,N30+M31-V30,IF(A31&lt;'Données projet'!$A$36,$K$205^A31,IF(A31='Données projet'!$A$36,'Données projet'!$B$36,N30+M31-V30)))</f>
        <v>322.33333333333343</v>
      </c>
      <c r="O31" s="13">
        <f>N31*VLOOKUP('Données projet'!$B$9,Paramètres!$A$1:$I$89,3,0)*VLOOKUP('Données projet'!$B$9,Paramètres!$A$1:$I$89,5,0)</f>
        <v>192.75533333333343</v>
      </c>
      <c r="P31" s="13">
        <f t="shared" si="33"/>
        <v>48.148606547290548</v>
      </c>
      <c r="Q31" s="20">
        <f t="shared" si="2"/>
        <v>419.57436195875334</v>
      </c>
      <c r="R31" s="59">
        <f t="shared" si="0"/>
        <v>712.9076952920866</v>
      </c>
      <c r="S31" s="59">
        <f ca="1">AVERAGE(OFFSET($R$3,0,0,'Données projet'!$E$9+1,1))-AVERAGE(OFFSET($H$3,0,0,'Données projet'!$E$9+1,1))</f>
        <v>201.49055911472067</v>
      </c>
      <c r="T31" s="59">
        <f t="shared" si="34"/>
        <v>403.37692064114719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4.3873036167867649</v>
      </c>
      <c r="AA31" s="21">
        <f>EXP(-LN(2)/25)*AA30+(1-EXP(-LN(2)/25))/(LN(2)/25)*Calculateur!V31*Calculateur!X31*VLOOKUP('Données projet'!$B$9,Paramètres!$A$1:$I$89,3,0)*0.475*44/12</f>
        <v>13.630039040639938</v>
      </c>
      <c r="AB31" s="21">
        <f>EXP(-LN(2)/2)*AB30+(1-EXP(-LN(2)/2))/(LN(2)/2)*V31*Y31*VLOOKUP('Données projet'!$B$9,Paramètres!$A$1:$I$89,3,0)*0.475*44/12</f>
        <v>1.337751919770134</v>
      </c>
      <c r="AC31" s="22">
        <f t="shared" si="3"/>
        <v>19.355094577196837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35.6</v>
      </c>
      <c r="AI31" s="13">
        <f>IF('Données projet'!$A$62&gt;35,AI30+AH31-AQ30,IF(A31&lt;'Données projet'!$A$62,$AF$205^A31,IF(A31='Données projet'!$A$62,'Données projet'!$B$62,AI30+AH31-AQ30)))</f>
        <v>317.8</v>
      </c>
      <c r="AJ31" s="13">
        <f>AI31*VLOOKUP('Données projet'!$B$10,Paramètres!$A$1:$I$89,3,0)*VLOOKUP('Données projet'!$B$10,Paramètres!$A$1:$I$89,5,0)</f>
        <v>277.63008000000002</v>
      </c>
      <c r="AK31" s="13">
        <f t="shared" si="35"/>
        <v>66.465929165036727</v>
      </c>
      <c r="AL31" s="20">
        <f t="shared" si="4"/>
        <v>599.30054929577238</v>
      </c>
      <c r="AM31" s="59">
        <f t="shared" si="5"/>
        <v>892.63388262910576</v>
      </c>
      <c r="AN31" s="59">
        <f ca="1">AVERAGE(OFFSET($AM$3,0,0,'Données projet'!$E$10+1,1))-AVERAGE(OFFSET($H$3,0,0,'Données projet'!$E$10+1,1))</f>
        <v>260.53994021583316</v>
      </c>
      <c r="AO31" s="59">
        <f t="shared" si="36"/>
        <v>669.20238852709122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15.776949420845362</v>
      </c>
      <c r="AX31" s="21">
        <f t="shared" si="6"/>
        <v>15.776949420845362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92.399999999999977</v>
      </c>
      <c r="BE31" s="13">
        <f>BD31*VLOOKUP('Données projet'!$B$11,Paramètres!$A$1:$I$89,3,0)*VLOOKUP('Données projet'!$B$11,Paramètres!$A$1:$I$89,5,0)</f>
        <v>93.693599999999989</v>
      </c>
      <c r="BF31" s="13">
        <f t="shared" si="37"/>
        <v>25.453936461054091</v>
      </c>
      <c r="BG31" s="20">
        <f t="shared" si="7"/>
        <v>207.51529266966918</v>
      </c>
      <c r="BH31" s="59">
        <f t="shared" si="8"/>
        <v>500.84862600300249</v>
      </c>
      <c r="BI31" s="59">
        <f ca="1">AVERAGE(OFFSET($BH$3,0,0,'Données projet'!$E$11+1,1))-AVERAGE(OFFSET($H$3,0,0,'Données projet'!$E$11+1,1))</f>
        <v>279.20364724206644</v>
      </c>
      <c r="BJ31" s="59">
        <f t="shared" si="38"/>
        <v>173.99850582760712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6.3</v>
      </c>
      <c r="BY31" s="12">
        <f>IF('Données projet'!$A$114&gt;35,BY30+BX31-CG30,IF(A31&lt;'Données projet'!$A$114,$BV$205^A31,IF(A31='Données projet'!$A$114,'Données projet'!$B$114,BY30+BX31-CG30)))</f>
        <v>92.399999999999977</v>
      </c>
      <c r="BZ31" s="13">
        <f>BY31*VLOOKUP('Données projet'!$B$12,Paramètres!$A$1:$I$89,3,0)*VLOOKUP('Données projet'!$B$12,Paramètres!$A$1:$I$89,5,0)</f>
        <v>105.22511999999998</v>
      </c>
      <c r="CA31" s="13">
        <f t="shared" si="39"/>
        <v>28.203096471199693</v>
      </c>
      <c r="CB31" s="20">
        <f t="shared" si="10"/>
        <v>232.38747702067272</v>
      </c>
      <c r="CC31" s="59">
        <f t="shared" si="11"/>
        <v>525.72081035400606</v>
      </c>
      <c r="CD31" s="59">
        <f ca="1">AVERAGE(OFFSET($CC$3,0,0,'Données projet'!$E$12+1,1))-AVERAGE(OFFSET($H$3,0,0,'Données projet'!$E$12+1,1))</f>
        <v>327.06866218660838</v>
      </c>
      <c r="CE31" s="59">
        <f t="shared" si="40"/>
        <v>202.18198935334908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14.5</v>
      </c>
      <c r="CT31" s="12">
        <f>IF('Données projet'!$A$140&gt;35,CT30+CS31-DB30,IF(A31&lt;'Données projet'!$A$140,$CQ$205^A31,IF(A31='Données projet'!$A$140,'Données projet'!$B$140,CT30+CS31-DB30)))</f>
        <v>183</v>
      </c>
      <c r="CU31" s="17">
        <f>CT31*VLOOKUP('Données projet'!$B$13,Paramètres!$A$1:$I$89,3,0)*VLOOKUP('Données projet'!$B$13,Paramètres!$A$1:$I$89,5,0)</f>
        <v>148.4496</v>
      </c>
      <c r="CV31" s="13">
        <f t="shared" si="41"/>
        <v>38.226038889407498</v>
      </c>
      <c r="CW31" s="20">
        <f t="shared" si="13"/>
        <v>325.1267377323847</v>
      </c>
      <c r="CX31" s="59">
        <f t="shared" si="14"/>
        <v>618.46007106571801</v>
      </c>
      <c r="CY31" s="59">
        <f ca="1">AVERAGE(OFFSET($CX$3,0,0,'Données projet'!$E$13+1,1))-AVERAGE(OFFSET($H$3,0,0,'Données projet'!$E$13+1,1))</f>
        <v>266.72672633301022</v>
      </c>
      <c r="CZ31" s="59">
        <f t="shared" si="42"/>
        <v>314.26991662544219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5.1536552405141443</v>
      </c>
      <c r="DH31" s="21">
        <f>EXP(-LN(2)/2)*DH30+(1-EXP(-LN(2)/2))/(LN(2)/2)*DB31*DE31*VLOOKUP('Données projet'!$B$13,Paramètres!$A$1:$I$89,3,0)*0.475*44/12</f>
        <v>0.80126664405576109</v>
      </c>
      <c r="DI31" s="22">
        <f t="shared" si="15"/>
        <v>5.954921884569905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13.1</v>
      </c>
      <c r="DO31" s="12">
        <f>IF('Données projet'!$A$166&gt;35,DO30+DN31-DW30,IF(A31&lt;'Données projet'!$A$166,$DL$205^A31,IF(A31='Données projet'!$A$166,'Données projet'!$B$166,DO30+DN31-DW30)))</f>
        <v>194.79999999999995</v>
      </c>
      <c r="DP31" s="17">
        <f>DO31*VLOOKUP('Données projet'!$B$14,Paramètres!$A$1:$I$89,3,0)*VLOOKUP('Données projet'!$B$14,Paramètres!$A$1:$I$89,5,0)</f>
        <v>209.68271999999993</v>
      </c>
      <c r="DQ31" s="13">
        <f t="shared" si="43"/>
        <v>51.866245935582221</v>
      </c>
      <c r="DR31" s="20">
        <f t="shared" si="16"/>
        <v>455.53111567113888</v>
      </c>
      <c r="DS31" s="59">
        <f t="shared" si="17"/>
        <v>748.86444900447214</v>
      </c>
      <c r="DT31" s="59">
        <f ca="1">AVERAGE(OFFSET($DS$3,0,0,'Données projet'!$E$14+1,1))-AVERAGE(OFFSET($H$3,0,0,'Données projet'!$E$14+1,1))</f>
        <v>442.54137223086991</v>
      </c>
      <c r="DU31" s="59">
        <f t="shared" si="44"/>
        <v>454.23406186660714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2.7558150726400257</v>
      </c>
      <c r="EC31" s="21">
        <f>EXP(-LN(2)/2)*EC30+(1-EXP(-LN(2)/2))/(LN(2)/2)*DW31*DZ31*VLOOKUP('Données projet'!$B$14,Paramètres!$A$1:$I$89,3,0)*0.475*44/12</f>
        <v>0.42846146896552306</v>
      </c>
      <c r="ED31" s="22">
        <f t="shared" si="18"/>
        <v>3.1842765416055485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17.666666666666668</v>
      </c>
      <c r="N32" s="13">
        <f>IF('Données projet'!$A$36&gt;35,N31+M32-V31,IF(A32&lt;'Données projet'!$A$36,$K$205^A32,IF(A32='Données projet'!$A$36,'Données projet'!$B$36,N31+M32-V31)))</f>
        <v>340.00000000000011</v>
      </c>
      <c r="O32" s="13">
        <f>N32*VLOOKUP('Données projet'!$B$9,Paramètres!$A$1:$I$89,3,0)*VLOOKUP('Données projet'!$B$9,Paramètres!$A$1:$I$89,5,0)</f>
        <v>203.32000000000008</v>
      </c>
      <c r="P32" s="13">
        <f t="shared" si="33"/>
        <v>50.473102640215579</v>
      </c>
      <c r="Q32" s="20">
        <f t="shared" si="2"/>
        <v>442.02298709837561</v>
      </c>
      <c r="R32" s="59">
        <f t="shared" si="0"/>
        <v>735.35632043170892</v>
      </c>
      <c r="S32" s="59">
        <f ca="1">AVERAGE(OFFSET($R$3,0,0,'Données projet'!$E$9+1,1))-AVERAGE(OFFSET($H$3,0,0,'Données projet'!$E$9+1,1))</f>
        <v>201.49055911472067</v>
      </c>
      <c r="T32" s="59">
        <f t="shared" si="34"/>
        <v>403.37692064114719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4.3012712688525507</v>
      </c>
      <c r="AA32" s="21">
        <f>EXP(-LN(2)/25)*AA31+(1-EXP(-LN(2)/25))/(LN(2)/25)*Calculateur!V32*Calculateur!X32*VLOOKUP('Données projet'!$B$9,Paramètres!$A$1:$I$89,3,0)*0.475*44/12</f>
        <v>13.257324906301037</v>
      </c>
      <c r="AB32" s="21">
        <f>EXP(-LN(2)/2)*AB31+(1-EXP(-LN(2)/2))/(LN(2)/2)*V32*Y32*VLOOKUP('Données projet'!$B$9,Paramètres!$A$1:$I$89,3,0)*0.475*44/12</f>
        <v>0.94593345401478401</v>
      </c>
      <c r="AC32" s="22">
        <f t="shared" si="3"/>
        <v>18.504529629168374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35.6</v>
      </c>
      <c r="AI32" s="13">
        <f>IF('Données projet'!$A$62&gt;35,AI31+AH32-AQ31,IF(A32&lt;'Données projet'!$A$62,$AF$205^A32,IF(A32='Données projet'!$A$62,'Données projet'!$B$62,AI31+AH32-AQ31)))</f>
        <v>353.40000000000003</v>
      </c>
      <c r="AJ32" s="13">
        <f>AI32*VLOOKUP('Données projet'!$B$10,Paramètres!$A$1:$I$89,3,0)*VLOOKUP('Données projet'!$B$10,Paramètres!$A$1:$I$89,5,0)</f>
        <v>308.73024000000004</v>
      </c>
      <c r="AK32" s="13">
        <f t="shared" si="35"/>
        <v>73.003590434710574</v>
      </c>
      <c r="AL32" s="20">
        <f t="shared" si="4"/>
        <v>664.85308800712107</v>
      </c>
      <c r="AM32" s="59">
        <f t="shared" si="5"/>
        <v>958.18642134045444</v>
      </c>
      <c r="AN32" s="59">
        <f ca="1">AVERAGE(OFFSET($AM$3,0,0,'Données projet'!$E$10+1,1))-AVERAGE(OFFSET($H$3,0,0,'Données projet'!$E$10+1,1))</f>
        <v>260.53994021583316</v>
      </c>
      <c r="AO32" s="59">
        <f t="shared" si="36"/>
        <v>669.20238852709122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11.15598792191693</v>
      </c>
      <c r="AX32" s="21">
        <f t="shared" si="6"/>
        <v>11.15598792191693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98.699999999999974</v>
      </c>
      <c r="BE32" s="13">
        <f>BD32*VLOOKUP('Données projet'!$B$11,Paramètres!$A$1:$I$89,3,0)*VLOOKUP('Données projet'!$B$11,Paramètres!$A$1:$I$89,5,0)</f>
        <v>100.08179999999999</v>
      </c>
      <c r="BF32" s="13">
        <f t="shared" si="37"/>
        <v>26.981484342875188</v>
      </c>
      <c r="BG32" s="20">
        <f t="shared" si="7"/>
        <v>221.30188689717423</v>
      </c>
      <c r="BH32" s="59">
        <f t="shared" si="8"/>
        <v>514.63522023050757</v>
      </c>
      <c r="BI32" s="59">
        <f ca="1">AVERAGE(OFFSET($BH$3,0,0,'Données projet'!$E$11+1,1))-AVERAGE(OFFSET($H$3,0,0,'Données projet'!$E$11+1,1))</f>
        <v>279.20364724206644</v>
      </c>
      <c r="BJ32" s="59">
        <f t="shared" si="38"/>
        <v>173.99850582760712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6.3</v>
      </c>
      <c r="BY32" s="12">
        <f>IF('Données projet'!$A$114&gt;35,BY31+BX32-CG31,IF(A32&lt;'Données projet'!$A$114,$BV$205^A32,IF(A32='Données projet'!$A$114,'Données projet'!$B$114,BY31+BX32-CG31)))</f>
        <v>98.699999999999974</v>
      </c>
      <c r="BZ32" s="13">
        <f>BY32*VLOOKUP('Données projet'!$B$12,Paramètres!$A$1:$I$89,3,0)*VLOOKUP('Données projet'!$B$12,Paramètres!$A$1:$I$89,5,0)</f>
        <v>112.39955999999997</v>
      </c>
      <c r="CA32" s="13">
        <f t="shared" si="39"/>
        <v>29.895627618250142</v>
      </c>
      <c r="CB32" s="20">
        <f t="shared" si="10"/>
        <v>247.83078510178561</v>
      </c>
      <c r="CC32" s="59">
        <f t="shared" si="11"/>
        <v>541.16411843511889</v>
      </c>
      <c r="CD32" s="59">
        <f ca="1">AVERAGE(OFFSET($CC$3,0,0,'Données projet'!$E$12+1,1))-AVERAGE(OFFSET($H$3,0,0,'Données projet'!$E$12+1,1))</f>
        <v>327.06866218660838</v>
      </c>
      <c r="CE32" s="59">
        <f t="shared" si="40"/>
        <v>202.18198935334908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14.5</v>
      </c>
      <c r="CT32" s="12">
        <f>IF('Données projet'!$A$140&gt;35,CT31+CS32-DB31,IF(A32&lt;'Données projet'!$A$140,$CQ$205^A32,IF(A32='Données projet'!$A$140,'Données projet'!$B$140,CT31+CS32-DB31)))</f>
        <v>197.5</v>
      </c>
      <c r="CU32" s="17">
        <f>CT32*VLOOKUP('Données projet'!$B$13,Paramètres!$A$1:$I$89,3,0)*VLOOKUP('Données projet'!$B$13,Paramètres!$A$1:$I$89,5,0)</f>
        <v>160.21200000000002</v>
      </c>
      <c r="CV32" s="13">
        <f t="shared" si="41"/>
        <v>40.890328912852695</v>
      </c>
      <c r="CW32" s="20">
        <f t="shared" si="13"/>
        <v>350.25322285655176</v>
      </c>
      <c r="CX32" s="59">
        <f t="shared" si="14"/>
        <v>643.58655618988507</v>
      </c>
      <c r="CY32" s="59">
        <f ca="1">AVERAGE(OFFSET($CX$3,0,0,'Données projet'!$E$13+1,1))-AVERAGE(OFFSET($H$3,0,0,'Données projet'!$E$13+1,1))</f>
        <v>266.72672633301022</v>
      </c>
      <c r="CZ32" s="59">
        <f t="shared" si="42"/>
        <v>314.26991662544219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5.0127282669433351</v>
      </c>
      <c r="DH32" s="21">
        <f>EXP(-LN(2)/2)*DH31+(1-EXP(-LN(2)/2))/(LN(2)/2)*DB32*DE32*VLOOKUP('Données projet'!$B$13,Paramètres!$A$1:$I$89,3,0)*0.475*44/12</f>
        <v>0.56658107755041631</v>
      </c>
      <c r="DI32" s="22">
        <f t="shared" si="15"/>
        <v>5.5793093444937512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13.1</v>
      </c>
      <c r="DO32" s="12">
        <f>IF('Données projet'!$A$166&gt;35,DO31+DN32-DW31,IF(A32&lt;'Données projet'!$A$166,$DL$205^A32,IF(A32='Données projet'!$A$166,'Données projet'!$B$166,DO31+DN32-DW31)))</f>
        <v>207.89999999999995</v>
      </c>
      <c r="DP32" s="17">
        <f>DO32*VLOOKUP('Données projet'!$B$14,Paramètres!$A$1:$I$89,3,0)*VLOOKUP('Données projet'!$B$14,Paramètres!$A$1:$I$89,5,0)</f>
        <v>223.78355999999997</v>
      </c>
      <c r="DQ32" s="13">
        <f t="shared" si="43"/>
        <v>54.936405915533534</v>
      </c>
      <c r="DR32" s="20">
        <f t="shared" si="16"/>
        <v>485.43727396955416</v>
      </c>
      <c r="DS32" s="59">
        <f t="shared" si="17"/>
        <v>778.77060730288747</v>
      </c>
      <c r="DT32" s="59">
        <f ca="1">AVERAGE(OFFSET($DS$3,0,0,'Données projet'!$E$14+1,1))-AVERAGE(OFFSET($H$3,0,0,'Données projet'!$E$14+1,1))</f>
        <v>442.54137223086991</v>
      </c>
      <c r="DU32" s="59">
        <f t="shared" si="44"/>
        <v>454.23406186660714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2.6804571645566679</v>
      </c>
      <c r="EC32" s="21">
        <f>EXP(-LN(2)/2)*EC31+(1-EXP(-LN(2)/2))/(LN(2)/2)*DW32*DZ32*VLOOKUP('Données projet'!$B$14,Paramètres!$A$1:$I$89,3,0)*0.475*44/12</f>
        <v>0.30296801018267083</v>
      </c>
      <c r="ED32" s="22">
        <f t="shared" si="18"/>
        <v>2.983425174739339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17.666666666666668</v>
      </c>
      <c r="N33" s="13">
        <f>IF('Données projet'!$A$36&gt;35,N32+M33-V32,IF(A33&lt;'Données projet'!$A$36,$K$205^A33,IF(A33='Données projet'!$A$36,'Données projet'!$B$36,N32+M33-V32)))</f>
        <v>357.6666666666668</v>
      </c>
      <c r="O33" s="13">
        <f>N33*VLOOKUP('Données projet'!$B$9,Paramètres!$A$1:$I$89,3,0)*VLOOKUP('Données projet'!$B$9,Paramètres!$A$1:$I$89,5,0)</f>
        <v>213.88466666666676</v>
      </c>
      <c r="P33" s="13">
        <f t="shared" si="33"/>
        <v>52.783575402845472</v>
      </c>
      <c r="Q33" s="20">
        <f t="shared" si="2"/>
        <v>464.44718827106709</v>
      </c>
      <c r="R33" s="59">
        <f t="shared" si="0"/>
        <v>757.78052160440041</v>
      </c>
      <c r="S33" s="59">
        <f ca="1">AVERAGE(OFFSET($R$3,0,0,'Données projet'!$E$9+1,1))-AVERAGE(OFFSET($H$3,0,0,'Données projet'!$E$9+1,1))</f>
        <v>201.49055911472067</v>
      </c>
      <c r="T33" s="59">
        <f t="shared" si="34"/>
        <v>403.37692064114719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4.2169259627867755</v>
      </c>
      <c r="AA33" s="21">
        <f>EXP(-LN(2)/25)*AA32+(1-EXP(-LN(2)/25))/(LN(2)/25)*Calculateur!V33*Calculateur!X33*VLOOKUP('Données projet'!$B$9,Paramètres!$A$1:$I$89,3,0)*0.475*44/12</f>
        <v>12.894802659565817</v>
      </c>
      <c r="AB33" s="21">
        <f>EXP(-LN(2)/2)*AB32+(1-EXP(-LN(2)/2))/(LN(2)/2)*V33*Y33*VLOOKUP('Données projet'!$B$9,Paramètres!$A$1:$I$89,3,0)*0.475*44/12</f>
        <v>0.6688759598850671</v>
      </c>
      <c r="AC33" s="22">
        <f t="shared" si="3"/>
        <v>17.780604582237661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389</v>
      </c>
      <c r="AG33" s="12">
        <f>VLOOKUP(A33,'Données projet'!$A$61:$I$81,9,0)</f>
        <v>35.6</v>
      </c>
      <c r="AH33" s="12">
        <f t="array" ref="AH33">INDEX(AG:AG,MIN(IF(ISNUMBER(AG33:AG229),ROW(AG33:AG229),"")))</f>
        <v>35.6</v>
      </c>
      <c r="AI33" s="13">
        <f>IF('Données projet'!$A$62&gt;35,AI32+AH33-AQ32,IF(A33&lt;'Données projet'!$A$62,$AF$205^A33,IF(A33='Données projet'!$A$62,'Données projet'!$B$62,AI32+AH33-AQ32)))</f>
        <v>389.00000000000006</v>
      </c>
      <c r="AJ33" s="13">
        <f>AI33*VLOOKUP('Données projet'!$B$10,Paramètres!$A$1:$I$89,3,0)*VLOOKUP('Données projet'!$B$10,Paramètres!$A$1:$I$89,5,0)</f>
        <v>339.83040000000011</v>
      </c>
      <c r="AK33" s="13">
        <f t="shared" si="35"/>
        <v>79.464904970532572</v>
      </c>
      <c r="AL33" s="20">
        <f t="shared" si="4"/>
        <v>730.27265615701106</v>
      </c>
      <c r="AM33" s="59">
        <f t="shared" si="5"/>
        <v>1023.6059894903444</v>
      </c>
      <c r="AN33" s="59">
        <f ca="1">AVERAGE(OFFSET($AM$3,0,0,'Données projet'!$E$10+1,1))-AVERAGE(OFFSET($H$3,0,0,'Données projet'!$E$10+1,1))</f>
        <v>260.53994021583316</v>
      </c>
      <c r="AO33" s="59">
        <f t="shared" si="36"/>
        <v>669.20238852709122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350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1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296.38126412016618</v>
      </c>
      <c r="AX33" s="21">
        <f t="shared" si="6"/>
        <v>296.38126412016618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105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104.99999999999997</v>
      </c>
      <c r="BE33" s="13">
        <f>BD33*VLOOKUP('Données projet'!$B$11,Paramètres!$A$1:$I$89,3,0)*VLOOKUP('Données projet'!$B$11,Paramètres!$A$1:$I$89,5,0)</f>
        <v>106.46999999999998</v>
      </c>
      <c r="BF33" s="13">
        <f t="shared" si="37"/>
        <v>28.497716817718885</v>
      </c>
      <c r="BG33" s="20">
        <f t="shared" si="7"/>
        <v>235.06877345752699</v>
      </c>
      <c r="BH33" s="59">
        <f t="shared" si="8"/>
        <v>528.40210679086033</v>
      </c>
      <c r="BI33" s="59">
        <f ca="1">AVERAGE(OFFSET($BH$3,0,0,'Données projet'!$E$11+1,1))-AVERAGE(OFFSET($H$3,0,0,'Données projet'!$E$11+1,1))</f>
        <v>279.20364724206644</v>
      </c>
      <c r="BJ33" s="59">
        <f t="shared" si="38"/>
        <v>173.99850582760712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3.4807927795145521</v>
      </c>
      <c r="BR33" s="21">
        <f>EXP(-LN(2)/2)*BR32+(1-EXP(-LN(2)/2))/(LN(2)/2)*BL33*BO33*VLOOKUP('Données projet'!$B$11,Paramètres!$A$1:$I$89,3,0)*0.475*44/12</f>
        <v>6.9363381127215114</v>
      </c>
      <c r="BS33" s="22">
        <f t="shared" si="9"/>
        <v>10.417130892236063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6.3</v>
      </c>
      <c r="BX33" s="12">
        <f t="array" ref="BX33">INDEX(BW:BW,MIN(IF(ISNUMBER(BW33:BW229),ROW(BW33:BW229),"")))</f>
        <v>6.3</v>
      </c>
      <c r="BY33" s="12">
        <f>IF('Données projet'!$A$114&gt;35,BY32+BX33-CG32,IF(A33&lt;'Données projet'!$A$114,$BV$205^A33,IF(A33='Données projet'!$A$114,'Données projet'!$B$114,BY32+BX33-CG32)))</f>
        <v>104.99999999999997</v>
      </c>
      <c r="BZ33" s="13">
        <f>BY33*VLOOKUP('Données projet'!$B$12,Paramètres!$A$1:$I$89,3,0)*VLOOKUP('Données projet'!$B$12,Paramètres!$A$1:$I$89,5,0)</f>
        <v>119.57399999999997</v>
      </c>
      <c r="CA33" s="13">
        <f t="shared" si="39"/>
        <v>31.575621234412871</v>
      </c>
      <c r="CB33" s="20">
        <f t="shared" si="10"/>
        <v>263.25225698326904</v>
      </c>
      <c r="CC33" s="59">
        <f t="shared" si="11"/>
        <v>556.58559031660229</v>
      </c>
      <c r="CD33" s="59">
        <f ca="1">AVERAGE(OFFSET($CC$3,0,0,'Données projet'!$E$12+1,1))-AVERAGE(OFFSET($H$3,0,0,'Données projet'!$E$12+1,1))</f>
        <v>327.06866218660838</v>
      </c>
      <c r="CE33" s="59">
        <f t="shared" si="40"/>
        <v>202.18198935334908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3.9091980446855743</v>
      </c>
      <c r="CM33" s="21">
        <f>EXP(-LN(2)/2)*CM32+(1-EXP(-LN(2)/2))/(LN(2)/2)*CG33*CJ33*VLOOKUP('Données projet'!$B$12,Paramètres!$A$1:$I$89,3,0)*0.475*44/12</f>
        <v>7.7900412650564661</v>
      </c>
      <c r="CN33" s="22">
        <f t="shared" si="12"/>
        <v>11.69923930974204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212</v>
      </c>
      <c r="CR33" s="12">
        <f>VLOOKUP(A33,'Données projet'!$A$139:$I$159,9,0)</f>
        <v>14.5</v>
      </c>
      <c r="CS33" s="12">
        <f t="array" ref="CS33">INDEX(CR:CR,MIN(IF(ISNUMBER(CR33:CR229),ROW(CR33:CR229),"")))</f>
        <v>14.5</v>
      </c>
      <c r="CT33" s="12">
        <f>IF('Données projet'!$A$140&gt;35,CT32+CS33-DB32,IF(A33&lt;'Données projet'!$A$140,$CQ$205^A33,IF(A33='Données projet'!$A$140,'Données projet'!$B$140,CT32+CS33-DB32)))</f>
        <v>212</v>
      </c>
      <c r="CU33" s="17">
        <f>CT33*VLOOKUP('Données projet'!$B$13,Paramètres!$A$1:$I$89,3,0)*VLOOKUP('Données projet'!$B$13,Paramètres!$A$1:$I$89,5,0)</f>
        <v>171.97440000000003</v>
      </c>
      <c r="CV33" s="13">
        <f t="shared" si="41"/>
        <v>43.531925888246164</v>
      </c>
      <c r="CW33" s="20">
        <f t="shared" si="13"/>
        <v>375.34018425536209</v>
      </c>
      <c r="CX33" s="59">
        <f t="shared" si="14"/>
        <v>668.6735175886954</v>
      </c>
      <c r="CY33" s="59">
        <f ca="1">AVERAGE(OFFSET($CX$3,0,0,'Données projet'!$E$13+1,1))-AVERAGE(OFFSET($H$3,0,0,'Données projet'!$E$13+1,1))</f>
        <v>266.72672633301022</v>
      </c>
      <c r="CZ33" s="59">
        <f t="shared" si="42"/>
        <v>314.26991662544219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70</v>
      </c>
      <c r="DC33" s="16">
        <f>IF(ISNA(VLOOKUP(A33,'Données projet'!$A$139:$I$159,5,0)),0%,VLOOKUP(A33,'Données projet'!$A$139:$I$159,5,0)*VLOOKUP('Données projet'!$B$13,Paramètres!$A$1:$I$89,7,0))</f>
        <v>4.3000000000000003E-2</v>
      </c>
      <c r="DD33" s="16">
        <f>IF(ISNA(VLOOKUP(A33,'Données projet'!$A$139:$I$159,6,0)),0%,VLOOKUP(A33,'Données projet'!$A$139:$I$159,6,0)*VLOOKUP('Données projet'!$B$13,Paramètres!$A$1:$I$89,7,0))</f>
        <v>0.19350000000000001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2.6992402913501592</v>
      </c>
      <c r="DG33" s="21">
        <f>EXP(-LN(2)/25)*DG32+(1-EXP(-LN(2)/25))/(LN(2)/25)*Calculateur!DB33*Calculateur!DD33*VLOOKUP('Données projet'!$B$13,Paramètres!$A$1:$I$89,3,0)*0.475*44/12</f>
        <v>16.974410541119532</v>
      </c>
      <c r="DH33" s="21">
        <f>EXP(-LN(2)/2)*DH32+(1-EXP(-LN(2)/2))/(LN(2)/2)*DB33*DE33*VLOOKUP('Données projet'!$B$13,Paramètres!$A$1:$I$89,3,0)*0.475*44/12</f>
        <v>24.510387865556446</v>
      </c>
      <c r="DI33" s="22">
        <f t="shared" si="15"/>
        <v>44.184038698026136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221</v>
      </c>
      <c r="DM33" s="12">
        <f>VLOOKUP(A33,'Données projet'!$A$165:$I$185,9,0)</f>
        <v>13.1</v>
      </c>
      <c r="DN33" s="12">
        <f t="array" ref="DN33">INDEX(DM:DM,MIN(IF(ISNUMBER(DM33:DM229),ROW(DM33:DM229),"")))</f>
        <v>13.1</v>
      </c>
      <c r="DO33" s="12">
        <f>IF('Données projet'!$A$166&gt;35,DO32+DN33-DW32,IF(A33&lt;'Données projet'!$A$166,$DL$205^A33,IF(A33='Données projet'!$A$166,'Données projet'!$B$166,DO32+DN33-DW32)))</f>
        <v>220.99999999999994</v>
      </c>
      <c r="DP33" s="17">
        <f>DO33*VLOOKUP('Données projet'!$B$14,Paramètres!$A$1:$I$89,3,0)*VLOOKUP('Données projet'!$B$14,Paramètres!$A$1:$I$89,5,0)</f>
        <v>237.88439999999994</v>
      </c>
      <c r="DQ33" s="13">
        <f t="shared" si="43"/>
        <v>57.984114543460535</v>
      </c>
      <c r="DR33" s="20">
        <f t="shared" si="16"/>
        <v>515.30432949652698</v>
      </c>
      <c r="DS33" s="59">
        <f t="shared" si="17"/>
        <v>808.63766282986035</v>
      </c>
      <c r="DT33" s="59">
        <f ca="1">AVERAGE(OFFSET($DS$3,0,0,'Données projet'!$E$14+1,1))-AVERAGE(OFFSET($H$3,0,0,'Données projet'!$E$14+1,1))</f>
        <v>442.54137223086991</v>
      </c>
      <c r="DU33" s="59">
        <f t="shared" si="44"/>
        <v>454.23406186660714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39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1.9955097868195821</v>
      </c>
      <c r="EB33" s="21">
        <f>EXP(-LN(2)/25)*EB32+(1-EXP(-LN(2)/25))/(LN(2)/25)*Calculateur!DW33*Calculateur!DY33*VLOOKUP('Données projet'!$B$14,Paramètres!$A$1:$I$89,3,0)*0.475*44/12</f>
        <v>11.551597092412901</v>
      </c>
      <c r="EC33" s="21">
        <f>EXP(-LN(2)/2)*EC32+(1-EXP(-LN(2)/2))/(LN(2)/2)*DW33*DZ33*VLOOKUP('Données projet'!$B$14,Paramètres!$A$1:$I$89,3,0)*0.475*44/12</f>
        <v>18.038227843448521</v>
      </c>
      <c r="ED33" s="22">
        <f t="shared" si="18"/>
        <v>31.585334722681004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17.666666666666668</v>
      </c>
      <c r="N34" s="13">
        <f>IF('Données projet'!$A$36&gt;35,N33+M34-V33,IF(A34&lt;'Données projet'!$A$36,$K$205^A34,IF(A34='Données projet'!$A$36,'Données projet'!$B$36,N33+M34-V33)))</f>
        <v>375.33333333333348</v>
      </c>
      <c r="O34" s="13">
        <f>N34*VLOOKUP('Données projet'!$B$9,Paramètres!$A$1:$I$89,3,0)*VLOOKUP('Données projet'!$B$9,Paramètres!$A$1:$I$89,5,0)</f>
        <v>224.44933333333344</v>
      </c>
      <c r="P34" s="13">
        <f t="shared" si="33"/>
        <v>55.0807965573836</v>
      </c>
      <c r="Q34" s="20">
        <f t="shared" si="2"/>
        <v>486.84830955966549</v>
      </c>
      <c r="R34" s="59">
        <f t="shared" si="0"/>
        <v>780.18164289299875</v>
      </c>
      <c r="S34" s="59">
        <f ca="1">AVERAGE(OFFSET($R$3,0,0,'Données projet'!$E$9+1,1))-AVERAGE(OFFSET($H$3,0,0,'Données projet'!$E$9+1,1))</f>
        <v>201.49055911472067</v>
      </c>
      <c r="T34" s="59">
        <f t="shared" si="34"/>
        <v>403.37692064114719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4.1342346167273929</v>
      </c>
      <c r="AA34" s="21">
        <f>EXP(-LN(2)/25)*AA33+(1-EXP(-LN(2)/25))/(LN(2)/25)*Calculateur!V34*Calculateur!X34*VLOOKUP('Données projet'!$B$9,Paramètres!$A$1:$I$89,3,0)*0.475*44/12</f>
        <v>12.542193602731789</v>
      </c>
      <c r="AB34" s="21">
        <f>EXP(-LN(2)/2)*AB33+(1-EXP(-LN(2)/2))/(LN(2)/2)*V34*Y34*VLOOKUP('Données projet'!$B$9,Paramètres!$A$1:$I$89,3,0)*0.475*44/12</f>
        <v>0.47296672700739212</v>
      </c>
      <c r="AC34" s="22">
        <f t="shared" si="3"/>
        <v>17.149394946466575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39.000000000000057</v>
      </c>
      <c r="AJ34" s="13">
        <f>AI34*VLOOKUP('Données projet'!$B$10,Paramètres!$A$1:$I$89,3,0)*VLOOKUP('Données projet'!$B$10,Paramètres!$A$1:$I$89,5,0)</f>
        <v>34.070400000000056</v>
      </c>
      <c r="AK34" s="13">
        <f t="shared" si="35"/>
        <v>10.412633617059328</v>
      </c>
      <c r="AL34" s="20">
        <f t="shared" si="4"/>
        <v>77.474616883045101</v>
      </c>
      <c r="AM34" s="59">
        <f t="shared" si="5"/>
        <v>370.8079502163784</v>
      </c>
      <c r="AN34" s="59">
        <f ca="1">AVERAGE(OFFSET($AM$3,0,0,'Données projet'!$E$10+1,1))-AVERAGE(OFFSET($H$3,0,0,'Données projet'!$E$10+1,1))</f>
        <v>260.53994021583316</v>
      </c>
      <c r="AO34" s="59">
        <f t="shared" si="36"/>
        <v>669.20238852709122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209.57320167601071</v>
      </c>
      <c r="AX34" s="21">
        <f t="shared" si="6"/>
        <v>209.57320167601071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8.1999999999999993</v>
      </c>
      <c r="BD34" s="12">
        <f>IF('Données projet'!$A$88&gt;35,BD33+BC34-BL33,IF(A34&lt;'Données projet'!$A$88,$BA$205^A34,IF(A34='Données projet'!$A$88,'Données projet'!$B$88,BD33+BC34-BL33)))</f>
        <v>84.199999999999974</v>
      </c>
      <c r="BE34" s="13">
        <f>BD34*VLOOKUP('Données projet'!$B$11,Paramètres!$A$1:$I$89,3,0)*VLOOKUP('Données projet'!$B$11,Paramètres!$A$1:$I$89,5,0)</f>
        <v>85.37879999999997</v>
      </c>
      <c r="BF34" s="13">
        <f t="shared" si="37"/>
        <v>23.447306793896495</v>
      </c>
      <c r="BG34" s="20">
        <f t="shared" si="7"/>
        <v>189.53880266603633</v>
      </c>
      <c r="BH34" s="59">
        <f t="shared" si="8"/>
        <v>482.87213599936968</v>
      </c>
      <c r="BI34" s="59">
        <f ca="1">AVERAGE(OFFSET($BH$3,0,0,'Données projet'!$E$11+1,1))-AVERAGE(OFFSET($H$3,0,0,'Données projet'!$E$11+1,1))</f>
        <v>279.20364724206644</v>
      </c>
      <c r="BJ34" s="59">
        <f t="shared" si="38"/>
        <v>173.99850582760712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3.38561031791179</v>
      </c>
      <c r="BR34" s="21">
        <f>EXP(-LN(2)/2)*BR33+(1-EXP(-LN(2)/2))/(LN(2)/2)*BL34*BO34*VLOOKUP('Données projet'!$B$11,Paramètres!$A$1:$I$89,3,0)*0.475*44/12</f>
        <v>4.9047317161080803</v>
      </c>
      <c r="BS34" s="22">
        <f t="shared" si="9"/>
        <v>8.2903420340198704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84.199999999999974</v>
      </c>
      <c r="BZ34" s="13">
        <f>BY34*VLOOKUP('Données projet'!$B$12,Paramètres!$A$1:$I$89,3,0)*VLOOKUP('Données projet'!$B$12,Paramètres!$A$1:$I$89,5,0)</f>
        <v>95.886959999999974</v>
      </c>
      <c r="CA34" s="13">
        <f t="shared" si="39"/>
        <v>25.979740167493677</v>
      </c>
      <c r="CB34" s="20">
        <f t="shared" si="10"/>
        <v>212.25116945838477</v>
      </c>
      <c r="CC34" s="59">
        <f t="shared" si="11"/>
        <v>505.58450279171808</v>
      </c>
      <c r="CD34" s="59">
        <f ca="1">AVERAGE(OFFSET($CC$3,0,0,'Données projet'!$E$12+1,1))-AVERAGE(OFFSET($H$3,0,0,'Données projet'!$E$12+1,1))</f>
        <v>327.06866218660838</v>
      </c>
      <c r="CE34" s="59">
        <f t="shared" si="40"/>
        <v>202.18198935334908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3.8023008185778568</v>
      </c>
      <c r="CM34" s="21">
        <f>EXP(-LN(2)/2)*CM33+(1-EXP(-LN(2)/2))/(LN(2)/2)*CG34*CJ34*VLOOKUP('Données projet'!$B$12,Paramètres!$A$1:$I$89,3,0)*0.475*44/12</f>
        <v>5.5083910042444586</v>
      </c>
      <c r="CN34" s="22">
        <f t="shared" si="12"/>
        <v>9.3106918228223154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12.1</v>
      </c>
      <c r="CT34" s="12">
        <f>IF('Données projet'!$A$140&gt;35,CT33+CS34-DB33,IF(A34&lt;'Données projet'!$A$140,$CQ$205^A34,IF(A34='Données projet'!$A$140,'Données projet'!$B$140,CT33+CS34-DB33)))</f>
        <v>154.1</v>
      </c>
      <c r="CU34" s="17">
        <f>CT34*VLOOKUP('Données projet'!$B$13,Paramètres!$A$1:$I$89,3,0)*VLOOKUP('Données projet'!$B$13,Paramètres!$A$1:$I$89,5,0)</f>
        <v>125.00592000000002</v>
      </c>
      <c r="CV34" s="13">
        <f t="shared" si="41"/>
        <v>32.839756328142556</v>
      </c>
      <c r="CW34" s="20">
        <f t="shared" si="13"/>
        <v>274.91455293818166</v>
      </c>
      <c r="CX34" s="59">
        <f t="shared" si="14"/>
        <v>568.24788627151497</v>
      </c>
      <c r="CY34" s="59">
        <f ca="1">AVERAGE(OFFSET($CX$3,0,0,'Données projet'!$E$13+1,1))-AVERAGE(OFFSET($H$3,0,0,'Données projet'!$E$13+1,1))</f>
        <v>266.72672633301022</v>
      </c>
      <c r="CZ34" s="59">
        <f t="shared" si="42"/>
        <v>314.26991662544219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2.6463098356107944</v>
      </c>
      <c r="DG34" s="21">
        <f>EXP(-LN(2)/25)*DG33+(1-EXP(-LN(2)/25))/(LN(2)/25)*Calculateur!DB34*Calculateur!DD34*VLOOKUP('Données projet'!$B$13,Paramètres!$A$1:$I$89,3,0)*0.475*44/12</f>
        <v>16.510244392227165</v>
      </c>
      <c r="DH34" s="21">
        <f>EXP(-LN(2)/2)*DH33+(1-EXP(-LN(2)/2))/(LN(2)/2)*DB34*DE34*VLOOKUP('Données projet'!$B$13,Paramètres!$A$1:$I$89,3,0)*0.475*44/12</f>
        <v>17.331461469247433</v>
      </c>
      <c r="DI34" s="22">
        <f t="shared" si="15"/>
        <v>36.488015697085388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11.1</v>
      </c>
      <c r="DO34" s="12">
        <f>IF('Données projet'!$A$166&gt;35,DO33+DN34-DW33,IF(A34&lt;'Données projet'!$A$166,$DL$205^A34,IF(A34='Données projet'!$A$166,'Données projet'!$B$166,DO33+DN34-DW33)))</f>
        <v>193.09999999999994</v>
      </c>
      <c r="DP34" s="17">
        <f>DO34*VLOOKUP('Données projet'!$B$14,Paramètres!$A$1:$I$89,3,0)*VLOOKUP('Données projet'!$B$14,Paramètres!$A$1:$I$89,5,0)</f>
        <v>207.85283999999993</v>
      </c>
      <c r="DQ34" s="13">
        <f t="shared" si="43"/>
        <v>51.466096936465739</v>
      </c>
      <c r="DR34" s="20">
        <f t="shared" si="16"/>
        <v>451.64714849767762</v>
      </c>
      <c r="DS34" s="59">
        <f t="shared" si="17"/>
        <v>744.98048183101093</v>
      </c>
      <c r="DT34" s="59">
        <f ca="1">AVERAGE(OFFSET($DS$3,0,0,'Données projet'!$E$14+1,1))-AVERAGE(OFFSET($H$3,0,0,'Données projet'!$E$14+1,1))</f>
        <v>442.54137223086991</v>
      </c>
      <c r="DU34" s="59">
        <f t="shared" si="44"/>
        <v>454.23406186660714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1.9563790570408375</v>
      </c>
      <c r="EB34" s="21">
        <f>EXP(-LN(2)/25)*EB33+(1-EXP(-LN(2)/25))/(LN(2)/25)*Calculateur!DW34*Calculateur!DY34*VLOOKUP('Données projet'!$B$14,Paramètres!$A$1:$I$89,3,0)*0.475*44/12</f>
        <v>11.235718062448781</v>
      </c>
      <c r="EC34" s="21">
        <f>EXP(-LN(2)/2)*EC33+(1-EXP(-LN(2)/2))/(LN(2)/2)*DW34*DZ34*VLOOKUP('Données projet'!$B$14,Paramètres!$A$1:$I$89,3,0)*0.475*44/12</f>
        <v>12.754953228690443</v>
      </c>
      <c r="ED34" s="22">
        <f t="shared" si="18"/>
        <v>25.947050348180063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17.666666666666668</v>
      </c>
      <c r="N35" s="13">
        <f>IF('Données projet'!$A$36&gt;35,N34+M35-V34,IF(A35&lt;'Données projet'!$A$36,$K$205^A35,IF(A35='Données projet'!$A$36,'Données projet'!$B$36,N34+M35-V34)))</f>
        <v>393.00000000000017</v>
      </c>
      <c r="O35" s="13">
        <f>N35*VLOOKUP('Données projet'!$B$9,Paramètres!$A$1:$I$89,3,0)*VLOOKUP('Données projet'!$B$9,Paramètres!$A$1:$I$89,5,0)</f>
        <v>235.01400000000012</v>
      </c>
      <c r="P35" s="13">
        <f t="shared" si="33"/>
        <v>57.365461071820597</v>
      </c>
      <c r="Q35" s="20">
        <f t="shared" ref="Q35:Q66" si="53">(O35+P35)*0.475*44/12</f>
        <v>509.2275613667544</v>
      </c>
      <c r="R35" s="59">
        <f t="shared" si="0"/>
        <v>802.56089470008772</v>
      </c>
      <c r="S35" s="59">
        <f ca="1">AVERAGE(OFFSET($R$3,0,0,'Données projet'!$E$9+1,1))-AVERAGE(OFFSET($H$3,0,0,'Données projet'!$E$9+1,1))</f>
        <v>201.49055911472067</v>
      </c>
      <c r="T35" s="59">
        <f t="shared" si="34"/>
        <v>403.37692064114719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4.0531647975274945</v>
      </c>
      <c r="AA35" s="21">
        <f>EXP(-LN(2)/25)*AA34+(1-EXP(-LN(2)/25))/(LN(2)/25)*Calculateur!V35*Calculateur!X35*VLOOKUP('Données projet'!$B$9,Paramètres!$A$1:$I$89,3,0)*0.475*44/12</f>
        <v>12.199226659099793</v>
      </c>
      <c r="AB35" s="21">
        <f>EXP(-LN(2)/2)*AB34+(1-EXP(-LN(2)/2))/(LN(2)/2)*V35*Y35*VLOOKUP('Données projet'!$B$9,Paramètres!$A$1:$I$89,3,0)*0.475*44/12</f>
        <v>0.3344379799425336</v>
      </c>
      <c r="AC35" s="22">
        <f t="shared" si="3"/>
        <v>16.586829436569818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39.000000000000057</v>
      </c>
      <c r="AJ35" s="13">
        <f>AI35*VLOOKUP('Données projet'!$B$10,Paramètres!$A$1:$I$89,3,0)*VLOOKUP('Données projet'!$B$10,Paramètres!$A$1:$I$89,5,0)</f>
        <v>34.070400000000056</v>
      </c>
      <c r="AK35" s="13">
        <f t="shared" si="35"/>
        <v>10.412633617059328</v>
      </c>
      <c r="AL35" s="20">
        <f t="shared" si="4"/>
        <v>77.474616883045101</v>
      </c>
      <c r="AM35" s="59">
        <f t="shared" si="5"/>
        <v>370.8079502163784</v>
      </c>
      <c r="AN35" s="59">
        <f ca="1">AVERAGE(OFFSET($AM$3,0,0,'Données projet'!$E$10+1,1))-AVERAGE(OFFSET($H$3,0,0,'Données projet'!$E$10+1,1))</f>
        <v>260.53994021583316</v>
      </c>
      <c r="AO35" s="59">
        <f t="shared" si="36"/>
        <v>669.20238852709122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148.19063206008312</v>
      </c>
      <c r="AX35" s="21">
        <f t="shared" si="6"/>
        <v>148.19063206008312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8.1999999999999993</v>
      </c>
      <c r="BD35" s="12">
        <f>IF('Données projet'!$A$88&gt;35,BD34+BC35-BL34,IF(A35&lt;'Données projet'!$A$88,$BA$205^A35,IF(A35='Données projet'!$A$88,'Données projet'!$B$88,BD34+BC35-BL34)))</f>
        <v>92.399999999999977</v>
      </c>
      <c r="BE35" s="13">
        <f>BD35*VLOOKUP('Données projet'!$B$11,Paramètres!$A$1:$I$89,3,0)*VLOOKUP('Données projet'!$B$11,Paramètres!$A$1:$I$89,5,0)</f>
        <v>93.693599999999989</v>
      </c>
      <c r="BF35" s="13">
        <f t="shared" si="37"/>
        <v>25.453936461054091</v>
      </c>
      <c r="BG35" s="20">
        <f t="shared" si="7"/>
        <v>207.51529266966918</v>
      </c>
      <c r="BH35" s="59">
        <f t="shared" si="8"/>
        <v>500.84862600300249</v>
      </c>
      <c r="BI35" s="59">
        <f ca="1">AVERAGE(OFFSET($BH$3,0,0,'Données projet'!$E$11+1,1))-AVERAGE(OFFSET($H$3,0,0,'Données projet'!$E$11+1,1))</f>
        <v>279.20364724206644</v>
      </c>
      <c r="BJ35" s="59">
        <f t="shared" si="38"/>
        <v>173.99850582760712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3.2930306257269835</v>
      </c>
      <c r="BR35" s="21">
        <f>EXP(-LN(2)/2)*BR34+(1-EXP(-LN(2)/2))/(LN(2)/2)*BL35*BO35*VLOOKUP('Données projet'!$B$11,Paramètres!$A$1:$I$89,3,0)*0.475*44/12</f>
        <v>3.4681690563607561</v>
      </c>
      <c r="BS35" s="22">
        <f t="shared" si="9"/>
        <v>6.7611996820877396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92.399999999999977</v>
      </c>
      <c r="BZ35" s="13">
        <f>BY35*VLOOKUP('Données projet'!$B$12,Paramètres!$A$1:$I$89,3,0)*VLOOKUP('Données projet'!$B$12,Paramètres!$A$1:$I$89,5,0)</f>
        <v>105.22511999999998</v>
      </c>
      <c r="CA35" s="13">
        <f t="shared" si="39"/>
        <v>28.203096471199693</v>
      </c>
      <c r="CB35" s="20">
        <f t="shared" si="10"/>
        <v>232.38747702067272</v>
      </c>
      <c r="CC35" s="59">
        <f t="shared" si="11"/>
        <v>525.72081035400606</v>
      </c>
      <c r="CD35" s="59">
        <f ca="1">AVERAGE(OFFSET($CC$3,0,0,'Données projet'!$E$12+1,1))-AVERAGE(OFFSET($H$3,0,0,'Données projet'!$E$12+1,1))</f>
        <v>327.06866218660838</v>
      </c>
      <c r="CE35" s="59">
        <f t="shared" si="40"/>
        <v>202.18198935334908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3.6983267027395357</v>
      </c>
      <c r="CM35" s="21">
        <f>EXP(-LN(2)/2)*CM34+(1-EXP(-LN(2)/2))/(LN(2)/2)*CG35*CJ35*VLOOKUP('Données projet'!$B$12,Paramètres!$A$1:$I$89,3,0)*0.475*44/12</f>
        <v>3.8950206325282335</v>
      </c>
      <c r="CN35" s="22">
        <f t="shared" si="12"/>
        <v>7.5933473352677687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12.1</v>
      </c>
      <c r="CT35" s="12">
        <f>IF('Données projet'!$A$140&gt;35,CT34+CS35-DB34,IF(A35&lt;'Données projet'!$A$140,$CQ$205^A35,IF(A35='Données projet'!$A$140,'Données projet'!$B$140,CT34+CS35-DB34)))</f>
        <v>166.2</v>
      </c>
      <c r="CU35" s="17">
        <f>CT35*VLOOKUP('Données projet'!$B$13,Paramètres!$A$1:$I$89,3,0)*VLOOKUP('Données projet'!$B$13,Paramètres!$A$1:$I$89,5,0)</f>
        <v>134.82144</v>
      </c>
      <c r="CV35" s="13">
        <f t="shared" si="41"/>
        <v>35.108080314687477</v>
      </c>
      <c r="CW35" s="20">
        <f t="shared" si="13"/>
        <v>295.96058121474732</v>
      </c>
      <c r="CX35" s="59">
        <f t="shared" si="14"/>
        <v>589.29391454808069</v>
      </c>
      <c r="CY35" s="59">
        <f ca="1">AVERAGE(OFFSET($CX$3,0,0,'Données projet'!$E$13+1,1))-AVERAGE(OFFSET($H$3,0,0,'Données projet'!$E$13+1,1))</f>
        <v>266.72672633301022</v>
      </c>
      <c r="CZ35" s="59">
        <f t="shared" si="42"/>
        <v>314.26991662544219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2.5944173138240885</v>
      </c>
      <c r="DG35" s="21">
        <f>EXP(-LN(2)/25)*DG34+(1-EXP(-LN(2)/25))/(LN(2)/25)*Calculateur!DB35*Calculateur!DD35*VLOOKUP('Données projet'!$B$13,Paramètres!$A$1:$I$89,3,0)*0.475*44/12</f>
        <v>16.058770891085693</v>
      </c>
      <c r="DH35" s="21">
        <f>EXP(-LN(2)/2)*DH34+(1-EXP(-LN(2)/2))/(LN(2)/2)*DB35*DE35*VLOOKUP('Données projet'!$B$13,Paramètres!$A$1:$I$89,3,0)*0.475*44/12</f>
        <v>12.255193932778225</v>
      </c>
      <c r="DI35" s="22">
        <f t="shared" si="15"/>
        <v>30.908382137688008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11.1</v>
      </c>
      <c r="DO35" s="12">
        <f>IF('Données projet'!$A$166&gt;35,DO34+DN35-DW34,IF(A35&lt;'Données projet'!$A$166,$DL$205^A35,IF(A35='Données projet'!$A$166,'Données projet'!$B$166,DO34+DN35-DW34)))</f>
        <v>204.19999999999993</v>
      </c>
      <c r="DP35" s="17">
        <f>DO35*VLOOKUP('Données projet'!$B$14,Paramètres!$A$1:$I$89,3,0)*VLOOKUP('Données projet'!$B$14,Paramètres!$A$1:$I$89,5,0)</f>
        <v>219.80087999999992</v>
      </c>
      <c r="DQ35" s="13">
        <f t="shared" si="43"/>
        <v>54.071605691929776</v>
      </c>
      <c r="DR35" s="20">
        <f t="shared" si="16"/>
        <v>476.99457924677745</v>
      </c>
      <c r="DS35" s="59">
        <f t="shared" si="17"/>
        <v>770.32791258011071</v>
      </c>
      <c r="DT35" s="59">
        <f ca="1">AVERAGE(OFFSET($DS$3,0,0,'Données projet'!$E$14+1,1))-AVERAGE(OFFSET($H$3,0,0,'Données projet'!$E$14+1,1))</f>
        <v>442.54137223086991</v>
      </c>
      <c r="DU35" s="59">
        <f t="shared" si="44"/>
        <v>454.23406186660714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1.9180156570056655</v>
      </c>
      <c r="EB35" s="21">
        <f>EXP(-LN(2)/25)*EB34+(1-EXP(-LN(2)/25))/(LN(2)/25)*Calculateur!DW35*Calculateur!DY35*VLOOKUP('Données projet'!$B$14,Paramètres!$A$1:$I$89,3,0)*0.475*44/12</f>
        <v>10.928476761170385</v>
      </c>
      <c r="EC35" s="21">
        <f>EXP(-LN(2)/2)*EC34+(1-EXP(-LN(2)/2))/(LN(2)/2)*DW35*DZ35*VLOOKUP('Données projet'!$B$14,Paramètres!$A$1:$I$89,3,0)*0.475*44/12</f>
        <v>9.0191139217242622</v>
      </c>
      <c r="ED35" s="22">
        <f t="shared" si="18"/>
        <v>21.865606339900314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17.666666666666668</v>
      </c>
      <c r="N36" s="13">
        <f>IF('Données projet'!$A$36&gt;35,N35+M36-V35,IF(A36&lt;'Données projet'!$A$36,$K$205^A36,IF(A36='Données projet'!$A$36,'Données projet'!$B$36,N35+M36-V35)))</f>
        <v>410.66666666666686</v>
      </c>
      <c r="O36" s="13">
        <f>N36*VLOOKUP('Données projet'!$B$9,Paramètres!$A$1:$I$89,3,0)*VLOOKUP('Données projet'!$B$9,Paramètres!$A$1:$I$89,5,0)</f>
        <v>245.57866666666678</v>
      </c>
      <c r="P36" s="13">
        <f t="shared" si="33"/>
        <v>59.638197899628842</v>
      </c>
      <c r="Q36" s="20">
        <f t="shared" si="53"/>
        <v>531.58603911963144</v>
      </c>
      <c r="R36" s="59">
        <f t="shared" si="0"/>
        <v>824.91937245296481</v>
      </c>
      <c r="S36" s="59">
        <f ca="1">AVERAGE(OFFSET($R$3,0,0,'Données projet'!$E$9+1,1))-AVERAGE(OFFSET($H$3,0,0,'Données projet'!$E$9+1,1))</f>
        <v>201.49055911472067</v>
      </c>
      <c r="T36" s="59">
        <f t="shared" si="34"/>
        <v>403.37692064114719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3.9736847080343987</v>
      </c>
      <c r="AA36" s="21">
        <f>EXP(-LN(2)/25)*AA35+(1-EXP(-LN(2)/25))/(LN(2)/25)*Calculateur!V36*Calculateur!X36*VLOOKUP('Données projet'!$B$9,Paramètres!$A$1:$I$89,3,0)*0.475*44/12</f>
        <v>11.865638164577261</v>
      </c>
      <c r="AB36" s="21">
        <f>EXP(-LN(2)/2)*AB35+(1-EXP(-LN(2)/2))/(LN(2)/2)*V36*Y36*VLOOKUP('Données projet'!$B$9,Paramètres!$A$1:$I$89,3,0)*0.475*44/12</f>
        <v>0.23648336350369609</v>
      </c>
      <c r="AC36" s="22">
        <f t="shared" si="3"/>
        <v>16.075806236115355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39.000000000000057</v>
      </c>
      <c r="AJ36" s="13">
        <f>AI36*VLOOKUP('Données projet'!$B$10,Paramètres!$A$1:$I$89,3,0)*VLOOKUP('Données projet'!$B$10,Paramètres!$A$1:$I$89,5,0)</f>
        <v>34.070400000000056</v>
      </c>
      <c r="AK36" s="13">
        <f t="shared" si="35"/>
        <v>10.412633617059328</v>
      </c>
      <c r="AL36" s="20">
        <f t="shared" si="4"/>
        <v>77.474616883045101</v>
      </c>
      <c r="AM36" s="59">
        <f t="shared" si="5"/>
        <v>370.8079502163784</v>
      </c>
      <c r="AN36" s="59">
        <f ca="1">AVERAGE(OFFSET($AM$3,0,0,'Données projet'!$E$10+1,1))-AVERAGE(OFFSET($H$3,0,0,'Données projet'!$E$10+1,1))</f>
        <v>260.53994021583316</v>
      </c>
      <c r="AO36" s="59">
        <f t="shared" si="36"/>
        <v>669.20238852709122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104.78660083800537</v>
      </c>
      <c r="AX36" s="21">
        <f t="shared" si="6"/>
        <v>104.78660083800537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8.1999999999999993</v>
      </c>
      <c r="BD36" s="12">
        <f>IF('Données projet'!$A$88&gt;35,BD35+BC36-BL35,IF(A36&lt;'Données projet'!$A$88,$BA$205^A36,IF(A36='Données projet'!$A$88,'Données projet'!$B$88,BD35+BC36-BL35)))</f>
        <v>100.59999999999998</v>
      </c>
      <c r="BE36" s="13">
        <f>BD36*VLOOKUP('Données projet'!$B$11,Paramètres!$A$1:$I$89,3,0)*VLOOKUP('Données projet'!$B$11,Paramètres!$A$1:$I$89,5,0)</f>
        <v>102.00839999999998</v>
      </c>
      <c r="BF36" s="13">
        <f t="shared" si="37"/>
        <v>27.43991600691951</v>
      </c>
      <c r="BG36" s="20">
        <f t="shared" si="7"/>
        <v>225.45581704538475</v>
      </c>
      <c r="BH36" s="59">
        <f t="shared" si="8"/>
        <v>518.78915037871809</v>
      </c>
      <c r="BI36" s="59">
        <f ca="1">AVERAGE(OFFSET($BH$3,0,0,'Données projet'!$E$11+1,1))-AVERAGE(OFFSET($H$3,0,0,'Données projet'!$E$11+1,1))</f>
        <v>279.20364724206644</v>
      </c>
      <c r="BJ36" s="59">
        <f t="shared" si="38"/>
        <v>173.99850582760712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3.2029825300935246</v>
      </c>
      <c r="BR36" s="21">
        <f>EXP(-LN(2)/2)*BR35+(1-EXP(-LN(2)/2))/(LN(2)/2)*BL36*BO36*VLOOKUP('Données projet'!$B$11,Paramètres!$A$1:$I$89,3,0)*0.475*44/12</f>
        <v>2.4523658580540402</v>
      </c>
      <c r="BS36" s="22">
        <f t="shared" si="9"/>
        <v>5.6553483881475648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100.59999999999998</v>
      </c>
      <c r="BZ36" s="13">
        <f>BY36*VLOOKUP('Données projet'!$B$12,Paramètres!$A$1:$I$89,3,0)*VLOOKUP('Données projet'!$B$12,Paramètres!$A$1:$I$89,5,0)</f>
        <v>114.56327999999999</v>
      </c>
      <c r="CA36" s="13">
        <f t="shared" si="39"/>
        <v>30.403572331095546</v>
      </c>
      <c r="CB36" s="20">
        <f t="shared" si="10"/>
        <v>252.48393447665805</v>
      </c>
      <c r="CC36" s="59">
        <f t="shared" si="11"/>
        <v>545.81726780999134</v>
      </c>
      <c r="CD36" s="59">
        <f ca="1">AVERAGE(OFFSET($CC$3,0,0,'Données projet'!$E$12+1,1))-AVERAGE(OFFSET($H$3,0,0,'Données projet'!$E$12+1,1))</f>
        <v>327.06866218660838</v>
      </c>
      <c r="CE36" s="59">
        <f t="shared" si="40"/>
        <v>202.18198935334908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3.5971957645665746</v>
      </c>
      <c r="CM36" s="21">
        <f>EXP(-LN(2)/2)*CM35+(1-EXP(-LN(2)/2))/(LN(2)/2)*CG36*CJ36*VLOOKUP('Données projet'!$B$12,Paramètres!$A$1:$I$89,3,0)*0.475*44/12</f>
        <v>2.7541955021222297</v>
      </c>
      <c r="CN36" s="22">
        <f t="shared" si="12"/>
        <v>6.3513912666888039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12.1</v>
      </c>
      <c r="CT36" s="12">
        <f>IF('Données projet'!$A$140&gt;35,CT35+CS36-DB35,IF(A36&lt;'Données projet'!$A$140,$CQ$205^A36,IF(A36='Données projet'!$A$140,'Données projet'!$B$140,CT35+CS36-DB35)))</f>
        <v>178.29999999999998</v>
      </c>
      <c r="CU36" s="17">
        <f>CT36*VLOOKUP('Données projet'!$B$13,Paramètres!$A$1:$I$89,3,0)*VLOOKUP('Données projet'!$B$13,Paramètres!$A$1:$I$89,5,0)</f>
        <v>144.63695999999999</v>
      </c>
      <c r="CV36" s="13">
        <f t="shared" si="41"/>
        <v>37.357245051137198</v>
      </c>
      <c r="CW36" s="20">
        <f t="shared" si="13"/>
        <v>316.97324046406396</v>
      </c>
      <c r="CX36" s="59">
        <f t="shared" si="14"/>
        <v>610.30657379739728</v>
      </c>
      <c r="CY36" s="59">
        <f ca="1">AVERAGE(OFFSET($CX$3,0,0,'Données projet'!$E$13+1,1))-AVERAGE(OFFSET($H$3,0,0,'Données projet'!$E$13+1,1))</f>
        <v>266.72672633301022</v>
      </c>
      <c r="CZ36" s="59">
        <f t="shared" si="42"/>
        <v>314.26991662544219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2.5435423727383069</v>
      </c>
      <c r="DG36" s="21">
        <f>EXP(-LN(2)/25)*DG35+(1-EXP(-LN(2)/25))/(LN(2)/25)*Calculateur!DB36*Calculateur!DD36*VLOOKUP('Données projet'!$B$13,Paramètres!$A$1:$I$89,3,0)*0.475*44/12</f>
        <v>15.619642956574896</v>
      </c>
      <c r="DH36" s="21">
        <f>EXP(-LN(2)/2)*DH35+(1-EXP(-LN(2)/2))/(LN(2)/2)*DB36*DE36*VLOOKUP('Données projet'!$B$13,Paramètres!$A$1:$I$89,3,0)*0.475*44/12</f>
        <v>8.6657307346237182</v>
      </c>
      <c r="DI36" s="22">
        <f t="shared" si="15"/>
        <v>26.828916063936923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11.1</v>
      </c>
      <c r="DO36" s="12">
        <f>IF('Données projet'!$A$166&gt;35,DO35+DN36-DW35,IF(A36&lt;'Données projet'!$A$166,$DL$205^A36,IF(A36='Données projet'!$A$166,'Données projet'!$B$166,DO35+DN36-DW35)))</f>
        <v>215.29999999999993</v>
      </c>
      <c r="DP36" s="17">
        <f>DO36*VLOOKUP('Données projet'!$B$14,Paramètres!$A$1:$I$89,3,0)*VLOOKUP('Données projet'!$B$14,Paramètres!$A$1:$I$89,5,0)</f>
        <v>231.74891999999991</v>
      </c>
      <c r="DQ36" s="13">
        <f t="shared" si="43"/>
        <v>56.660672041951486</v>
      </c>
      <c r="DR36" s="20">
        <f t="shared" si="16"/>
        <v>502.3133728063986</v>
      </c>
      <c r="DS36" s="59">
        <f t="shared" si="17"/>
        <v>795.64670613973192</v>
      </c>
      <c r="DT36" s="59">
        <f ca="1">AVERAGE(OFFSET($DS$3,0,0,'Données projet'!$E$14+1,1))-AVERAGE(OFFSET($H$3,0,0,'Données projet'!$E$14+1,1))</f>
        <v>442.54137223086991</v>
      </c>
      <c r="DU36" s="59">
        <f t="shared" si="44"/>
        <v>454.23406186660714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1.8804045398458196</v>
      </c>
      <c r="EB36" s="21">
        <f>EXP(-LN(2)/25)*EB35+(1-EXP(-LN(2)/25))/(LN(2)/25)*Calculateur!DW36*Calculateur!DY36*VLOOKUP('Données projet'!$B$14,Paramètres!$A$1:$I$89,3,0)*0.475*44/12</f>
        <v>10.629636989432566</v>
      </c>
      <c r="EC36" s="21">
        <f>EXP(-LN(2)/2)*EC35+(1-EXP(-LN(2)/2))/(LN(2)/2)*DW36*DZ36*VLOOKUP('Données projet'!$B$14,Paramètres!$A$1:$I$89,3,0)*0.475*44/12</f>
        <v>6.3774766143452224</v>
      </c>
      <c r="ED36" s="22">
        <f t="shared" si="18"/>
        <v>18.887518143623609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17.666666666666668</v>
      </c>
      <c r="N37" s="13">
        <f>IF('Données projet'!$A$36&gt;35,N36+M37-V36,IF(A37&lt;'Données projet'!$A$36,$K$205^A37,IF(A37='Données projet'!$A$36,'Données projet'!$B$36,N36+M37-V36)))</f>
        <v>428.33333333333354</v>
      </c>
      <c r="O37" s="13">
        <f>N37*VLOOKUP('Données projet'!$B$9,Paramètres!$A$1:$I$89,3,0)*VLOOKUP('Données projet'!$B$9,Paramètres!$A$1:$I$89,5,0)</f>
        <v>256.14333333333349</v>
      </c>
      <c r="P37" s="13">
        <f t="shared" si="33"/>
        <v>61.899578819265216</v>
      </c>
      <c r="Q37" s="20">
        <f t="shared" si="53"/>
        <v>553.92473866577609</v>
      </c>
      <c r="R37" s="59">
        <f t="shared" si="0"/>
        <v>847.25807199910946</v>
      </c>
      <c r="S37" s="59">
        <f ca="1">AVERAGE(OFFSET($R$3,0,0,'Données projet'!$E$9+1,1))-AVERAGE(OFFSET($H$3,0,0,'Données projet'!$E$9+1,1))</f>
        <v>201.49055911472067</v>
      </c>
      <c r="T37" s="59">
        <f t="shared" si="34"/>
        <v>403.37692064114719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3.8957631746181947</v>
      </c>
      <c r="AA37" s="21">
        <f>EXP(-LN(2)/25)*AA36+(1-EXP(-LN(2)/25))/(LN(2)/25)*Calculateur!V37*Calculateur!X37*VLOOKUP('Données projet'!$B$9,Paramètres!$A$1:$I$89,3,0)*0.475*44/12</f>
        <v>11.541171664980103</v>
      </c>
      <c r="AB37" s="21">
        <f>EXP(-LN(2)/2)*AB36+(1-EXP(-LN(2)/2))/(LN(2)/2)*V37*Y37*VLOOKUP('Données projet'!$B$9,Paramètres!$A$1:$I$89,3,0)*0.475*44/12</f>
        <v>0.16721898997126683</v>
      </c>
      <c r="AC37" s="22">
        <f t="shared" si="3"/>
        <v>15.604153829569565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39.000000000000057</v>
      </c>
      <c r="AJ37" s="13">
        <f>AI37*VLOOKUP('Données projet'!$B$10,Paramètres!$A$1:$I$89,3,0)*VLOOKUP('Données projet'!$B$10,Paramètres!$A$1:$I$89,5,0)</f>
        <v>34.070400000000056</v>
      </c>
      <c r="AK37" s="13">
        <f t="shared" si="35"/>
        <v>10.412633617059328</v>
      </c>
      <c r="AL37" s="20">
        <f t="shared" si="4"/>
        <v>77.474616883045101</v>
      </c>
      <c r="AM37" s="59">
        <f t="shared" si="5"/>
        <v>370.8079502163784</v>
      </c>
      <c r="AN37" s="59">
        <f ca="1">AVERAGE(OFFSET($AM$3,0,0,'Données projet'!$E$10+1,1))-AVERAGE(OFFSET($H$3,0,0,'Données projet'!$E$10+1,1))</f>
        <v>260.53994021583316</v>
      </c>
      <c r="AO37" s="59">
        <f t="shared" si="36"/>
        <v>669.20238852709122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74.095316030041559</v>
      </c>
      <c r="AX37" s="21">
        <f t="shared" si="6"/>
        <v>74.095316030041559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8.1999999999999993</v>
      </c>
      <c r="BD37" s="12">
        <f>IF('Données projet'!$A$88&gt;35,BD36+BC37-BL36,IF(A37&lt;'Données projet'!$A$88,$BA$205^A37,IF(A37='Données projet'!$A$88,'Données projet'!$B$88,BD36+BC37-BL36)))</f>
        <v>108.79999999999998</v>
      </c>
      <c r="BE37" s="13">
        <f>BD37*VLOOKUP('Données projet'!$B$11,Paramètres!$A$1:$I$89,3,0)*VLOOKUP('Données projet'!$B$11,Paramètres!$A$1:$I$89,5,0)</f>
        <v>110.32319999999999</v>
      </c>
      <c r="BF37" s="13">
        <f t="shared" si="37"/>
        <v>29.407120006092025</v>
      </c>
      <c r="BG37" s="20">
        <f t="shared" si="7"/>
        <v>243.36364067727686</v>
      </c>
      <c r="BH37" s="59">
        <f t="shared" si="8"/>
        <v>536.69697401061012</v>
      </c>
      <c r="BI37" s="59">
        <f ca="1">AVERAGE(OFFSET($BH$3,0,0,'Données projet'!$E$11+1,1))-AVERAGE(OFFSET($H$3,0,0,'Données projet'!$E$11+1,1))</f>
        <v>279.20364724206644</v>
      </c>
      <c r="BJ37" s="59">
        <f t="shared" si="38"/>
        <v>173.99850582760712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3.1153968043705866</v>
      </c>
      <c r="BR37" s="21">
        <f>EXP(-LN(2)/2)*BR36+(1-EXP(-LN(2)/2))/(LN(2)/2)*BL37*BO37*VLOOKUP('Données projet'!$B$11,Paramètres!$A$1:$I$89,3,0)*0.475*44/12</f>
        <v>1.7340845281803781</v>
      </c>
      <c r="BS37" s="22">
        <f t="shared" si="9"/>
        <v>4.8494813325509645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108.79999999999998</v>
      </c>
      <c r="BZ37" s="13">
        <f>BY37*VLOOKUP('Données projet'!$B$12,Paramètres!$A$1:$I$89,3,0)*VLOOKUP('Données projet'!$B$12,Paramètres!$A$1:$I$89,5,0)</f>
        <v>123.90143999999999</v>
      </c>
      <c r="CA37" s="13">
        <f t="shared" si="39"/>
        <v>32.583244785769935</v>
      </c>
      <c r="CB37" s="20">
        <f t="shared" si="10"/>
        <v>272.54415933521597</v>
      </c>
      <c r="CC37" s="59">
        <f t="shared" si="11"/>
        <v>565.87749266854928</v>
      </c>
      <c r="CD37" s="59">
        <f ca="1">AVERAGE(OFFSET($CC$3,0,0,'Données projet'!$E$12+1,1))-AVERAGE(OFFSET($H$3,0,0,'Données projet'!$E$12+1,1))</f>
        <v>327.06866218660838</v>
      </c>
      <c r="CE37" s="59">
        <f t="shared" si="40"/>
        <v>202.18198935334908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3.498830257216198</v>
      </c>
      <c r="CM37" s="21">
        <f>EXP(-LN(2)/2)*CM36+(1-EXP(-LN(2)/2))/(LN(2)/2)*CG37*CJ37*VLOOKUP('Données projet'!$B$12,Paramètres!$A$1:$I$89,3,0)*0.475*44/12</f>
        <v>1.947510316264117</v>
      </c>
      <c r="CN37" s="22">
        <f t="shared" si="12"/>
        <v>5.446340573480315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12.1</v>
      </c>
      <c r="CT37" s="12">
        <f>IF('Données projet'!$A$140&gt;35,CT36+CS37-DB36,IF(A37&lt;'Données projet'!$A$140,$CQ$205^A37,IF(A37='Données projet'!$A$140,'Données projet'!$B$140,CT36+CS37-DB36)))</f>
        <v>190.39999999999998</v>
      </c>
      <c r="CU37" s="17">
        <f>CT37*VLOOKUP('Données projet'!$B$13,Paramètres!$A$1:$I$89,3,0)*VLOOKUP('Données projet'!$B$13,Paramètres!$A$1:$I$89,5,0)</f>
        <v>154.45248000000001</v>
      </c>
      <c r="CV37" s="13">
        <f t="shared" si="41"/>
        <v>39.588698668907178</v>
      </c>
      <c r="CW37" s="20">
        <f t="shared" si="13"/>
        <v>337.95505284834667</v>
      </c>
      <c r="CX37" s="59">
        <f t="shared" si="14"/>
        <v>631.28838618167993</v>
      </c>
      <c r="CY37" s="59">
        <f ca="1">AVERAGE(OFFSET($CX$3,0,0,'Données projet'!$E$13+1,1))-AVERAGE(OFFSET($H$3,0,0,'Données projet'!$E$13+1,1))</f>
        <v>266.72672633301022</v>
      </c>
      <c r="CZ37" s="59">
        <f t="shared" si="42"/>
        <v>314.26991662544219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2.4936650582165671</v>
      </c>
      <c r="DG37" s="21">
        <f>EXP(-LN(2)/25)*DG36+(1-EXP(-LN(2)/25))/(LN(2)/25)*Calculateur!DB37*Calculateur!DD37*VLOOKUP('Données projet'!$B$13,Paramètres!$A$1:$I$89,3,0)*0.475*44/12</f>
        <v>15.192522998526032</v>
      </c>
      <c r="DH37" s="21">
        <f>EXP(-LN(2)/2)*DH36+(1-EXP(-LN(2)/2))/(LN(2)/2)*DB37*DE37*VLOOKUP('Données projet'!$B$13,Paramètres!$A$1:$I$89,3,0)*0.475*44/12</f>
        <v>6.1275969663891141</v>
      </c>
      <c r="DI37" s="22">
        <f t="shared" si="15"/>
        <v>23.813785023131711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11.1</v>
      </c>
      <c r="DO37" s="12">
        <f>IF('Données projet'!$A$166&gt;35,DO36+DN37-DW36,IF(A37&lt;'Données projet'!$A$166,$DL$205^A37,IF(A37='Données projet'!$A$166,'Données projet'!$B$166,DO36+DN37-DW36)))</f>
        <v>226.39999999999992</v>
      </c>
      <c r="DP37" s="17">
        <f>DO37*VLOOKUP('Données projet'!$B$14,Paramètres!$A$1:$I$89,3,0)*VLOOKUP('Données projet'!$B$14,Paramètres!$A$1:$I$89,5,0)</f>
        <v>243.69695999999988</v>
      </c>
      <c r="DQ37" s="13">
        <f t="shared" si="43"/>
        <v>59.234240387034959</v>
      </c>
      <c r="DR37" s="20">
        <f t="shared" si="16"/>
        <v>527.60517400741901</v>
      </c>
      <c r="DS37" s="59">
        <f t="shared" si="17"/>
        <v>820.93850734075227</v>
      </c>
      <c r="DT37" s="59">
        <f ca="1">AVERAGE(OFFSET($DS$3,0,0,'Données projet'!$E$14+1,1))-AVERAGE(OFFSET($H$3,0,0,'Données projet'!$E$14+1,1))</f>
        <v>442.54137223086991</v>
      </c>
      <c r="DU37" s="59">
        <f t="shared" si="44"/>
        <v>454.23406186660714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1.8435309537529621</v>
      </c>
      <c r="EB37" s="21">
        <f>EXP(-LN(2)/25)*EB36+(1-EXP(-LN(2)/25))/(LN(2)/25)*Calculateur!DW37*Calculateur!DY37*VLOOKUP('Données projet'!$B$14,Paramètres!$A$1:$I$89,3,0)*0.475*44/12</f>
        <v>10.338969006968217</v>
      </c>
      <c r="EC37" s="21">
        <f>EXP(-LN(2)/2)*EC36+(1-EXP(-LN(2)/2))/(LN(2)/2)*DW37*DZ37*VLOOKUP('Données projet'!$B$14,Paramètres!$A$1:$I$89,3,0)*0.475*44/12</f>
        <v>4.5095569608621311</v>
      </c>
      <c r="ED37" s="22">
        <f t="shared" si="18"/>
        <v>16.692056921583308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446</v>
      </c>
      <c r="L38" s="12">
        <f>VLOOKUP(A38,'Données projet'!$A$35:$I$55,9,0)</f>
        <v>17.666666666666668</v>
      </c>
      <c r="M38" s="12">
        <f t="array" ref="M38">INDEX(L:L,MIN(IF(ISNUMBER(L38:L234),ROW(L38:L234),"")))</f>
        <v>17.666666666666668</v>
      </c>
      <c r="N38" s="13">
        <f>IF('Données projet'!$A$36&gt;35,N37+M38-V37,IF(A38&lt;'Données projet'!$A$36,$K$205^A38,IF(A38='Données projet'!$A$36,'Données projet'!$B$36,N37+M38-V37)))</f>
        <v>446.00000000000023</v>
      </c>
      <c r="O38" s="13">
        <f>N38*VLOOKUP('Données projet'!$B$9,Paramètres!$A$1:$I$89,3,0)*VLOOKUP('Données projet'!$B$9,Paramètres!$A$1:$I$89,5,0)</f>
        <v>266.70800000000014</v>
      </c>
      <c r="P38" s="13">
        <f t="shared" si="33"/>
        <v>64.150125774245637</v>
      </c>
      <c r="Q38" s="20">
        <f t="shared" si="53"/>
        <v>576.24456905681143</v>
      </c>
      <c r="R38" s="59">
        <f t="shared" si="0"/>
        <v>869.5779023901448</v>
      </c>
      <c r="S38" s="59">
        <f ca="1">AVERAGE(OFFSET($R$3,0,0,'Données projet'!$E$9+1,1))-AVERAGE(OFFSET($H$3,0,0,'Données projet'!$E$9+1,1))</f>
        <v>201.49055911472067</v>
      </c>
      <c r="T38" s="59">
        <f t="shared" si="34"/>
        <v>403.37692064114719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446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67.504333135591253</v>
      </c>
      <c r="AA38" s="21">
        <f>EXP(-LN(2)/25)*AA37+(1-EXP(-LN(2)/25))/(LN(2)/25)*Calculateur!V38*Calculateur!X38*VLOOKUP('Données projet'!$B$9,Paramètres!$A$1:$I$89,3,0)*0.475*44/12</f>
        <v>58.801236368980526</v>
      </c>
      <c r="AB38" s="21">
        <f>EXP(-LN(2)/2)*AB37+(1-EXP(-LN(2)/2))/(LN(2)/2)*V38*Y38*VLOOKUP('Données projet'!$B$9,Paramètres!$A$1:$I$89,3,0)*0.475*44/12</f>
        <v>90.710865164358452</v>
      </c>
      <c r="AC38" s="22">
        <f t="shared" si="3"/>
        <v>217.01643466893023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39.000000000000057</v>
      </c>
      <c r="AJ38" s="13">
        <f>AI38*VLOOKUP('Données projet'!$B$10,Paramètres!$A$1:$I$89,3,0)*VLOOKUP('Données projet'!$B$10,Paramètres!$A$1:$I$89,5,0)</f>
        <v>34.070400000000056</v>
      </c>
      <c r="AK38" s="13">
        <f t="shared" si="35"/>
        <v>10.412633617059328</v>
      </c>
      <c r="AL38" s="20">
        <f t="shared" si="4"/>
        <v>77.474616883045101</v>
      </c>
      <c r="AM38" s="59">
        <f t="shared" si="5"/>
        <v>370.8079502163784</v>
      </c>
      <c r="AN38" s="59">
        <f ca="1">AVERAGE(OFFSET($AM$3,0,0,'Données projet'!$E$10+1,1))-AVERAGE(OFFSET($H$3,0,0,'Données projet'!$E$10+1,1))</f>
        <v>260.53994021583316</v>
      </c>
      <c r="AO38" s="59">
        <f t="shared" si="36"/>
        <v>669.20238852709122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52.393300419002685</v>
      </c>
      <c r="AX38" s="21">
        <f t="shared" si="6"/>
        <v>52.393300419002685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8.1999999999999993</v>
      </c>
      <c r="BD38" s="12">
        <f>IF('Données projet'!$A$88&gt;35,BD37+BC38-BL37,IF(A38&lt;'Données projet'!$A$88,$BA$205^A38,IF(A38='Données projet'!$A$88,'Données projet'!$B$88,BD37+BC38-BL37)))</f>
        <v>116.99999999999999</v>
      </c>
      <c r="BE38" s="13">
        <f>BD38*VLOOKUP('Données projet'!$B$11,Paramètres!$A$1:$I$89,3,0)*VLOOKUP('Données projet'!$B$11,Paramètres!$A$1:$I$89,5,0)</f>
        <v>118.63800000000001</v>
      </c>
      <c r="BF38" s="13">
        <f t="shared" si="37"/>
        <v>31.357124429643687</v>
      </c>
      <c r="BG38" s="20">
        <f t="shared" si="7"/>
        <v>261.24150838162944</v>
      </c>
      <c r="BH38" s="59">
        <f t="shared" si="8"/>
        <v>554.57484171496276</v>
      </c>
      <c r="BI38" s="59">
        <f ca="1">AVERAGE(OFFSET($BH$3,0,0,'Données projet'!$E$11+1,1))-AVERAGE(OFFSET($H$3,0,0,'Données projet'!$E$11+1,1))</f>
        <v>279.20364724206644</v>
      </c>
      <c r="BJ38" s="59">
        <f t="shared" si="38"/>
        <v>173.99850582760712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3.0302061149234754</v>
      </c>
      <c r="BR38" s="21">
        <f>EXP(-LN(2)/2)*BR37+(1-EXP(-LN(2)/2))/(LN(2)/2)*BL38*BO38*VLOOKUP('Données projet'!$B$11,Paramètres!$A$1:$I$89,3,0)*0.475*44/12</f>
        <v>1.2261829290270201</v>
      </c>
      <c r="BS38" s="22">
        <f t="shared" si="9"/>
        <v>4.2563890439504952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116.99999999999999</v>
      </c>
      <c r="BZ38" s="13">
        <f>BY38*VLOOKUP('Données projet'!$B$12,Paramètres!$A$1:$I$89,3,0)*VLOOKUP('Données projet'!$B$12,Paramètres!$A$1:$I$89,5,0)</f>
        <v>133.23959999999997</v>
      </c>
      <c r="CA38" s="13">
        <f t="shared" si="39"/>
        <v>34.743860019521328</v>
      </c>
      <c r="CB38" s="20">
        <f t="shared" si="10"/>
        <v>292.57119286733285</v>
      </c>
      <c r="CC38" s="59">
        <f t="shared" si="11"/>
        <v>585.90452620066617</v>
      </c>
      <c r="CD38" s="59">
        <f ca="1">AVERAGE(OFFSET($CC$3,0,0,'Données projet'!$E$12+1,1))-AVERAGE(OFFSET($H$3,0,0,'Données projet'!$E$12+1,1))</f>
        <v>327.06866218660838</v>
      </c>
      <c r="CE38" s="59">
        <f t="shared" si="40"/>
        <v>202.18198935334908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3.4031545598371347</v>
      </c>
      <c r="CM38" s="21">
        <f>EXP(-LN(2)/2)*CM37+(1-EXP(-LN(2)/2))/(LN(2)/2)*CG38*CJ38*VLOOKUP('Données projet'!$B$12,Paramètres!$A$1:$I$89,3,0)*0.475*44/12</f>
        <v>1.3770977510611151</v>
      </c>
      <c r="CN38" s="22">
        <f t="shared" si="12"/>
        <v>4.7802523108982502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12.1</v>
      </c>
      <c r="CT38" s="12">
        <f>IF('Données projet'!$A$140&gt;35,CT37+CS38-DB37,IF(A38&lt;'Données projet'!$A$140,$CQ$205^A38,IF(A38='Données projet'!$A$140,'Données projet'!$B$140,CT37+CS38-DB37)))</f>
        <v>202.49999999999997</v>
      </c>
      <c r="CU38" s="17">
        <f>CT38*VLOOKUP('Données projet'!$B$13,Paramètres!$A$1:$I$89,3,0)*VLOOKUP('Données projet'!$B$13,Paramètres!$A$1:$I$89,5,0)</f>
        <v>164.26799999999997</v>
      </c>
      <c r="CV38" s="13">
        <f t="shared" si="41"/>
        <v>41.803694835525619</v>
      </c>
      <c r="CW38" s="20">
        <f t="shared" si="13"/>
        <v>358.90820183854038</v>
      </c>
      <c r="CX38" s="59">
        <f t="shared" si="14"/>
        <v>652.24153517187369</v>
      </c>
      <c r="CY38" s="59">
        <f ca="1">AVERAGE(OFFSET($CX$3,0,0,'Données projet'!$E$13+1,1))-AVERAGE(OFFSET($H$3,0,0,'Données projet'!$E$13+1,1))</f>
        <v>266.72672633301022</v>
      </c>
      <c r="CZ38" s="59">
        <f t="shared" si="42"/>
        <v>314.26991662544219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2.444765807410441</v>
      </c>
      <c r="DG38" s="21">
        <f>EXP(-LN(2)/25)*DG37+(1-EXP(-LN(2)/25))/(LN(2)/25)*Calculateur!DB38*Calculateur!DD38*VLOOKUP('Données projet'!$B$13,Paramètres!$A$1:$I$89,3,0)*0.475*44/12</f>
        <v>14.777082658191276</v>
      </c>
      <c r="DH38" s="21">
        <f>EXP(-LN(2)/2)*DH37+(1-EXP(-LN(2)/2))/(LN(2)/2)*DB38*DE38*VLOOKUP('Données projet'!$B$13,Paramètres!$A$1:$I$89,3,0)*0.475*44/12</f>
        <v>4.33286536731186</v>
      </c>
      <c r="DI38" s="22">
        <f t="shared" si="15"/>
        <v>21.554713832913578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11.1</v>
      </c>
      <c r="DO38" s="12">
        <f>IF('Données projet'!$A$166&gt;35,DO37+DN38-DW37,IF(A38&lt;'Données projet'!$A$166,$DL$205^A38,IF(A38='Données projet'!$A$166,'Données projet'!$B$166,DO37+DN38-DW37)))</f>
        <v>237.49999999999991</v>
      </c>
      <c r="DP38" s="17">
        <f>DO38*VLOOKUP('Données projet'!$B$14,Paramètres!$A$1:$I$89,3,0)*VLOOKUP('Données projet'!$B$14,Paramètres!$A$1:$I$89,5,0)</f>
        <v>255.64499999999987</v>
      </c>
      <c r="DQ38" s="13">
        <f t="shared" si="43"/>
        <v>61.793157291319169</v>
      </c>
      <c r="DR38" s="20">
        <f t="shared" si="16"/>
        <v>552.87145728238067</v>
      </c>
      <c r="DS38" s="59">
        <f t="shared" si="17"/>
        <v>846.20479061571405</v>
      </c>
      <c r="DT38" s="59">
        <f ca="1">AVERAGE(OFFSET($DS$3,0,0,'Données projet'!$E$14+1,1))-AVERAGE(OFFSET($H$3,0,0,'Données projet'!$E$14+1,1))</f>
        <v>442.54137223086991</v>
      </c>
      <c r="DU38" s="59">
        <f t="shared" si="44"/>
        <v>454.23406186660714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1.8073804361927188</v>
      </c>
      <c r="EB38" s="21">
        <f>EXP(-LN(2)/25)*EB37+(1-EXP(-LN(2)/25))/(LN(2)/25)*Calculateur!DW38*Calculateur!DY38*VLOOKUP('Données projet'!$B$14,Paramètres!$A$1:$I$89,3,0)*0.475*44/12</f>
        <v>10.056249355769921</v>
      </c>
      <c r="EC38" s="21">
        <f>EXP(-LN(2)/2)*EC37+(1-EXP(-LN(2)/2))/(LN(2)/2)*DW38*DZ38*VLOOKUP('Données projet'!$B$14,Paramètres!$A$1:$I$89,3,0)*0.475*44/12</f>
        <v>3.1887383071726112</v>
      </c>
      <c r="ED38" s="22">
        <f t="shared" si="18"/>
        <v>15.052368099135252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2.2737367544323206E-13</v>
      </c>
      <c r="O39" s="13">
        <f>N39*VLOOKUP('Données projet'!$B$9,Paramètres!$A$1:$I$89,3,0)*VLOOKUP('Données projet'!$B$9,Paramètres!$A$1:$I$89,5,0)</f>
        <v>1.3596945791505279E-13</v>
      </c>
      <c r="P39" s="13">
        <f t="shared" si="33"/>
        <v>1.9708830566360721E-12</v>
      </c>
      <c r="Q39" s="20">
        <f t="shared" si="53"/>
        <v>3.669434796176543E-12</v>
      </c>
      <c r="R39" s="59">
        <f t="shared" si="0"/>
        <v>293.33333333333701</v>
      </c>
      <c r="S39" s="59">
        <f ca="1">AVERAGE(OFFSET($R$3,0,0,'Données projet'!$E$9+1,1))-AVERAGE(OFFSET($H$3,0,0,'Données projet'!$E$9+1,1))</f>
        <v>201.49055911472067</v>
      </c>
      <c r="T39" s="59">
        <f t="shared" si="34"/>
        <v>403.37692064114719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66.180614336379975</v>
      </c>
      <c r="AA39" s="21">
        <f>EXP(-LN(2)/25)*AA38+(1-EXP(-LN(2)/25))/(LN(2)/25)*Calculateur!V39*Calculateur!X39*VLOOKUP('Données projet'!$B$9,Paramètres!$A$1:$I$89,3,0)*0.475*44/12</f>
        <v>57.193313468248121</v>
      </c>
      <c r="AB39" s="21">
        <f>EXP(-LN(2)/2)*AB38+(1-EXP(-LN(2)/2))/(LN(2)/2)*V39*Y39*VLOOKUP('Données projet'!$B$9,Paramètres!$A$1:$I$89,3,0)*0.475*44/12</f>
        <v>64.142267885016437</v>
      </c>
      <c r="AC39" s="22">
        <f t="shared" si="3"/>
        <v>187.51619568964452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39.000000000000057</v>
      </c>
      <c r="AJ39" s="13">
        <f>AI39*VLOOKUP('Données projet'!$B$10,Paramètres!$A$1:$I$89,3,0)*VLOOKUP('Données projet'!$B$10,Paramètres!$A$1:$I$89,5,0)</f>
        <v>34.070400000000056</v>
      </c>
      <c r="AK39" s="13">
        <f t="shared" si="35"/>
        <v>10.412633617059328</v>
      </c>
      <c r="AL39" s="20">
        <f t="shared" si="4"/>
        <v>77.474616883045101</v>
      </c>
      <c r="AM39" s="59">
        <f t="shared" si="5"/>
        <v>370.8079502163784</v>
      </c>
      <c r="AN39" s="59">
        <f ca="1">AVERAGE(OFFSET($AM$3,0,0,'Données projet'!$E$10+1,1))-AVERAGE(OFFSET($H$3,0,0,'Données projet'!$E$10+1,1))</f>
        <v>260.53994021583316</v>
      </c>
      <c r="AO39" s="59">
        <f t="shared" si="36"/>
        <v>669.20238852709122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37.047658015020779</v>
      </c>
      <c r="AX39" s="21">
        <f t="shared" si="6"/>
        <v>37.047658015020779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8.1999999999999993</v>
      </c>
      <c r="BD39" s="12">
        <f>IF('Données projet'!$A$88&gt;35,BD38+BC39-BL38,IF(A39&lt;'Données projet'!$A$88,$BA$205^A39,IF(A39='Données projet'!$A$88,'Données projet'!$B$88,BD38+BC39-BL38)))</f>
        <v>125.19999999999999</v>
      </c>
      <c r="BE39" s="13">
        <f>BD39*VLOOKUP('Données projet'!$B$11,Paramètres!$A$1:$I$89,3,0)*VLOOKUP('Données projet'!$B$11,Paramètres!$A$1:$I$89,5,0)</f>
        <v>126.9528</v>
      </c>
      <c r="BF39" s="13">
        <f t="shared" si="37"/>
        <v>33.291271832047542</v>
      </c>
      <c r="BG39" s="20">
        <f t="shared" si="7"/>
        <v>279.09175844081614</v>
      </c>
      <c r="BH39" s="59">
        <f t="shared" si="8"/>
        <v>572.42509177414945</v>
      </c>
      <c r="BI39" s="59">
        <f ca="1">AVERAGE(OFFSET($BH$3,0,0,'Données projet'!$E$11+1,1))-AVERAGE(OFFSET($H$3,0,0,'Données projet'!$E$11+1,1))</f>
        <v>279.20364724206644</v>
      </c>
      <c r="BJ39" s="59">
        <f t="shared" si="38"/>
        <v>173.99850582760712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2.9473449693592788</v>
      </c>
      <c r="BR39" s="21">
        <f>EXP(-LN(2)/2)*BR38+(1-EXP(-LN(2)/2))/(LN(2)/2)*BL39*BO39*VLOOKUP('Données projet'!$B$11,Paramètres!$A$1:$I$89,3,0)*0.475*44/12</f>
        <v>0.86704226409018903</v>
      </c>
      <c r="BS39" s="22">
        <f t="shared" si="9"/>
        <v>3.8143872334494677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8.1999999999999993</v>
      </c>
      <c r="BY39" s="12">
        <f>IF('Données projet'!$A$114&gt;35,BY38+BX39-CG38,IF(A39&lt;'Données projet'!$A$114,$BV$205^A39,IF(A39='Données projet'!$A$114,'Données projet'!$B$114,BY38+BX39-CG38)))</f>
        <v>125.19999999999999</v>
      </c>
      <c r="BZ39" s="13">
        <f>BY39*VLOOKUP('Données projet'!$B$12,Paramètres!$A$1:$I$89,3,0)*VLOOKUP('Données projet'!$B$12,Paramètres!$A$1:$I$89,5,0)</f>
        <v>142.57775999999998</v>
      </c>
      <c r="CA39" s="13">
        <f t="shared" si="39"/>
        <v>36.886905589819591</v>
      </c>
      <c r="CB39" s="20">
        <f t="shared" si="10"/>
        <v>312.56762590226907</v>
      </c>
      <c r="CC39" s="59">
        <f t="shared" si="11"/>
        <v>605.90095923560239</v>
      </c>
      <c r="CD39" s="59">
        <f ca="1">AVERAGE(OFFSET($CC$3,0,0,'Données projet'!$E$12+1,1))-AVERAGE(OFFSET($H$3,0,0,'Données projet'!$E$12+1,1))</f>
        <v>327.06866218660838</v>
      </c>
      <c r="CE39" s="59">
        <f t="shared" si="40"/>
        <v>202.18198935334908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3.3100951194342678</v>
      </c>
      <c r="CM39" s="21">
        <f>EXP(-LN(2)/2)*CM38+(1-EXP(-LN(2)/2))/(LN(2)/2)*CG39*CJ39*VLOOKUP('Données projet'!$B$12,Paramètres!$A$1:$I$89,3,0)*0.475*44/12</f>
        <v>0.97375515813205871</v>
      </c>
      <c r="CN39" s="22">
        <f t="shared" si="12"/>
        <v>4.2838502775663265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12.1</v>
      </c>
      <c r="CT39" s="12">
        <f>IF('Données projet'!$A$140&gt;35,CT38+CS39-DB38,IF(A39&lt;'Données projet'!$A$140,$CQ$205^A39,IF(A39='Données projet'!$A$140,'Données projet'!$B$140,CT38+CS39-DB38)))</f>
        <v>214.59999999999997</v>
      </c>
      <c r="CU39" s="17">
        <f>CT39*VLOOKUP('Données projet'!$B$13,Paramètres!$A$1:$I$89,3,0)*VLOOKUP('Données projet'!$B$13,Paramètres!$A$1:$I$89,5,0)</f>
        <v>174.08351999999999</v>
      </c>
      <c r="CV39" s="13">
        <f t="shared" si="41"/>
        <v>44.003328933142832</v>
      </c>
      <c r="CW39" s="20">
        <f t="shared" si="13"/>
        <v>379.83459522522372</v>
      </c>
      <c r="CX39" s="59">
        <f t="shared" si="14"/>
        <v>673.16792855855704</v>
      </c>
      <c r="CY39" s="59">
        <f ca="1">AVERAGE(OFFSET($CX$3,0,0,'Données projet'!$E$13+1,1))-AVERAGE(OFFSET($H$3,0,0,'Données projet'!$E$13+1,1))</f>
        <v>266.72672633301022</v>
      </c>
      <c r="CZ39" s="59">
        <f t="shared" si="42"/>
        <v>314.26991662544219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2.3968254410870249</v>
      </c>
      <c r="DG39" s="21">
        <f>EXP(-LN(2)/25)*DG38+(1-EXP(-LN(2)/25))/(LN(2)/25)*Calculateur!DB39*Calculateur!DD39*VLOOKUP('Données projet'!$B$13,Paramètres!$A$1:$I$89,3,0)*0.475*44/12</f>
        <v>14.373002555810032</v>
      </c>
      <c r="DH39" s="21">
        <f>EXP(-LN(2)/2)*DH38+(1-EXP(-LN(2)/2))/(LN(2)/2)*DB39*DE39*VLOOKUP('Données projet'!$B$13,Paramètres!$A$1:$I$89,3,0)*0.475*44/12</f>
        <v>3.0637984831945575</v>
      </c>
      <c r="DI39" s="22">
        <f t="shared" si="15"/>
        <v>19.833626480091613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11.1</v>
      </c>
      <c r="DO39" s="12">
        <f>IF('Données projet'!$A$166&gt;35,DO38+DN39-DW38,IF(A39&lt;'Données projet'!$A$166,$DL$205^A39,IF(A39='Données projet'!$A$166,'Données projet'!$B$166,DO38+DN39-DW38)))</f>
        <v>248.59999999999991</v>
      </c>
      <c r="DP39" s="17">
        <f>DO39*VLOOKUP('Données projet'!$B$14,Paramètres!$A$1:$I$89,3,0)*VLOOKUP('Données projet'!$B$14,Paramètres!$A$1:$I$89,5,0)</f>
        <v>267.59303999999992</v>
      </c>
      <c r="DQ39" s="13">
        <f t="shared" si="43"/>
        <v>64.338185715488905</v>
      </c>
      <c r="DR39" s="20">
        <f t="shared" si="16"/>
        <v>578.11355145447635</v>
      </c>
      <c r="DS39" s="59">
        <f t="shared" si="17"/>
        <v>871.44688478780972</v>
      </c>
      <c r="DT39" s="59">
        <f ca="1">AVERAGE(OFFSET($DS$3,0,0,'Données projet'!$E$14+1,1))-AVERAGE(OFFSET($H$3,0,0,'Données projet'!$E$14+1,1))</f>
        <v>442.54137223086991</v>
      </c>
      <c r="DU39" s="59">
        <f t="shared" si="44"/>
        <v>454.23406186660714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1.7719388082321934</v>
      </c>
      <c r="EB39" s="21">
        <f>EXP(-LN(2)/25)*EB38+(1-EXP(-LN(2)/25))/(LN(2)/25)*Calculateur!DW39*Calculateur!DY39*VLOOKUP('Données projet'!$B$14,Paramètres!$A$1:$I$89,3,0)*0.475*44/12</f>
        <v>9.7812606883012236</v>
      </c>
      <c r="EC39" s="21">
        <f>EXP(-LN(2)/2)*EC38+(1-EXP(-LN(2)/2))/(LN(2)/2)*DW39*DZ39*VLOOKUP('Données projet'!$B$14,Paramètres!$A$1:$I$89,3,0)*0.475*44/12</f>
        <v>2.2547784804310655</v>
      </c>
      <c r="ED39" s="22">
        <f t="shared" si="18"/>
        <v>13.807977976964482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2.2737367544323206E-13</v>
      </c>
      <c r="O40" s="13">
        <f>N40*VLOOKUP('Données projet'!$B$9,Paramètres!$A$1:$I$89,3,0)*VLOOKUP('Données projet'!$B$9,Paramètres!$A$1:$I$89,5,0)</f>
        <v>1.3596945791505279E-13</v>
      </c>
      <c r="P40" s="13">
        <f t="shared" si="33"/>
        <v>1.9708830566360721E-12</v>
      </c>
      <c r="Q40" s="20">
        <f t="shared" si="53"/>
        <v>3.669434796176543E-12</v>
      </c>
      <c r="R40" s="59">
        <f t="shared" si="0"/>
        <v>293.33333333333701</v>
      </c>
      <c r="S40" s="59">
        <f ca="1">AVERAGE(OFFSET($R$3,0,0,'Données projet'!$E$9+1,1))-AVERAGE(OFFSET($H$3,0,0,'Données projet'!$E$9+1,1))</f>
        <v>201.49055911472067</v>
      </c>
      <c r="T40" s="59">
        <f t="shared" si="34"/>
        <v>403.37692064114719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64.882852855432475</v>
      </c>
      <c r="AA40" s="21">
        <f>EXP(-LN(2)/25)*AA39+(1-EXP(-LN(2)/25))/(LN(2)/25)*Calculateur!V40*Calculateur!X40*VLOOKUP('Données projet'!$B$9,Paramètres!$A$1:$I$89,3,0)*0.475*44/12</f>
        <v>55.629359303793237</v>
      </c>
      <c r="AB40" s="21">
        <f>EXP(-LN(2)/2)*AB39+(1-EXP(-LN(2)/2))/(LN(2)/2)*V40*Y40*VLOOKUP('Données projet'!$B$9,Paramètres!$A$1:$I$89,3,0)*0.475*44/12</f>
        <v>45.355432582179233</v>
      </c>
      <c r="AC40" s="22">
        <f t="shared" si="3"/>
        <v>165.86764474140494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39.000000000000057</v>
      </c>
      <c r="AJ40" s="13">
        <f>AI40*VLOOKUP('Données projet'!$B$10,Paramètres!$A$1:$I$89,3,0)*VLOOKUP('Données projet'!$B$10,Paramètres!$A$1:$I$89,5,0)</f>
        <v>34.070400000000056</v>
      </c>
      <c r="AK40" s="13">
        <f t="shared" si="35"/>
        <v>10.412633617059328</v>
      </c>
      <c r="AL40" s="20">
        <f t="shared" si="4"/>
        <v>77.474616883045101</v>
      </c>
      <c r="AM40" s="59">
        <f t="shared" si="5"/>
        <v>370.8079502163784</v>
      </c>
      <c r="AN40" s="59">
        <f ca="1">AVERAGE(OFFSET($AM$3,0,0,'Données projet'!$E$10+1,1))-AVERAGE(OFFSET($H$3,0,0,'Données projet'!$E$10+1,1))</f>
        <v>260.53994021583316</v>
      </c>
      <c r="AO40" s="59">
        <f t="shared" si="36"/>
        <v>669.20238852709122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26.196650209501342</v>
      </c>
      <c r="AX40" s="21">
        <f t="shared" si="6"/>
        <v>26.196650209501342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8.1999999999999993</v>
      </c>
      <c r="BD40" s="12">
        <f>IF('Données projet'!$A$88&gt;35,BD39+BC40-BL39,IF(A40&lt;'Données projet'!$A$88,$BA$205^A40,IF(A40='Données projet'!$A$88,'Données projet'!$B$88,BD39+BC40-BL39)))</f>
        <v>133.39999999999998</v>
      </c>
      <c r="BE40" s="13">
        <f>BD40*VLOOKUP('Données projet'!$B$11,Paramètres!$A$1:$I$89,3,0)*VLOOKUP('Données projet'!$B$11,Paramètres!$A$1:$I$89,5,0)</f>
        <v>135.26759999999999</v>
      </c>
      <c r="BF40" s="13">
        <f t="shared" si="37"/>
        <v>35.210718959789133</v>
      </c>
      <c r="BG40" s="20">
        <f t="shared" si="7"/>
        <v>296.91640552163273</v>
      </c>
      <c r="BH40" s="59">
        <f t="shared" si="8"/>
        <v>590.24973885496604</v>
      </c>
      <c r="BI40" s="59">
        <f ca="1">AVERAGE(OFFSET($BH$3,0,0,'Données projet'!$E$11+1,1))-AVERAGE(OFFSET($H$3,0,0,'Données projet'!$E$11+1,1))</f>
        <v>279.20364724206644</v>
      </c>
      <c r="BJ40" s="59">
        <f t="shared" si="38"/>
        <v>173.99850582760712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2.8667496661780136</v>
      </c>
      <c r="BR40" s="21">
        <f>EXP(-LN(2)/2)*BR39+(1-EXP(-LN(2)/2))/(LN(2)/2)*BL40*BO40*VLOOKUP('Données projet'!$B$11,Paramètres!$A$1:$I$89,3,0)*0.475*44/12</f>
        <v>0.61309146451351004</v>
      </c>
      <c r="BS40" s="22">
        <f t="shared" si="9"/>
        <v>3.4798411306915238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8.1999999999999993</v>
      </c>
      <c r="BY40" s="12">
        <f>IF('Données projet'!$A$114&gt;35,BY39+BX40-CG39,IF(A40&lt;'Données projet'!$A$114,$BV$205^A40,IF(A40='Données projet'!$A$114,'Données projet'!$B$114,BY39+BX40-CG39)))</f>
        <v>133.39999999999998</v>
      </c>
      <c r="BZ40" s="13">
        <f>BY40*VLOOKUP('Données projet'!$B$12,Paramètres!$A$1:$I$89,3,0)*VLOOKUP('Données projet'!$B$12,Paramètres!$A$1:$I$89,5,0)</f>
        <v>151.91591999999997</v>
      </c>
      <c r="CA40" s="13">
        <f t="shared" si="39"/>
        <v>39.013663177900035</v>
      </c>
      <c r="CB40" s="20">
        <f t="shared" si="10"/>
        <v>332.53569070150917</v>
      </c>
      <c r="CC40" s="59">
        <f t="shared" si="11"/>
        <v>625.86902403484248</v>
      </c>
      <c r="CD40" s="59">
        <f ca="1">AVERAGE(OFFSET($CC$3,0,0,'Données projet'!$E$12+1,1))-AVERAGE(OFFSET($H$3,0,0,'Données projet'!$E$12+1,1))</f>
        <v>327.06866218660838</v>
      </c>
      <c r="CE40" s="59">
        <f t="shared" si="40"/>
        <v>202.18198935334908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3.2195803943230006</v>
      </c>
      <c r="CM40" s="21">
        <f>EXP(-LN(2)/2)*CM39+(1-EXP(-LN(2)/2))/(LN(2)/2)*CG40*CJ40*VLOOKUP('Données projet'!$B$12,Paramètres!$A$1:$I$89,3,0)*0.475*44/12</f>
        <v>0.68854887553055766</v>
      </c>
      <c r="CN40" s="22">
        <f t="shared" si="12"/>
        <v>3.9081292698535584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12.1</v>
      </c>
      <c r="CT40" s="12">
        <f>IF('Données projet'!$A$140&gt;35,CT39+CS40-DB39,IF(A40&lt;'Données projet'!$A$140,$CQ$205^A40,IF(A40='Données projet'!$A$140,'Données projet'!$B$140,CT39+CS40-DB39)))</f>
        <v>226.69999999999996</v>
      </c>
      <c r="CU40" s="17">
        <f>CT40*VLOOKUP('Données projet'!$B$13,Paramètres!$A$1:$I$89,3,0)*VLOOKUP('Données projet'!$B$13,Paramètres!$A$1:$I$89,5,0)</f>
        <v>183.89903999999999</v>
      </c>
      <c r="CV40" s="13">
        <f t="shared" si="41"/>
        <v>46.188565843203435</v>
      </c>
      <c r="CW40" s="20">
        <f t="shared" si="13"/>
        <v>400.73591351024589</v>
      </c>
      <c r="CX40" s="59">
        <f t="shared" si="14"/>
        <v>694.06924684357921</v>
      </c>
      <c r="CY40" s="59">
        <f ca="1">AVERAGE(OFFSET($CX$3,0,0,'Données projet'!$E$13+1,1))-AVERAGE(OFFSET($H$3,0,0,'Données projet'!$E$13+1,1))</f>
        <v>266.72672633301022</v>
      </c>
      <c r="CZ40" s="59">
        <f t="shared" si="42"/>
        <v>314.26991662544219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2.3498251561064749</v>
      </c>
      <c r="DG40" s="21">
        <f>EXP(-LN(2)/25)*DG39+(1-EXP(-LN(2)/25))/(LN(2)/25)*Calculateur!DB40*Calculateur!DD40*VLOOKUP('Données projet'!$B$13,Paramètres!$A$1:$I$89,3,0)*0.475*44/12</f>
        <v>13.979972045078053</v>
      </c>
      <c r="DH40" s="21">
        <f>EXP(-LN(2)/2)*DH39+(1-EXP(-LN(2)/2))/(LN(2)/2)*DB40*DE40*VLOOKUP('Données projet'!$B$13,Paramètres!$A$1:$I$89,3,0)*0.475*44/12</f>
        <v>2.1664326836559304</v>
      </c>
      <c r="DI40" s="22">
        <f t="shared" si="15"/>
        <v>18.49622988484046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11.1</v>
      </c>
      <c r="DO40" s="12">
        <f>IF('Données projet'!$A$166&gt;35,DO39+DN40-DW39,IF(A40&lt;'Données projet'!$A$166,$DL$205^A40,IF(A40='Données projet'!$A$166,'Données projet'!$B$166,DO39+DN40-DW39)))</f>
        <v>259.69999999999993</v>
      </c>
      <c r="DP40" s="17">
        <f>DO40*VLOOKUP('Données projet'!$B$14,Paramètres!$A$1:$I$89,3,0)*VLOOKUP('Données projet'!$B$14,Paramètres!$A$1:$I$89,5,0)</f>
        <v>279.54107999999991</v>
      </c>
      <c r="DQ40" s="13">
        <f t="shared" si="43"/>
        <v>66.870016635884042</v>
      </c>
      <c r="DR40" s="20">
        <f t="shared" si="16"/>
        <v>603.33265997416459</v>
      </c>
      <c r="DS40" s="59">
        <f t="shared" si="17"/>
        <v>896.66599330749796</v>
      </c>
      <c r="DT40" s="59">
        <f ca="1">AVERAGE(OFFSET($DS$3,0,0,'Données projet'!$E$14+1,1))-AVERAGE(OFFSET($H$3,0,0,'Données projet'!$E$14+1,1))</f>
        <v>442.54137223086991</v>
      </c>
      <c r="DU40" s="59">
        <f t="shared" si="44"/>
        <v>454.23406186660714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1.7371921689787153</v>
      </c>
      <c r="EB40" s="21">
        <f>EXP(-LN(2)/25)*EB39+(1-EXP(-LN(2)/25))/(LN(2)/25)*Calculateur!DW40*Calculateur!DY40*VLOOKUP('Données projet'!$B$14,Paramètres!$A$1:$I$89,3,0)*0.475*44/12</f>
        <v>9.513791600405483</v>
      </c>
      <c r="EC40" s="21">
        <f>EXP(-LN(2)/2)*EC39+(1-EXP(-LN(2)/2))/(LN(2)/2)*DW40*DZ40*VLOOKUP('Données projet'!$B$14,Paramètres!$A$1:$I$89,3,0)*0.475*44/12</f>
        <v>1.5943691535863056</v>
      </c>
      <c r="ED40" s="22">
        <f t="shared" si="18"/>
        <v>12.845352922970504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2.2737367544323206E-13</v>
      </c>
      <c r="O41" s="13">
        <f>N41*VLOOKUP('Données projet'!$B$9,Paramètres!$A$1:$I$89,3,0)*VLOOKUP('Données projet'!$B$9,Paramètres!$A$1:$I$89,5,0)</f>
        <v>1.3596945791505279E-13</v>
      </c>
      <c r="P41" s="13">
        <f t="shared" si="33"/>
        <v>1.9708830566360721E-12</v>
      </c>
      <c r="Q41" s="20">
        <f t="shared" si="53"/>
        <v>3.669434796176543E-12</v>
      </c>
      <c r="R41" s="59">
        <f t="shared" si="0"/>
        <v>293.33333333333701</v>
      </c>
      <c r="S41" s="59">
        <f ca="1">AVERAGE(OFFSET($R$3,0,0,'Données projet'!$E$9+1,1))-AVERAGE(OFFSET($H$3,0,0,'Données projet'!$E$9+1,1))</f>
        <v>201.49055911472067</v>
      </c>
      <c r="T41" s="59">
        <f t="shared" si="34"/>
        <v>403.37692064114719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63.610539685570018</v>
      </c>
      <c r="AA41" s="21">
        <f>EXP(-LN(2)/25)*AA40+(1-EXP(-LN(2)/25))/(LN(2)/25)*Calculateur!V41*Calculateur!X41*VLOOKUP('Données projet'!$B$9,Paramètres!$A$1:$I$89,3,0)*0.475*44/12</f>
        <v>54.108171548210144</v>
      </c>
      <c r="AB41" s="21">
        <f>EXP(-LN(2)/2)*AB40+(1-EXP(-LN(2)/2))/(LN(2)/2)*V41*Y41*VLOOKUP('Données projet'!$B$9,Paramètres!$A$1:$I$89,3,0)*0.475*44/12</f>
        <v>32.071133942508219</v>
      </c>
      <c r="AC41" s="22">
        <f t="shared" si="3"/>
        <v>149.7898451762884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39.000000000000057</v>
      </c>
      <c r="AJ41" s="13">
        <f>AI41*VLOOKUP('Données projet'!$B$10,Paramètres!$A$1:$I$89,3,0)*VLOOKUP('Données projet'!$B$10,Paramètres!$A$1:$I$89,5,0)</f>
        <v>34.070400000000056</v>
      </c>
      <c r="AK41" s="13">
        <f t="shared" si="35"/>
        <v>10.412633617059328</v>
      </c>
      <c r="AL41" s="20">
        <f t="shared" si="4"/>
        <v>77.474616883045101</v>
      </c>
      <c r="AM41" s="59">
        <f t="shared" si="5"/>
        <v>370.8079502163784</v>
      </c>
      <c r="AN41" s="59">
        <f ca="1">AVERAGE(OFFSET($AM$3,0,0,'Données projet'!$E$10+1,1))-AVERAGE(OFFSET($H$3,0,0,'Données projet'!$E$10+1,1))</f>
        <v>260.53994021583316</v>
      </c>
      <c r="AO41" s="59">
        <f t="shared" si="36"/>
        <v>669.20238852709122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18.52382900751039</v>
      </c>
      <c r="AX41" s="21">
        <f t="shared" si="6"/>
        <v>18.52382900751039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8.1999999999999993</v>
      </c>
      <c r="BD41" s="12">
        <f>IF('Données projet'!$A$88&gt;35,BD40+BC41-BL40,IF(A41&lt;'Données projet'!$A$88,$BA$205^A41,IF(A41='Données projet'!$A$88,'Données projet'!$B$88,BD40+BC41-BL40)))</f>
        <v>141.59999999999997</v>
      </c>
      <c r="BE41" s="13">
        <f>BD41*VLOOKUP('Données projet'!$B$11,Paramètres!$A$1:$I$89,3,0)*VLOOKUP('Données projet'!$B$11,Paramètres!$A$1:$I$89,5,0)</f>
        <v>143.58239999999998</v>
      </c>
      <c r="BF41" s="13">
        <f t="shared" si="37"/>
        <v>37.116472314400653</v>
      </c>
      <c r="BG41" s="20">
        <f t="shared" si="7"/>
        <v>314.71720261424775</v>
      </c>
      <c r="BH41" s="59">
        <f t="shared" si="8"/>
        <v>608.05053594758101</v>
      </c>
      <c r="BI41" s="59">
        <f ca="1">AVERAGE(OFFSET($BH$3,0,0,'Données projet'!$E$11+1,1))-AVERAGE(OFFSET($H$3,0,0,'Données projet'!$E$11+1,1))</f>
        <v>279.20364724206644</v>
      </c>
      <c r="BJ41" s="59">
        <f t="shared" si="38"/>
        <v>173.99850582760712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2.7883582458005631</v>
      </c>
      <c r="BR41" s="21">
        <f>EXP(-LN(2)/2)*BR40+(1-EXP(-LN(2)/2))/(LN(2)/2)*BL41*BO41*VLOOKUP('Données projet'!$B$11,Paramètres!$A$1:$I$89,3,0)*0.475*44/12</f>
        <v>0.43352113204509451</v>
      </c>
      <c r="BS41" s="22">
        <f t="shared" si="9"/>
        <v>3.2218793778456578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8.1999999999999993</v>
      </c>
      <c r="BY41" s="12">
        <f>IF('Données projet'!$A$114&gt;35,BY40+BX41-CG40,IF(A41&lt;'Données projet'!$A$114,$BV$205^A41,IF(A41='Données projet'!$A$114,'Données projet'!$B$114,BY40+BX41-CG40)))</f>
        <v>141.59999999999997</v>
      </c>
      <c r="BZ41" s="13">
        <f>BY41*VLOOKUP('Données projet'!$B$12,Paramètres!$A$1:$I$89,3,0)*VLOOKUP('Données projet'!$B$12,Paramètres!$A$1:$I$89,5,0)</f>
        <v>161.25407999999996</v>
      </c>
      <c r="CA41" s="13">
        <f t="shared" si="39"/>
        <v>41.125247992793383</v>
      </c>
      <c r="CB41" s="20">
        <f t="shared" si="10"/>
        <v>352.47732958744837</v>
      </c>
      <c r="CC41" s="59">
        <f t="shared" si="11"/>
        <v>645.81066292078162</v>
      </c>
      <c r="CD41" s="59">
        <f ca="1">AVERAGE(OFFSET($CC$3,0,0,'Données projet'!$E$12+1,1))-AVERAGE(OFFSET($H$3,0,0,'Données projet'!$E$12+1,1))</f>
        <v>327.06866218660838</v>
      </c>
      <c r="CE41" s="59">
        <f t="shared" si="40"/>
        <v>202.18198935334908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3.1315407991298638</v>
      </c>
      <c r="CM41" s="21">
        <f>EXP(-LN(2)/2)*CM40+(1-EXP(-LN(2)/2))/(LN(2)/2)*CG41*CJ41*VLOOKUP('Données projet'!$B$12,Paramètres!$A$1:$I$89,3,0)*0.475*44/12</f>
        <v>0.48687757906602941</v>
      </c>
      <c r="CN41" s="22">
        <f t="shared" si="12"/>
        <v>3.6184183781958934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12.1</v>
      </c>
      <c r="CT41" s="12">
        <f>IF('Données projet'!$A$140&gt;35,CT40+CS41-DB40,IF(A41&lt;'Données projet'!$A$140,$CQ$205^A41,IF(A41='Données projet'!$A$140,'Données projet'!$B$140,CT40+CS41-DB40)))</f>
        <v>238.79999999999995</v>
      </c>
      <c r="CU41" s="17">
        <f>CT41*VLOOKUP('Données projet'!$B$13,Paramètres!$A$1:$I$89,3,0)*VLOOKUP('Données projet'!$B$13,Paramètres!$A$1:$I$89,5,0)</f>
        <v>193.71455999999998</v>
      </c>
      <c r="CV41" s="13">
        <f t="shared" si="41"/>
        <v>48.360261629719496</v>
      </c>
      <c r="CW41" s="20">
        <f t="shared" si="13"/>
        <v>421.61364767176138</v>
      </c>
      <c r="CX41" s="59">
        <f t="shared" si="14"/>
        <v>714.9469810050947</v>
      </c>
      <c r="CY41" s="59">
        <f ca="1">AVERAGE(OFFSET($CX$3,0,0,'Données projet'!$E$13+1,1))-AVERAGE(OFFSET($H$3,0,0,'Données projet'!$E$13+1,1))</f>
        <v>266.72672633301022</v>
      </c>
      <c r="CZ41" s="59">
        <f t="shared" si="42"/>
        <v>314.26991662544219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2.3037465180470504</v>
      </c>
      <c r="DG41" s="21">
        <f>EXP(-LN(2)/25)*DG40+(1-EXP(-LN(2)/25))/(LN(2)/25)*Calculateur!DB41*Calculateur!DD41*VLOOKUP('Données projet'!$B$13,Paramètres!$A$1:$I$89,3,0)*0.475*44/12</f>
        <v>13.597688974330616</v>
      </c>
      <c r="DH41" s="21">
        <f>EXP(-LN(2)/2)*DH40+(1-EXP(-LN(2)/2))/(LN(2)/2)*DB41*DE41*VLOOKUP('Données projet'!$B$13,Paramètres!$A$1:$I$89,3,0)*0.475*44/12</f>
        <v>1.531899241597279</v>
      </c>
      <c r="DI41" s="22">
        <f t="shared" si="15"/>
        <v>17.433334733974945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11.1</v>
      </c>
      <c r="DO41" s="12">
        <f>IF('Données projet'!$A$166&gt;35,DO40+DN41-DW40,IF(A41&lt;'Données projet'!$A$166,$DL$205^A41,IF(A41='Données projet'!$A$166,'Données projet'!$B$166,DO40+DN41-DW40)))</f>
        <v>270.79999999999995</v>
      </c>
      <c r="DP41" s="17">
        <f>DO41*VLOOKUP('Données projet'!$B$14,Paramètres!$A$1:$I$89,3,0)*VLOOKUP('Données projet'!$B$14,Paramètres!$A$1:$I$89,5,0)</f>
        <v>291.4891199999999</v>
      </c>
      <c r="DQ41" s="13">
        <f t="shared" si="43"/>
        <v>69.389278621111629</v>
      </c>
      <c r="DR41" s="20">
        <f t="shared" si="16"/>
        <v>628.52987759843575</v>
      </c>
      <c r="DS41" s="59">
        <f t="shared" si="17"/>
        <v>921.86321093176912</v>
      </c>
      <c r="DT41" s="59">
        <f ca="1">AVERAGE(OFFSET($DS$3,0,0,'Données projet'!$E$14+1,1))-AVERAGE(OFFSET($H$3,0,0,'Données projet'!$E$14+1,1))</f>
        <v>442.54137223086991</v>
      </c>
      <c r="DU41" s="59">
        <f t="shared" si="44"/>
        <v>454.23406186660714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1.7031268901276406</v>
      </c>
      <c r="EB41" s="21">
        <f>EXP(-LN(2)/25)*EB40+(1-EXP(-LN(2)/25))/(LN(2)/25)*Calculateur!DW41*Calculateur!DY41*VLOOKUP('Données projet'!$B$14,Paramètres!$A$1:$I$89,3,0)*0.475*44/12</f>
        <v>9.2536364687838386</v>
      </c>
      <c r="EC41" s="21">
        <f>EXP(-LN(2)/2)*EC40+(1-EXP(-LN(2)/2))/(LN(2)/2)*DW41*DZ41*VLOOKUP('Données projet'!$B$14,Paramètres!$A$1:$I$89,3,0)*0.475*44/12</f>
        <v>1.1273892402155328</v>
      </c>
      <c r="ED41" s="22">
        <f t="shared" si="18"/>
        <v>12.084152599127012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2.2737367544323206E-13</v>
      </c>
      <c r="O42" s="13">
        <f>N42*VLOOKUP('Données projet'!$B$9,Paramètres!$A$1:$I$89,3,0)*VLOOKUP('Données projet'!$B$9,Paramètres!$A$1:$I$89,5,0)</f>
        <v>1.3596945791505279E-13</v>
      </c>
      <c r="P42" s="13">
        <f t="shared" si="33"/>
        <v>1.9708830566360721E-12</v>
      </c>
      <c r="Q42" s="20">
        <f t="shared" si="53"/>
        <v>3.669434796176543E-12</v>
      </c>
      <c r="R42" s="59">
        <f t="shared" si="0"/>
        <v>293.33333333333701</v>
      </c>
      <c r="S42" s="59">
        <f ca="1">AVERAGE(OFFSET($R$3,0,0,'Données projet'!$E$9+1,1))-AVERAGE(OFFSET($H$3,0,0,'Données projet'!$E$9+1,1))</f>
        <v>201.49055911472067</v>
      </c>
      <c r="T42" s="59">
        <f t="shared" si="34"/>
        <v>403.37692064114719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62.363175800934158</v>
      </c>
      <c r="AA42" s="21">
        <f>EXP(-LN(2)/25)*AA41+(1-EXP(-LN(2)/25))/(LN(2)/25)*Calculateur!V42*Calculateur!X42*VLOOKUP('Données projet'!$B$9,Paramètres!$A$1:$I$89,3,0)*0.475*44/12</f>
        <v>52.628580751799262</v>
      </c>
      <c r="AB42" s="21">
        <f>EXP(-LN(2)/2)*AB41+(1-EXP(-LN(2)/2))/(LN(2)/2)*V42*Y42*VLOOKUP('Données projet'!$B$9,Paramètres!$A$1:$I$89,3,0)*0.475*44/12</f>
        <v>22.677716291089617</v>
      </c>
      <c r="AC42" s="22">
        <f t="shared" si="3"/>
        <v>137.66947284382303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39.000000000000057</v>
      </c>
      <c r="AJ42" s="13">
        <f>AI42*VLOOKUP('Données projet'!$B$10,Paramètres!$A$1:$I$89,3,0)*VLOOKUP('Données projet'!$B$10,Paramètres!$A$1:$I$89,5,0)</f>
        <v>34.070400000000056</v>
      </c>
      <c r="AK42" s="13">
        <f t="shared" si="35"/>
        <v>10.412633617059328</v>
      </c>
      <c r="AL42" s="20">
        <f t="shared" si="4"/>
        <v>77.474616883045101</v>
      </c>
      <c r="AM42" s="59">
        <f t="shared" si="5"/>
        <v>370.8079502163784</v>
      </c>
      <c r="AN42" s="59">
        <f ca="1">AVERAGE(OFFSET($AM$3,0,0,'Données projet'!$E$10+1,1))-AVERAGE(OFFSET($H$3,0,0,'Données projet'!$E$10+1,1))</f>
        <v>260.53994021583316</v>
      </c>
      <c r="AO42" s="59">
        <f t="shared" si="36"/>
        <v>669.20238852709122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13.098325104750671</v>
      </c>
      <c r="AX42" s="21">
        <f t="shared" si="6"/>
        <v>13.098325104750671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8.1999999999999993</v>
      </c>
      <c r="BD42" s="12">
        <f>IF('Données projet'!$A$88&gt;35,BD41+BC42-BL41,IF(A42&lt;'Données projet'!$A$88,$BA$205^A42,IF(A42='Données projet'!$A$88,'Données projet'!$B$88,BD41+BC42-BL41)))</f>
        <v>149.79999999999995</v>
      </c>
      <c r="BE42" s="13">
        <f>BD42*VLOOKUP('Données projet'!$B$11,Paramètres!$A$1:$I$89,3,0)*VLOOKUP('Données projet'!$B$11,Paramètres!$A$1:$I$89,5,0)</f>
        <v>151.89719999999997</v>
      </c>
      <c r="BF42" s="13">
        <f t="shared" si="37"/>
        <v>39.009415240495969</v>
      </c>
      <c r="BG42" s="20">
        <f t="shared" si="7"/>
        <v>332.49568821053043</v>
      </c>
      <c r="BH42" s="59">
        <f t="shared" si="8"/>
        <v>625.82902154386375</v>
      </c>
      <c r="BI42" s="59">
        <f ca="1">AVERAGE(OFFSET($BH$3,0,0,'Données projet'!$E$11+1,1))-AVERAGE(OFFSET($H$3,0,0,'Données projet'!$E$11+1,1))</f>
        <v>279.20364724206644</v>
      </c>
      <c r="BJ42" s="59">
        <f t="shared" si="38"/>
        <v>173.99850582760712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2.7121104429357596</v>
      </c>
      <c r="BR42" s="21">
        <f>EXP(-LN(2)/2)*BR41+(1-EXP(-LN(2)/2))/(LN(2)/2)*BL42*BO42*VLOOKUP('Données projet'!$B$11,Paramètres!$A$1:$I$89,3,0)*0.475*44/12</f>
        <v>0.30654573225675502</v>
      </c>
      <c r="BS42" s="22">
        <f t="shared" si="9"/>
        <v>3.0186561751925147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8.1999999999999993</v>
      </c>
      <c r="BY42" s="12">
        <f>IF('Données projet'!$A$114&gt;35,BY41+BX42-CG41,IF(A42&lt;'Données projet'!$A$114,$BV$205^A42,IF(A42='Données projet'!$A$114,'Données projet'!$B$114,BY41+BX42-CG41)))</f>
        <v>149.79999999999995</v>
      </c>
      <c r="BZ42" s="13">
        <f>BY42*VLOOKUP('Données projet'!$B$12,Paramètres!$A$1:$I$89,3,0)*VLOOKUP('Données projet'!$B$12,Paramètres!$A$1:$I$89,5,0)</f>
        <v>170.59223999999995</v>
      </c>
      <c r="CA42" s="13">
        <f t="shared" si="39"/>
        <v>43.2226387850123</v>
      </c>
      <c r="CB42" s="20">
        <f t="shared" si="10"/>
        <v>372.39424721722963</v>
      </c>
      <c r="CC42" s="59">
        <f t="shared" si="11"/>
        <v>665.72758055056295</v>
      </c>
      <c r="CD42" s="59">
        <f ca="1">AVERAGE(OFFSET($CC$3,0,0,'Données projet'!$E$12+1,1))-AVERAGE(OFFSET($H$3,0,0,'Données projet'!$E$12+1,1))</f>
        <v>327.06866218660838</v>
      </c>
      <c r="CE42" s="59">
        <f t="shared" si="40"/>
        <v>202.18198935334908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3.0459086512970841</v>
      </c>
      <c r="CM42" s="21">
        <f>EXP(-LN(2)/2)*CM41+(1-EXP(-LN(2)/2))/(LN(2)/2)*CG42*CJ42*VLOOKUP('Données projet'!$B$12,Paramètres!$A$1:$I$89,3,0)*0.475*44/12</f>
        <v>0.34427443776527888</v>
      </c>
      <c r="CN42" s="22">
        <f t="shared" si="12"/>
        <v>3.3901830890623632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12.1</v>
      </c>
      <c r="CT42" s="12">
        <f>IF('Données projet'!$A$140&gt;35,CT41+CS42-DB41,IF(A42&lt;'Données projet'!$A$140,$CQ$205^A42,IF(A42='Données projet'!$A$140,'Données projet'!$B$140,CT41+CS42-DB41)))</f>
        <v>250.89999999999995</v>
      </c>
      <c r="CU42" s="17">
        <f>CT42*VLOOKUP('Données projet'!$B$13,Paramètres!$A$1:$I$89,3,0)*VLOOKUP('Données projet'!$B$13,Paramètres!$A$1:$I$89,5,0)</f>
        <v>203.53008</v>
      </c>
      <c r="CV42" s="13">
        <f t="shared" si="41"/>
        <v>50.51918070276831</v>
      </c>
      <c r="CW42" s="20">
        <f t="shared" si="13"/>
        <v>442.46912905732142</v>
      </c>
      <c r="CX42" s="59">
        <f t="shared" si="14"/>
        <v>735.80246239065468</v>
      </c>
      <c r="CY42" s="59">
        <f ca="1">AVERAGE(OFFSET($CX$3,0,0,'Données projet'!$E$13+1,1))-AVERAGE(OFFSET($H$3,0,0,'Données projet'!$E$13+1,1))</f>
        <v>266.72672633301022</v>
      </c>
      <c r="CZ42" s="59">
        <f t="shared" si="42"/>
        <v>314.26991662544219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2.2585714539747772</v>
      </c>
      <c r="DG42" s="21">
        <f>EXP(-LN(2)/25)*DG41+(1-EXP(-LN(2)/25))/(LN(2)/25)*Calculateur!DB42*Calculateur!DD42*VLOOKUP('Données projet'!$B$13,Paramètres!$A$1:$I$89,3,0)*0.475*44/12</f>
        <v>13.22585945425616</v>
      </c>
      <c r="DH42" s="21">
        <f>EXP(-LN(2)/2)*DH41+(1-EXP(-LN(2)/2))/(LN(2)/2)*DB42*DE42*VLOOKUP('Données projet'!$B$13,Paramètres!$A$1:$I$89,3,0)*0.475*44/12</f>
        <v>1.0832163418279652</v>
      </c>
      <c r="DI42" s="22">
        <f t="shared" si="15"/>
        <v>16.567647250058904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11.1</v>
      </c>
      <c r="DO42" s="12">
        <f>IF('Données projet'!$A$166&gt;35,DO41+DN42-DW41,IF(A42&lt;'Données projet'!$A$166,$DL$205^A42,IF(A42='Données projet'!$A$166,'Données projet'!$B$166,DO41+DN42-DW41)))</f>
        <v>281.89999999999998</v>
      </c>
      <c r="DP42" s="17">
        <f>DO42*VLOOKUP('Données projet'!$B$14,Paramètres!$A$1:$I$89,3,0)*VLOOKUP('Données projet'!$B$14,Paramètres!$A$1:$I$89,5,0)</f>
        <v>303.43715999999995</v>
      </c>
      <c r="DQ42" s="13">
        <f t="shared" si="43"/>
        <v>71.896545794264284</v>
      </c>
      <c r="DR42" s="20">
        <f t="shared" si="16"/>
        <v>653.70620425834352</v>
      </c>
      <c r="DS42" s="59">
        <f t="shared" si="17"/>
        <v>947.03953759167689</v>
      </c>
      <c r="DT42" s="59">
        <f ca="1">AVERAGE(OFFSET($DS$3,0,0,'Données projet'!$E$14+1,1))-AVERAGE(OFFSET($H$3,0,0,'Données projet'!$E$14+1,1))</f>
        <v>442.54137223086991</v>
      </c>
      <c r="DU42" s="59">
        <f t="shared" si="44"/>
        <v>454.23406186660714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1.6697296106170672</v>
      </c>
      <c r="EB42" s="21">
        <f>EXP(-LN(2)/25)*EB41+(1-EXP(-LN(2)/25))/(LN(2)/25)*Calculateur!DW42*Calculateur!DY42*VLOOKUP('Données projet'!$B$14,Paramètres!$A$1:$I$89,3,0)*0.475*44/12</f>
        <v>9.0005952929173514</v>
      </c>
      <c r="EC42" s="21">
        <f>EXP(-LN(2)/2)*EC41+(1-EXP(-LN(2)/2))/(LN(2)/2)*DW42*DZ42*VLOOKUP('Données projet'!$B$14,Paramètres!$A$1:$I$89,3,0)*0.475*44/12</f>
        <v>0.7971845767931528</v>
      </c>
      <c r="ED42" s="22">
        <f t="shared" si="18"/>
        <v>11.467509480327571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2.2737367544323206E-13</v>
      </c>
      <c r="O43" s="13">
        <f>N43*VLOOKUP('Données projet'!$B$9,Paramètres!$A$1:$I$89,3,0)*VLOOKUP('Données projet'!$B$9,Paramètres!$A$1:$I$89,5,0)</f>
        <v>1.3596945791505279E-13</v>
      </c>
      <c r="P43" s="13">
        <f t="shared" si="33"/>
        <v>1.9708830566360721E-12</v>
      </c>
      <c r="Q43" s="20">
        <f t="shared" si="53"/>
        <v>3.669434796176543E-12</v>
      </c>
      <c r="R43" s="59">
        <f t="shared" si="0"/>
        <v>293.33333333333701</v>
      </c>
      <c r="S43" s="59">
        <f ca="1">AVERAGE(OFFSET($R$3,0,0,'Données projet'!$E$9+1,1))-AVERAGE(OFFSET($H$3,0,0,'Données projet'!$E$9+1,1))</f>
        <v>201.49055911472067</v>
      </c>
      <c r="T43" s="59">
        <f t="shared" si="34"/>
        <v>403.37692064114719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61.14027196125916</v>
      </c>
      <c r="AA43" s="21">
        <f>EXP(-LN(2)/25)*AA42+(1-EXP(-LN(2)/25))/(LN(2)/25)*Calculateur!V43*Calculateur!X43*VLOOKUP('Données projet'!$B$9,Paramètres!$A$1:$I$89,3,0)*0.475*44/12</f>
        <v>51.189449443524531</v>
      </c>
      <c r="AB43" s="21">
        <f>EXP(-LN(2)/2)*AB42+(1-EXP(-LN(2)/2))/(LN(2)/2)*V43*Y43*VLOOKUP('Données projet'!$B$9,Paramètres!$A$1:$I$89,3,0)*0.475*44/12</f>
        <v>16.035566971254109</v>
      </c>
      <c r="AC43" s="22">
        <f t="shared" si="3"/>
        <v>128.3652883760378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39.000000000000057</v>
      </c>
      <c r="AJ43" s="13">
        <f>AI43*VLOOKUP('Données projet'!$B$10,Paramètres!$A$1:$I$89,3,0)*VLOOKUP('Données projet'!$B$10,Paramètres!$A$1:$I$89,5,0)</f>
        <v>34.070400000000056</v>
      </c>
      <c r="AK43" s="13">
        <f t="shared" si="35"/>
        <v>10.412633617059328</v>
      </c>
      <c r="AL43" s="20">
        <f t="shared" si="4"/>
        <v>77.474616883045101</v>
      </c>
      <c r="AM43" s="59">
        <f t="shared" si="5"/>
        <v>370.8079502163784</v>
      </c>
      <c r="AN43" s="59">
        <f ca="1">AVERAGE(OFFSET($AM$3,0,0,'Données projet'!$E$10+1,1))-AVERAGE(OFFSET($H$3,0,0,'Données projet'!$E$10+1,1))</f>
        <v>260.53994021583316</v>
      </c>
      <c r="AO43" s="59">
        <f t="shared" si="36"/>
        <v>669.20238852709122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9.2619145037551949</v>
      </c>
      <c r="AX43" s="21">
        <f t="shared" si="6"/>
        <v>9.2619145037551949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8.1999999999999993</v>
      </c>
      <c r="BC43" s="12">
        <f t="array" ref="BC43">INDEX(BB:BB,MIN(IF(ISNUMBER(BB43:BB239),ROW(BB43:BB239),"")))</f>
        <v>8.1999999999999993</v>
      </c>
      <c r="BD43" s="12">
        <f>IF('Données projet'!$A$88&gt;35,BD42+BC43-BL42,IF(A43&lt;'Données projet'!$A$88,$BA$205^A43,IF(A43='Données projet'!$A$88,'Données projet'!$B$88,BD42+BC43-BL42)))</f>
        <v>157.99999999999994</v>
      </c>
      <c r="BE43" s="13">
        <f>BD43*VLOOKUP('Données projet'!$B$11,Paramètres!$A$1:$I$89,3,0)*VLOOKUP('Données projet'!$B$11,Paramètres!$A$1:$I$89,5,0)</f>
        <v>160.21199999999993</v>
      </c>
      <c r="BF43" s="13">
        <f t="shared" si="37"/>
        <v>40.890328912852695</v>
      </c>
      <c r="BG43" s="20">
        <f t="shared" si="7"/>
        <v>350.25322285655164</v>
      </c>
      <c r="BH43" s="59">
        <f t="shared" si="8"/>
        <v>643.58655618988496</v>
      </c>
      <c r="BI43" s="59">
        <f ca="1">AVERAGE(OFFSET($BH$3,0,0,'Données projet'!$E$11+1,1))-AVERAGE(OFFSET($H$3,0,0,'Données projet'!$E$11+1,1))</f>
        <v>279.20364724206644</v>
      </c>
      <c r="BJ43" s="59">
        <f t="shared" si="38"/>
        <v>173.99850582760712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2.6379476402499917</v>
      </c>
      <c r="BR43" s="21">
        <f>EXP(-LN(2)/2)*BR42+(1-EXP(-LN(2)/2))/(LN(2)/2)*BL43*BO43*VLOOKUP('Données projet'!$B$11,Paramètres!$A$1:$I$89,3,0)*0.475*44/12</f>
        <v>0.21676056602254726</v>
      </c>
      <c r="BS43" s="22">
        <f t="shared" si="9"/>
        <v>2.8547082062725391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158</v>
      </c>
      <c r="BW43" s="12">
        <f>VLOOKUP(A43,'Données projet'!$A$113:$I$133,9,0)</f>
        <v>8.1999999999999993</v>
      </c>
      <c r="BX43" s="12">
        <f t="array" ref="BX43">INDEX(BW:BW,MIN(IF(ISNUMBER(BW43:BW239),ROW(BW43:BW239),"")))</f>
        <v>8.1999999999999993</v>
      </c>
      <c r="BY43" s="12">
        <f>IF('Données projet'!$A$114&gt;35,BY42+BX43-CG42,IF(A43&lt;'Données projet'!$A$114,$BV$205^A43,IF(A43='Données projet'!$A$114,'Données projet'!$B$114,BY42+BX43-CG42)))</f>
        <v>157.99999999999994</v>
      </c>
      <c r="BZ43" s="13">
        <f>BY43*VLOOKUP('Données projet'!$B$12,Paramètres!$A$1:$I$89,3,0)*VLOOKUP('Données projet'!$B$12,Paramètres!$A$1:$I$89,5,0)</f>
        <v>179.93039999999993</v>
      </c>
      <c r="CA43" s="13">
        <f t="shared" si="39"/>
        <v>45.306701100349692</v>
      </c>
      <c r="CB43" s="20">
        <f t="shared" si="10"/>
        <v>392.28795108310896</v>
      </c>
      <c r="CC43" s="59">
        <f t="shared" si="11"/>
        <v>685.62128441644222</v>
      </c>
      <c r="CD43" s="59">
        <f ca="1">AVERAGE(OFFSET($CC$3,0,0,'Données projet'!$E$12+1,1))-AVERAGE(OFFSET($H$3,0,0,'Données projet'!$E$12+1,1))</f>
        <v>327.06866218660838</v>
      </c>
      <c r="CE43" s="59">
        <f t="shared" si="40"/>
        <v>202.18198935334908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2.9626181190499907</v>
      </c>
      <c r="CM43" s="21">
        <f>EXP(-LN(2)/2)*CM42+(1-EXP(-LN(2)/2))/(LN(2)/2)*CG43*CJ43*VLOOKUP('Données projet'!$B$12,Paramètres!$A$1:$I$89,3,0)*0.475*44/12</f>
        <v>0.24343878953301476</v>
      </c>
      <c r="CN43" s="22">
        <f t="shared" si="12"/>
        <v>3.2060569085830055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12.1</v>
      </c>
      <c r="CS43" s="12">
        <f t="array" ref="CS43">INDEX(CR:CR,MIN(IF(ISNUMBER(CR43:CR239),ROW(CR43:CR239),"")))</f>
        <v>12.1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213.34559999999996</v>
      </c>
      <c r="CV43" s="13">
        <f t="shared" si="41"/>
        <v>52.666009577179437</v>
      </c>
      <c r="CW43" s="20">
        <f t="shared" si="13"/>
        <v>463.30355334692075</v>
      </c>
      <c r="CX43" s="59">
        <f t="shared" si="14"/>
        <v>756.63688668025407</v>
      </c>
      <c r="CY43" s="59">
        <f ca="1">AVERAGE(OFFSET($CX$3,0,0,'Données projet'!$E$13+1,1))-AVERAGE(OFFSET($H$3,0,0,'Données projet'!$E$13+1,1))</f>
        <v>266.72672633301022</v>
      </c>
      <c r="CZ43" s="59">
        <f t="shared" si="42"/>
        <v>314.26991662544219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2.2142822453548927</v>
      </c>
      <c r="DG43" s="21">
        <f>EXP(-LN(2)/25)*DG42+(1-EXP(-LN(2)/25))/(LN(2)/25)*Calculateur!DB43*Calculateur!DD43*VLOOKUP('Données projet'!$B$13,Paramètres!$A$1:$I$89,3,0)*0.475*44/12</f>
        <v>12.864197631961805</v>
      </c>
      <c r="DH43" s="21">
        <f>EXP(-LN(2)/2)*DH42+(1-EXP(-LN(2)/2))/(LN(2)/2)*DB43*DE43*VLOOKUP('Données projet'!$B$13,Paramètres!$A$1:$I$89,3,0)*0.475*44/12</f>
        <v>0.76594962079863949</v>
      </c>
      <c r="DI43" s="22">
        <f t="shared" si="15"/>
        <v>15.844429498115337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293</v>
      </c>
      <c r="DM43" s="12">
        <f>VLOOKUP(A43,'Données projet'!$A$165:$I$185,9,0)</f>
        <v>11.1</v>
      </c>
      <c r="DN43" s="12">
        <f t="array" ref="DN43">INDEX(DM:DM,MIN(IF(ISNUMBER(DM43:DM239),ROW(DM43:DM239),"")))</f>
        <v>11.1</v>
      </c>
      <c r="DO43" s="12">
        <f>IF('Données projet'!$A$166&gt;35,DO42+DN43-DW42,IF(A43&lt;'Données projet'!$A$166,$DL$205^A43,IF(A43='Données projet'!$A$166,'Données projet'!$B$166,DO42+DN43-DW42)))</f>
        <v>293</v>
      </c>
      <c r="DP43" s="17">
        <f>DO43*VLOOKUP('Données projet'!$B$14,Paramètres!$A$1:$I$89,3,0)*VLOOKUP('Données projet'!$B$14,Paramètres!$A$1:$I$89,5,0)</f>
        <v>315.3852</v>
      </c>
      <c r="DQ43" s="13">
        <f t="shared" si="43"/>
        <v>74.392344505779803</v>
      </c>
      <c r="DR43" s="20">
        <f t="shared" si="16"/>
        <v>678.86255668089984</v>
      </c>
      <c r="DS43" s="59">
        <f t="shared" si="17"/>
        <v>972.1958900142331</v>
      </c>
      <c r="DT43" s="59">
        <f ca="1">AVERAGE(OFFSET($DS$3,0,0,'Données projet'!$E$14+1,1))-AVERAGE(OFFSET($H$3,0,0,'Données projet'!$E$14+1,1))</f>
        <v>442.54137223086991</v>
      </c>
      <c r="DU43" s="59">
        <f t="shared" si="44"/>
        <v>454.23406186660714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61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1.6369872313873668</v>
      </c>
      <c r="EB43" s="21">
        <f>EXP(-LN(2)/25)*EB42+(1-EXP(-LN(2)/25))/(LN(2)/25)*Calculateur!DW43*Calculateur!DY43*VLOOKUP('Données projet'!$B$14,Paramètres!$A$1:$I$89,3,0)*0.475*44/12</f>
        <v>8.7544735413117909</v>
      </c>
      <c r="EC43" s="21">
        <f>EXP(-LN(2)/2)*EC42+(1-EXP(-LN(2)/2))/(LN(2)/2)*DW43*DZ43*VLOOKUP('Données projet'!$B$14,Paramètres!$A$1:$I$89,3,0)*0.475*44/12</f>
        <v>0.56369462010776639</v>
      </c>
      <c r="ED43" s="22">
        <f t="shared" si="18"/>
        <v>10.955155392806924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2.2737367544323206E-13</v>
      </c>
      <c r="O44" s="13">
        <f>N44*VLOOKUP('Données projet'!$B$9,Paramètres!$A$1:$I$89,3,0)*VLOOKUP('Données projet'!$B$9,Paramètres!$A$1:$I$89,5,0)</f>
        <v>1.3596945791505279E-13</v>
      </c>
      <c r="P44" s="13">
        <f t="shared" si="33"/>
        <v>1.9708830566360721E-12</v>
      </c>
      <c r="Q44" s="20">
        <f t="shared" si="53"/>
        <v>3.669434796176543E-12</v>
      </c>
      <c r="R44" s="59">
        <f t="shared" si="0"/>
        <v>293.33333333333701</v>
      </c>
      <c r="S44" s="59">
        <f ca="1">AVERAGE(OFFSET($R$3,0,0,'Données projet'!$E$9+1,1))-AVERAGE(OFFSET($H$3,0,0,'Données projet'!$E$9+1,1))</f>
        <v>201.49055911472067</v>
      </c>
      <c r="T44" s="59">
        <f t="shared" si="34"/>
        <v>403.37692064114719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59.941348519982498</v>
      </c>
      <c r="AA44" s="21">
        <f>EXP(-LN(2)/25)*AA43+(1-EXP(-LN(2)/25))/(LN(2)/25)*Calculateur!V44*Calculateur!X44*VLOOKUP('Données projet'!$B$9,Paramètres!$A$1:$I$89,3,0)*0.475*44/12</f>
        <v>49.789671256555202</v>
      </c>
      <c r="AB44" s="21">
        <f>EXP(-LN(2)/2)*AB43+(1-EXP(-LN(2)/2))/(LN(2)/2)*V44*Y44*VLOOKUP('Données projet'!$B$9,Paramètres!$A$1:$I$89,3,0)*0.475*44/12</f>
        <v>11.338858145544808</v>
      </c>
      <c r="AC44" s="22">
        <f t="shared" si="3"/>
        <v>121.0698779220825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39.000000000000057</v>
      </c>
      <c r="AJ44" s="13">
        <f>AI44*VLOOKUP('Données projet'!$B$10,Paramètres!$A$1:$I$89,3,0)*VLOOKUP('Données projet'!$B$10,Paramètres!$A$1:$I$89,5,0)</f>
        <v>34.070400000000056</v>
      </c>
      <c r="AK44" s="13">
        <f t="shared" si="35"/>
        <v>10.412633617059328</v>
      </c>
      <c r="AL44" s="20">
        <f t="shared" si="4"/>
        <v>77.474616883045101</v>
      </c>
      <c r="AM44" s="59">
        <f t="shared" si="5"/>
        <v>370.8079502163784</v>
      </c>
      <c r="AN44" s="59">
        <f ca="1">AVERAGE(OFFSET($AM$3,0,0,'Données projet'!$E$10+1,1))-AVERAGE(OFFSET($H$3,0,0,'Données projet'!$E$10+1,1))</f>
        <v>260.53994021583316</v>
      </c>
      <c r="AO44" s="59">
        <f t="shared" si="36"/>
        <v>669.20238852709122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6.5491625523753356</v>
      </c>
      <c r="AX44" s="21">
        <f t="shared" si="6"/>
        <v>6.5491625523753356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8.3000000000000007</v>
      </c>
      <c r="BD44" s="12">
        <f>IF('Données projet'!$A$88&gt;35,BD43+BC44-BL43,IF(A44&lt;'Données projet'!$A$88,$BA$205^A44,IF(A44='Données projet'!$A$88,'Données projet'!$B$88,BD43+BC44-BL43)))</f>
        <v>124.29999999999995</v>
      </c>
      <c r="BE44" s="13">
        <f>BD44*VLOOKUP('Données projet'!$B$11,Paramètres!$A$1:$I$89,3,0)*VLOOKUP('Données projet'!$B$11,Paramètres!$A$1:$I$89,5,0)</f>
        <v>126.04019999999996</v>
      </c>
      <c r="BF44" s="13">
        <f t="shared" si="37"/>
        <v>33.079725051468074</v>
      </c>
      <c r="BG44" s="20">
        <f t="shared" si="7"/>
        <v>277.13386946464016</v>
      </c>
      <c r="BH44" s="59">
        <f t="shared" si="8"/>
        <v>570.46720279797341</v>
      </c>
      <c r="BI44" s="59">
        <f ca="1">AVERAGE(OFFSET($BH$3,0,0,'Données projet'!$E$11+1,1))-AVERAGE(OFFSET($H$3,0,0,'Données projet'!$E$11+1,1))</f>
        <v>279.20364724206644</v>
      </c>
      <c r="BJ44" s="59">
        <f t="shared" si="38"/>
        <v>173.99850582760712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2.5658128233037183</v>
      </c>
      <c r="BR44" s="21">
        <f>EXP(-LN(2)/2)*BR43+(1-EXP(-LN(2)/2))/(LN(2)/2)*BL44*BO44*VLOOKUP('Données projet'!$B$11,Paramètres!$A$1:$I$89,3,0)*0.475*44/12</f>
        <v>0.15327286612837751</v>
      </c>
      <c r="BS44" s="22">
        <f t="shared" si="9"/>
        <v>2.7190856894320956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8.3000000000000007</v>
      </c>
      <c r="BY44" s="12">
        <f>IF('Données projet'!$A$114&gt;35,BY43+BX44-CG43,IF(A44&lt;'Données projet'!$A$114,$BV$205^A44,IF(A44='Données projet'!$A$114,'Données projet'!$B$114,BY43+BX44-CG43)))</f>
        <v>124.29999999999995</v>
      </c>
      <c r="BZ44" s="13">
        <f>BY44*VLOOKUP('Données projet'!$B$12,Paramètres!$A$1:$I$89,3,0)*VLOOKUP('Données projet'!$B$12,Paramètres!$A$1:$I$89,5,0)</f>
        <v>141.55283999999995</v>
      </c>
      <c r="CA44" s="13">
        <f t="shared" si="39"/>
        <v>36.65251063601815</v>
      </c>
      <c r="CB44" s="20">
        <f t="shared" si="10"/>
        <v>310.37431902439818</v>
      </c>
      <c r="CC44" s="59">
        <f t="shared" si="11"/>
        <v>603.70765235773149</v>
      </c>
      <c r="CD44" s="59">
        <f ca="1">AVERAGE(OFFSET($CC$3,0,0,'Données projet'!$E$12+1,1))-AVERAGE(OFFSET($H$3,0,0,'Données projet'!$E$12+1,1))</f>
        <v>327.06866218660838</v>
      </c>
      <c r="CE44" s="59">
        <f t="shared" si="40"/>
        <v>202.18198935334908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2.8816051707872532</v>
      </c>
      <c r="CM44" s="21">
        <f>EXP(-LN(2)/2)*CM43+(1-EXP(-LN(2)/2))/(LN(2)/2)*CG44*CJ44*VLOOKUP('Données projet'!$B$12,Paramètres!$A$1:$I$89,3,0)*0.475*44/12</f>
        <v>0.17213721888263947</v>
      </c>
      <c r="CN44" s="22">
        <f t="shared" si="12"/>
        <v>3.0537423896698925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9.1999999999999993</v>
      </c>
      <c r="CT44" s="12">
        <f>IF('Données projet'!$A$140&gt;35,CT43+CS44-DB43,IF(A44&lt;'Données projet'!$A$140,$CQ$205^A44,IF(A44='Données projet'!$A$140,'Données projet'!$B$140,CT43+CS44-DB43)))</f>
        <v>202.19999999999993</v>
      </c>
      <c r="CU44" s="17">
        <f>CT44*VLOOKUP('Données projet'!$B$13,Paramètres!$A$1:$I$89,3,0)*VLOOKUP('Données projet'!$B$13,Paramètres!$A$1:$I$89,5,0)</f>
        <v>164.02463999999995</v>
      </c>
      <c r="CV44" s="13">
        <f t="shared" si="41"/>
        <v>41.748967529794783</v>
      </c>
      <c r="CW44" s="20">
        <f t="shared" si="13"/>
        <v>358.38903311439248</v>
      </c>
      <c r="CX44" s="59">
        <f t="shared" si="14"/>
        <v>651.72236644772579</v>
      </c>
      <c r="CY44" s="59">
        <f ca="1">AVERAGE(OFFSET($CX$3,0,0,'Données projet'!$E$13+1,1))-AVERAGE(OFFSET($H$3,0,0,'Données projet'!$E$13+1,1))</f>
        <v>266.72672633301022</v>
      </c>
      <c r="CZ44" s="59">
        <f t="shared" si="42"/>
        <v>314.26991662544219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2.1708615211022941</v>
      </c>
      <c r="DG44" s="21">
        <f>EXP(-LN(2)/25)*DG43+(1-EXP(-LN(2)/25))/(LN(2)/25)*Calculateur!DB44*Calculateur!DD44*VLOOKUP('Données projet'!$B$13,Paramètres!$A$1:$I$89,3,0)*0.475*44/12</f>
        <v>12.512425471217057</v>
      </c>
      <c r="DH44" s="21">
        <f>EXP(-LN(2)/2)*DH43+(1-EXP(-LN(2)/2))/(LN(2)/2)*DB44*DE44*VLOOKUP('Données projet'!$B$13,Paramètres!$A$1:$I$89,3,0)*0.475*44/12</f>
        <v>0.54160817091398261</v>
      </c>
      <c r="DI44" s="22">
        <f t="shared" si="15"/>
        <v>15.224895163233334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11.9</v>
      </c>
      <c r="DO44" s="12">
        <f>IF('Données projet'!$A$166&gt;35,DO43+DN44-DW43,IF(A44&lt;'Données projet'!$A$166,$DL$205^A44,IF(A44='Données projet'!$A$166,'Données projet'!$B$166,DO43+DN44-DW43)))</f>
        <v>243.89999999999998</v>
      </c>
      <c r="DP44" s="17">
        <f>DO44*VLOOKUP('Données projet'!$B$14,Paramètres!$A$1:$I$89,3,0)*VLOOKUP('Données projet'!$B$14,Paramètres!$A$1:$I$89,5,0)</f>
        <v>262.53395999999998</v>
      </c>
      <c r="DQ44" s="13">
        <f t="shared" si="43"/>
        <v>63.262210558499483</v>
      </c>
      <c r="DR44" s="20">
        <f t="shared" si="16"/>
        <v>567.42833038938647</v>
      </c>
      <c r="DS44" s="59">
        <f t="shared" si="17"/>
        <v>860.76166372271973</v>
      </c>
      <c r="DT44" s="59">
        <f ca="1">AVERAGE(OFFSET($DS$3,0,0,'Données projet'!$E$14+1,1))-AVERAGE(OFFSET($H$3,0,0,'Données projet'!$E$14+1,1))</f>
        <v>442.54137223086991</v>
      </c>
      <c r="DU44" s="59">
        <f t="shared" si="44"/>
        <v>454.23406186660714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1.6048869102434815</v>
      </c>
      <c r="EB44" s="21">
        <f>EXP(-LN(2)/25)*EB43+(1-EXP(-LN(2)/25))/(LN(2)/25)*Calculateur!DW44*Calculateur!DY44*VLOOKUP('Données projet'!$B$14,Paramètres!$A$1:$I$89,3,0)*0.475*44/12</f>
        <v>8.5150820019468654</v>
      </c>
      <c r="EC44" s="21">
        <f>EXP(-LN(2)/2)*EC43+(1-EXP(-LN(2)/2))/(LN(2)/2)*DW44*DZ44*VLOOKUP('Données projet'!$B$14,Paramètres!$A$1:$I$89,3,0)*0.475*44/12</f>
        <v>0.3985922883965764</v>
      </c>
      <c r="ED44" s="22">
        <f t="shared" si="18"/>
        <v>10.518561200586923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2.2737367544323206E-13</v>
      </c>
      <c r="O45" s="13">
        <f>N45*VLOOKUP('Données projet'!$B$9,Paramètres!$A$1:$I$89,3,0)*VLOOKUP('Données projet'!$B$9,Paramètres!$A$1:$I$89,5,0)</f>
        <v>1.3596945791505279E-13</v>
      </c>
      <c r="P45" s="13">
        <f t="shared" si="33"/>
        <v>1.9708830566360721E-12</v>
      </c>
      <c r="Q45" s="20">
        <f t="shared" si="53"/>
        <v>3.669434796176543E-12</v>
      </c>
      <c r="R45" s="59">
        <f t="shared" si="0"/>
        <v>293.33333333333701</v>
      </c>
      <c r="S45" s="59">
        <f ca="1">AVERAGE(OFFSET($R$3,0,0,'Données projet'!$E$9+1,1))-AVERAGE(OFFSET($H$3,0,0,'Données projet'!$E$9+1,1))</f>
        <v>201.49055911472067</v>
      </c>
      <c r="T45" s="59">
        <f t="shared" si="34"/>
        <v>403.37692064114719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58.765935236118175</v>
      </c>
      <c r="AA45" s="21">
        <f>EXP(-LN(2)/25)*AA44+(1-EXP(-LN(2)/25))/(LN(2)/25)*Calculateur!V45*Calculateur!X45*VLOOKUP('Données projet'!$B$9,Paramètres!$A$1:$I$89,3,0)*0.475*44/12</f>
        <v>48.428170077719685</v>
      </c>
      <c r="AB45" s="21">
        <f>EXP(-LN(2)/2)*AB44+(1-EXP(-LN(2)/2))/(LN(2)/2)*V45*Y45*VLOOKUP('Données projet'!$B$9,Paramètres!$A$1:$I$89,3,0)*0.475*44/12</f>
        <v>8.0177834856270547</v>
      </c>
      <c r="AC45" s="22">
        <f t="shared" si="3"/>
        <v>115.21188879946492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39.000000000000057</v>
      </c>
      <c r="AJ45" s="13">
        <f>AI45*VLOOKUP('Données projet'!$B$10,Paramètres!$A$1:$I$89,3,0)*VLOOKUP('Données projet'!$B$10,Paramètres!$A$1:$I$89,5,0)</f>
        <v>34.070400000000056</v>
      </c>
      <c r="AK45" s="13">
        <f t="shared" si="35"/>
        <v>10.412633617059328</v>
      </c>
      <c r="AL45" s="20">
        <f t="shared" si="4"/>
        <v>77.474616883045101</v>
      </c>
      <c r="AM45" s="59">
        <f t="shared" si="5"/>
        <v>370.8079502163784</v>
      </c>
      <c r="AN45" s="59">
        <f ca="1">AVERAGE(OFFSET($AM$3,0,0,'Données projet'!$E$10+1,1))-AVERAGE(OFFSET($H$3,0,0,'Données projet'!$E$10+1,1))</f>
        <v>260.53994021583316</v>
      </c>
      <c r="AO45" s="59">
        <f t="shared" si="36"/>
        <v>669.20238852709122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4.6309572518775974</v>
      </c>
      <c r="AX45" s="21">
        <f t="shared" si="6"/>
        <v>4.6309572518775974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8.3000000000000007</v>
      </c>
      <c r="BD45" s="12">
        <f>IF('Données projet'!$A$88&gt;35,BD44+BC45-BL44,IF(A45&lt;'Données projet'!$A$88,$BA$205^A45,IF(A45='Données projet'!$A$88,'Données projet'!$B$88,BD44+BC45-BL44)))</f>
        <v>132.59999999999997</v>
      </c>
      <c r="BE45" s="13">
        <f>BD45*VLOOKUP('Données projet'!$B$11,Paramètres!$A$1:$I$89,3,0)*VLOOKUP('Données projet'!$B$11,Paramètres!$A$1:$I$89,5,0)</f>
        <v>134.45639999999997</v>
      </c>
      <c r="BF45" s="13">
        <f t="shared" si="37"/>
        <v>35.024073835162383</v>
      </c>
      <c r="BG45" s="20">
        <f t="shared" si="7"/>
        <v>295.17849192957436</v>
      </c>
      <c r="BH45" s="59">
        <f t="shared" si="8"/>
        <v>588.51182526290768</v>
      </c>
      <c r="BI45" s="59">
        <f ca="1">AVERAGE(OFFSET($BH$3,0,0,'Données projet'!$E$11+1,1))-AVERAGE(OFFSET($H$3,0,0,'Données projet'!$E$11+1,1))</f>
        <v>279.20364724206644</v>
      </c>
      <c r="BJ45" s="59">
        <f t="shared" si="38"/>
        <v>173.99850582760712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2.4956505367202459</v>
      </c>
      <c r="BR45" s="21">
        <f>EXP(-LN(2)/2)*BR44+(1-EXP(-LN(2)/2))/(LN(2)/2)*BL45*BO45*VLOOKUP('Données projet'!$B$11,Paramètres!$A$1:$I$89,3,0)*0.475*44/12</f>
        <v>0.10838028301127363</v>
      </c>
      <c r="BS45" s="22">
        <f t="shared" si="9"/>
        <v>2.6040308197315194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8.3000000000000007</v>
      </c>
      <c r="BY45" s="12">
        <f>IF('Données projet'!$A$114&gt;35,BY44+BX45-CG44,IF(A45&lt;'Données projet'!$A$114,$BV$205^A45,IF(A45='Données projet'!$A$114,'Données projet'!$B$114,BY44+BX45-CG44)))</f>
        <v>132.59999999999997</v>
      </c>
      <c r="BZ45" s="13">
        <f>BY45*VLOOKUP('Données projet'!$B$12,Paramètres!$A$1:$I$89,3,0)*VLOOKUP('Données projet'!$B$12,Paramètres!$A$1:$I$89,5,0)</f>
        <v>151.00487999999996</v>
      </c>
      <c r="CA45" s="13">
        <f t="shared" si="39"/>
        <v>38.80685939084016</v>
      </c>
      <c r="CB45" s="20">
        <f t="shared" si="10"/>
        <v>330.5887794390465</v>
      </c>
      <c r="CC45" s="59">
        <f t="shared" si="11"/>
        <v>623.92211277237982</v>
      </c>
      <c r="CD45" s="59">
        <f ca="1">AVERAGE(OFFSET($CC$3,0,0,'Données projet'!$E$12+1,1))-AVERAGE(OFFSET($H$3,0,0,'Données projet'!$E$12+1,1))</f>
        <v>327.06866218660838</v>
      </c>
      <c r="CE45" s="59">
        <f t="shared" si="40"/>
        <v>202.18198935334908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2.8028075258550458</v>
      </c>
      <c r="CM45" s="21">
        <f>EXP(-LN(2)/2)*CM44+(1-EXP(-LN(2)/2))/(LN(2)/2)*CG45*CJ45*VLOOKUP('Données projet'!$B$12,Paramètres!$A$1:$I$89,3,0)*0.475*44/12</f>
        <v>0.12171939476650739</v>
      </c>
      <c r="CN45" s="22">
        <f t="shared" si="12"/>
        <v>2.9245269206215534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9.1999999999999993</v>
      </c>
      <c r="CT45" s="12">
        <f>IF('Données projet'!$A$140&gt;35,CT44+CS45-DB44,IF(A45&lt;'Données projet'!$A$140,$CQ$205^A45,IF(A45='Données projet'!$A$140,'Données projet'!$B$140,CT44+CS45-DB44)))</f>
        <v>211.39999999999992</v>
      </c>
      <c r="CU45" s="17">
        <f>CT45*VLOOKUP('Données projet'!$B$13,Paramètres!$A$1:$I$89,3,0)*VLOOKUP('Données projet'!$B$13,Paramètres!$A$1:$I$89,5,0)</f>
        <v>171.48767999999995</v>
      </c>
      <c r="CV45" s="13">
        <f t="shared" si="41"/>
        <v>43.423045268797694</v>
      </c>
      <c r="CW45" s="20">
        <f t="shared" si="13"/>
        <v>374.30284650982253</v>
      </c>
      <c r="CX45" s="59">
        <f t="shared" si="14"/>
        <v>667.63617984315579</v>
      </c>
      <c r="CY45" s="59">
        <f ca="1">AVERAGE(OFFSET($CX$3,0,0,'Données projet'!$E$13+1,1))-AVERAGE(OFFSET($H$3,0,0,'Données projet'!$E$13+1,1))</f>
        <v>266.72672633301022</v>
      </c>
      <c r="CZ45" s="59">
        <f t="shared" si="42"/>
        <v>314.26991662544219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2.1282922507682627</v>
      </c>
      <c r="DG45" s="21">
        <f>EXP(-LN(2)/25)*DG44+(1-EXP(-LN(2)/25))/(LN(2)/25)*Calculateur!DB45*Calculateur!DD45*VLOOKUP('Données projet'!$B$13,Paramètres!$A$1:$I$89,3,0)*0.475*44/12</f>
        <v>12.170272538706769</v>
      </c>
      <c r="DH45" s="21">
        <f>EXP(-LN(2)/2)*DH44+(1-EXP(-LN(2)/2))/(LN(2)/2)*DB45*DE45*VLOOKUP('Données projet'!$B$13,Paramètres!$A$1:$I$89,3,0)*0.475*44/12</f>
        <v>0.38297481039931974</v>
      </c>
      <c r="DI45" s="22">
        <f t="shared" si="15"/>
        <v>14.681539599874352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11.9</v>
      </c>
      <c r="DO45" s="12">
        <f>IF('Données projet'!$A$166&gt;35,DO44+DN45-DW44,IF(A45&lt;'Données projet'!$A$166,$DL$205^A45,IF(A45='Données projet'!$A$166,'Données projet'!$B$166,DO44+DN45-DW44)))</f>
        <v>255.79999999999998</v>
      </c>
      <c r="DP45" s="17">
        <f>DO45*VLOOKUP('Données projet'!$B$14,Paramètres!$A$1:$I$89,3,0)*VLOOKUP('Données projet'!$B$14,Paramètres!$A$1:$I$89,5,0)</f>
        <v>275.34312</v>
      </c>
      <c r="DQ45" s="13">
        <f t="shared" si="43"/>
        <v>65.981917712653129</v>
      </c>
      <c r="DR45" s="20">
        <f t="shared" si="16"/>
        <v>594.47444068287086</v>
      </c>
      <c r="DS45" s="59">
        <f t="shared" si="17"/>
        <v>887.80777401620412</v>
      </c>
      <c r="DT45" s="59">
        <f ca="1">AVERAGE(OFFSET($DS$3,0,0,'Données projet'!$E$14+1,1))-AVERAGE(OFFSET($H$3,0,0,'Données projet'!$E$14+1,1))</f>
        <v>442.54137223086991</v>
      </c>
      <c r="DU45" s="59">
        <f t="shared" si="44"/>
        <v>454.23406186660714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1.5734160568179654</v>
      </c>
      <c r="EB45" s="21">
        <f>EXP(-LN(2)/25)*EB44+(1-EXP(-LN(2)/25))/(LN(2)/25)*Calculateur!DW45*Calculateur!DY45*VLOOKUP('Données projet'!$B$14,Paramètres!$A$1:$I$89,3,0)*0.475*44/12</f>
        <v>8.2822366368149272</v>
      </c>
      <c r="EC45" s="21">
        <f>EXP(-LN(2)/2)*EC44+(1-EXP(-LN(2)/2))/(LN(2)/2)*DW45*DZ45*VLOOKUP('Données projet'!$B$14,Paramètres!$A$1:$I$89,3,0)*0.475*44/12</f>
        <v>0.28184731005388319</v>
      </c>
      <c r="ED45" s="22">
        <f t="shared" si="18"/>
        <v>10.137500003686776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2.2737367544323206E-13</v>
      </c>
      <c r="O46" s="13">
        <f>N46*VLOOKUP('Données projet'!$B$9,Paramètres!$A$1:$I$89,3,0)*VLOOKUP('Données projet'!$B$9,Paramètres!$A$1:$I$89,5,0)</f>
        <v>1.3596945791505279E-13</v>
      </c>
      <c r="P46" s="13">
        <f t="shared" si="33"/>
        <v>1.9708830566360721E-12</v>
      </c>
      <c r="Q46" s="20">
        <f t="shared" si="53"/>
        <v>3.669434796176543E-12</v>
      </c>
      <c r="R46" s="59">
        <f t="shared" si="0"/>
        <v>293.33333333333701</v>
      </c>
      <c r="S46" s="59">
        <f ca="1">AVERAGE(OFFSET($R$3,0,0,'Données projet'!$E$9+1,1))-AVERAGE(OFFSET($H$3,0,0,'Données projet'!$E$9+1,1))</f>
        <v>201.49055911472067</v>
      </c>
      <c r="T46" s="59">
        <f t="shared" si="34"/>
        <v>403.37692064114719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57.613571089819125</v>
      </c>
      <c r="AA46" s="21">
        <f>EXP(-LN(2)/25)*AA45+(1-EXP(-LN(2)/25))/(LN(2)/25)*Calculateur!V46*Calculateur!X46*VLOOKUP('Données projet'!$B$9,Paramètres!$A$1:$I$89,3,0)*0.475*44/12</f>
        <v>47.103899220217663</v>
      </c>
      <c r="AB46" s="21">
        <f>EXP(-LN(2)/2)*AB45+(1-EXP(-LN(2)/2))/(LN(2)/2)*V46*Y46*VLOOKUP('Données projet'!$B$9,Paramètres!$A$1:$I$89,3,0)*0.475*44/12</f>
        <v>5.6694290727724042</v>
      </c>
      <c r="AC46" s="22">
        <f t="shared" si="3"/>
        <v>110.38689938280919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39.000000000000057</v>
      </c>
      <c r="AJ46" s="13">
        <f>AI46*VLOOKUP('Données projet'!$B$10,Paramètres!$A$1:$I$89,3,0)*VLOOKUP('Données projet'!$B$10,Paramètres!$A$1:$I$89,5,0)</f>
        <v>34.070400000000056</v>
      </c>
      <c r="AK46" s="13">
        <f t="shared" si="35"/>
        <v>10.412633617059328</v>
      </c>
      <c r="AL46" s="20">
        <f t="shared" si="4"/>
        <v>77.474616883045101</v>
      </c>
      <c r="AM46" s="59">
        <f t="shared" si="5"/>
        <v>370.8079502163784</v>
      </c>
      <c r="AN46" s="59">
        <f ca="1">AVERAGE(OFFSET($AM$3,0,0,'Données projet'!$E$10+1,1))-AVERAGE(OFFSET($H$3,0,0,'Données projet'!$E$10+1,1))</f>
        <v>260.53994021583316</v>
      </c>
      <c r="AO46" s="59">
        <f t="shared" si="36"/>
        <v>669.20238852709122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3.2745812761876678</v>
      </c>
      <c r="AX46" s="21">
        <f t="shared" si="6"/>
        <v>3.2745812761876678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8.3000000000000007</v>
      </c>
      <c r="BD46" s="12">
        <f>IF('Données projet'!$A$88&gt;35,BD45+BC46-BL45,IF(A46&lt;'Données projet'!$A$88,$BA$205^A46,IF(A46='Données projet'!$A$88,'Données projet'!$B$88,BD45+BC46-BL45)))</f>
        <v>140.89999999999998</v>
      </c>
      <c r="BE46" s="13">
        <f>BD46*VLOOKUP('Données projet'!$B$11,Paramètres!$A$1:$I$89,3,0)*VLOOKUP('Données projet'!$B$11,Paramètres!$A$1:$I$89,5,0)</f>
        <v>142.87260000000001</v>
      </c>
      <c r="BF46" s="13">
        <f t="shared" si="37"/>
        <v>36.954297895468954</v>
      </c>
      <c r="BG46" s="20">
        <f t="shared" si="7"/>
        <v>313.19851383460843</v>
      </c>
      <c r="BH46" s="59">
        <f t="shared" si="8"/>
        <v>606.53184716794181</v>
      </c>
      <c r="BI46" s="59">
        <f ca="1">AVERAGE(OFFSET($BH$3,0,0,'Données projet'!$E$11+1,1))-AVERAGE(OFFSET($H$3,0,0,'Données projet'!$E$11+1,1))</f>
        <v>279.20364724206644</v>
      </c>
      <c r="BJ46" s="59">
        <f t="shared" si="38"/>
        <v>173.99850582760712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2.427406841553073</v>
      </c>
      <c r="BR46" s="21">
        <f>EXP(-LN(2)/2)*BR45+(1-EXP(-LN(2)/2))/(LN(2)/2)*BL46*BO46*VLOOKUP('Données projet'!$B$11,Paramètres!$A$1:$I$89,3,0)*0.475*44/12</f>
        <v>7.6636433064188755E-2</v>
      </c>
      <c r="BS46" s="22">
        <f t="shared" si="9"/>
        <v>2.5040432746172616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8.3000000000000007</v>
      </c>
      <c r="BY46" s="12">
        <f>IF('Données projet'!$A$114&gt;35,BY45+BX46-CG45,IF(A46&lt;'Données projet'!$A$114,$BV$205^A46,IF(A46='Données projet'!$A$114,'Données projet'!$B$114,BY45+BX46-CG45)))</f>
        <v>140.89999999999998</v>
      </c>
      <c r="BZ46" s="13">
        <f>BY46*VLOOKUP('Données projet'!$B$12,Paramètres!$A$1:$I$89,3,0)*VLOOKUP('Données projet'!$B$12,Paramètres!$A$1:$I$89,5,0)</f>
        <v>160.45691999999997</v>
      </c>
      <c r="CA46" s="13">
        <f t="shared" si="39"/>
        <v>40.945557877306115</v>
      </c>
      <c r="CB46" s="20">
        <f t="shared" si="10"/>
        <v>350.77598230297468</v>
      </c>
      <c r="CC46" s="59">
        <f t="shared" si="11"/>
        <v>644.109315636308</v>
      </c>
      <c r="CD46" s="59">
        <f ca="1">AVERAGE(OFFSET($CC$3,0,0,'Données projet'!$E$12+1,1))-AVERAGE(OFFSET($H$3,0,0,'Données projet'!$E$12+1,1))</f>
        <v>327.06866218660838</v>
      </c>
      <c r="CE46" s="59">
        <f t="shared" si="40"/>
        <v>202.18198935334908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2.7261646066672975</v>
      </c>
      <c r="CM46" s="21">
        <f>EXP(-LN(2)/2)*CM45+(1-EXP(-LN(2)/2))/(LN(2)/2)*CG46*CJ46*VLOOKUP('Données projet'!$B$12,Paramètres!$A$1:$I$89,3,0)*0.475*44/12</f>
        <v>8.6068609441319749E-2</v>
      </c>
      <c r="CN46" s="22">
        <f t="shared" si="12"/>
        <v>2.8122332161086172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9.1999999999999993</v>
      </c>
      <c r="CT46" s="12">
        <f>IF('Données projet'!$A$140&gt;35,CT45+CS46-DB45,IF(A46&lt;'Données projet'!$A$140,$CQ$205^A46,IF(A46='Données projet'!$A$140,'Données projet'!$B$140,CT45+CS46-DB45)))</f>
        <v>220.59999999999991</v>
      </c>
      <c r="CU46" s="17">
        <f>CT46*VLOOKUP('Données projet'!$B$13,Paramètres!$A$1:$I$89,3,0)*VLOOKUP('Données projet'!$B$13,Paramètres!$A$1:$I$89,5,0)</f>
        <v>178.95071999999993</v>
      </c>
      <c r="CV46" s="13">
        <f t="shared" si="41"/>
        <v>45.088661325670202</v>
      </c>
      <c r="CW46" s="20">
        <f t="shared" si="13"/>
        <v>390.20192247554218</v>
      </c>
      <c r="CX46" s="59">
        <f t="shared" si="14"/>
        <v>683.53525580887549</v>
      </c>
      <c r="CY46" s="59">
        <f ca="1">AVERAGE(OFFSET($CX$3,0,0,'Données projet'!$E$13+1,1))-AVERAGE(OFFSET($H$3,0,0,'Données projet'!$E$13+1,1))</f>
        <v>266.72672633301022</v>
      </c>
      <c r="CZ46" s="59">
        <f t="shared" si="42"/>
        <v>314.26991662544219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2.0865577378607902</v>
      </c>
      <c r="DG46" s="21">
        <f>EXP(-LN(2)/25)*DG45+(1-EXP(-LN(2)/25))/(LN(2)/25)*Calculateur!DB46*Calculateur!DD46*VLOOKUP('Données projet'!$B$13,Paramètres!$A$1:$I$89,3,0)*0.475*44/12</f>
        <v>11.837475796129015</v>
      </c>
      <c r="DH46" s="21">
        <f>EXP(-LN(2)/2)*DH45+(1-EXP(-LN(2)/2))/(LN(2)/2)*DB46*DE46*VLOOKUP('Données projet'!$B$13,Paramètres!$A$1:$I$89,3,0)*0.475*44/12</f>
        <v>0.27080408545699131</v>
      </c>
      <c r="DI46" s="22">
        <f t="shared" si="15"/>
        <v>14.194837619446796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11.9</v>
      </c>
      <c r="DO46" s="12">
        <f>IF('Données projet'!$A$166&gt;35,DO45+DN46-DW45,IF(A46&lt;'Données projet'!$A$166,$DL$205^A46,IF(A46='Données projet'!$A$166,'Données projet'!$B$166,DO45+DN46-DW45)))</f>
        <v>267.7</v>
      </c>
      <c r="DP46" s="17">
        <f>DO46*VLOOKUP('Données projet'!$B$14,Paramètres!$A$1:$I$89,3,0)*VLOOKUP('Données projet'!$B$14,Paramètres!$A$1:$I$89,5,0)</f>
        <v>288.15227999999996</v>
      </c>
      <c r="DQ46" s="13">
        <f t="shared" si="43"/>
        <v>68.686931826965946</v>
      </c>
      <c r="DR46" s="20">
        <f t="shared" si="16"/>
        <v>621.49496059863225</v>
      </c>
      <c r="DS46" s="59">
        <f t="shared" si="17"/>
        <v>914.82829393196562</v>
      </c>
      <c r="DT46" s="59">
        <f ca="1">AVERAGE(OFFSET($DS$3,0,0,'Données projet'!$E$14+1,1))-AVERAGE(OFFSET($H$3,0,0,'Données projet'!$E$14+1,1))</f>
        <v>442.54137223086991</v>
      </c>
      <c r="DU46" s="59">
        <f t="shared" si="44"/>
        <v>454.23406186660714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1.5425623276327982</v>
      </c>
      <c r="EB46" s="21">
        <f>EXP(-LN(2)/25)*EB45+(1-EXP(-LN(2)/25))/(LN(2)/25)*Calculateur!DW46*Calculateur!DY46*VLOOKUP('Données projet'!$B$14,Paramètres!$A$1:$I$89,3,0)*0.475*44/12</f>
        <v>8.0557584404373284</v>
      </c>
      <c r="EC46" s="21">
        <f>EXP(-LN(2)/2)*EC45+(1-EXP(-LN(2)/2))/(LN(2)/2)*DW46*DZ46*VLOOKUP('Données projet'!$B$14,Paramètres!$A$1:$I$89,3,0)*0.475*44/12</f>
        <v>0.1992961441982882</v>
      </c>
      <c r="ED46" s="22">
        <f t="shared" si="18"/>
        <v>9.7976169122684134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2.2737367544323206E-13</v>
      </c>
      <c r="O47" s="13">
        <f>N47*VLOOKUP('Données projet'!$B$9,Paramètres!$A$1:$I$89,3,0)*VLOOKUP('Données projet'!$B$9,Paramètres!$A$1:$I$89,5,0)</f>
        <v>1.3596945791505279E-13</v>
      </c>
      <c r="P47" s="13">
        <f t="shared" si="33"/>
        <v>1.9708830566360721E-12</v>
      </c>
      <c r="Q47" s="20">
        <f t="shared" si="53"/>
        <v>3.669434796176543E-12</v>
      </c>
      <c r="R47" s="59">
        <f t="shared" si="0"/>
        <v>293.33333333333701</v>
      </c>
      <c r="S47" s="59">
        <f ca="1">AVERAGE(OFFSET($R$3,0,0,'Données projet'!$E$9+1,1))-AVERAGE(OFFSET($H$3,0,0,'Données projet'!$E$9+1,1))</f>
        <v>201.49055911472067</v>
      </c>
      <c r="T47" s="59">
        <f t="shared" si="34"/>
        <v>403.37692064114719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56.483804101556267</v>
      </c>
      <c r="AA47" s="21">
        <f>EXP(-LN(2)/25)*AA46+(1-EXP(-LN(2)/25))/(LN(2)/25)*Calculateur!V47*Calculateur!X47*VLOOKUP('Données projet'!$B$9,Paramètres!$A$1:$I$89,3,0)*0.475*44/12</f>
        <v>45.815840618954411</v>
      </c>
      <c r="AB47" s="21">
        <f>EXP(-LN(2)/2)*AB46+(1-EXP(-LN(2)/2))/(LN(2)/2)*V47*Y47*VLOOKUP('Données projet'!$B$9,Paramètres!$A$1:$I$89,3,0)*0.475*44/12</f>
        <v>4.0088917428135273</v>
      </c>
      <c r="AC47" s="22">
        <f t="shared" si="3"/>
        <v>106.30853646332422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39.000000000000057</v>
      </c>
      <c r="AJ47" s="13">
        <f>AI47*VLOOKUP('Données projet'!$B$10,Paramètres!$A$1:$I$89,3,0)*VLOOKUP('Données projet'!$B$10,Paramètres!$A$1:$I$89,5,0)</f>
        <v>34.070400000000056</v>
      </c>
      <c r="AK47" s="13">
        <f t="shared" si="35"/>
        <v>10.412633617059328</v>
      </c>
      <c r="AL47" s="20">
        <f t="shared" si="4"/>
        <v>77.474616883045101</v>
      </c>
      <c r="AM47" s="59">
        <f t="shared" si="5"/>
        <v>370.8079502163784</v>
      </c>
      <c r="AN47" s="59">
        <f ca="1">AVERAGE(OFFSET($AM$3,0,0,'Données projet'!$E$10+1,1))-AVERAGE(OFFSET($H$3,0,0,'Données projet'!$E$10+1,1))</f>
        <v>260.53994021583316</v>
      </c>
      <c r="AO47" s="59">
        <f t="shared" si="36"/>
        <v>669.20238852709122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2.3154786259387987</v>
      </c>
      <c r="AX47" s="21">
        <f t="shared" si="6"/>
        <v>2.3154786259387987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8.3000000000000007</v>
      </c>
      <c r="BD47" s="12">
        <f>IF('Données projet'!$A$88&gt;35,BD46+BC47-BL46,IF(A47&lt;'Données projet'!$A$88,$BA$205^A47,IF(A47='Données projet'!$A$88,'Données projet'!$B$88,BD46+BC47-BL46)))</f>
        <v>149.19999999999999</v>
      </c>
      <c r="BE47" s="13">
        <f>BD47*VLOOKUP('Données projet'!$B$11,Paramètres!$A$1:$I$89,3,0)*VLOOKUP('Données projet'!$B$11,Paramètres!$A$1:$I$89,5,0)</f>
        <v>151.28879999999998</v>
      </c>
      <c r="BF47" s="13">
        <f t="shared" si="37"/>
        <v>38.871324053555178</v>
      </c>
      <c r="BG47" s="20">
        <f t="shared" si="7"/>
        <v>331.19554939327526</v>
      </c>
      <c r="BH47" s="59">
        <f t="shared" si="8"/>
        <v>624.52888272660857</v>
      </c>
      <c r="BI47" s="59">
        <f ca="1">AVERAGE(OFFSET($BH$3,0,0,'Données projet'!$E$11+1,1))-AVERAGE(OFFSET($H$3,0,0,'Données projet'!$E$11+1,1))</f>
        <v>279.20364724206644</v>
      </c>
      <c r="BJ47" s="59">
        <f t="shared" si="38"/>
        <v>173.99850582760712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2.3610292738190264</v>
      </c>
      <c r="BR47" s="21">
        <f>EXP(-LN(2)/2)*BR46+(1-EXP(-LN(2)/2))/(LN(2)/2)*BL47*BO47*VLOOKUP('Données projet'!$B$11,Paramètres!$A$1:$I$89,3,0)*0.475*44/12</f>
        <v>5.4190141505636814E-2</v>
      </c>
      <c r="BS47" s="22">
        <f t="shared" si="9"/>
        <v>2.4152194153246631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8.3000000000000007</v>
      </c>
      <c r="BY47" s="12">
        <f>IF('Données projet'!$A$114&gt;35,BY46+BX47-CG46,IF(A47&lt;'Données projet'!$A$114,$BV$205^A47,IF(A47='Données projet'!$A$114,'Données projet'!$B$114,BY46+BX47-CG46)))</f>
        <v>149.19999999999999</v>
      </c>
      <c r="BZ47" s="13">
        <f>BY47*VLOOKUP('Données projet'!$B$12,Paramètres!$A$1:$I$89,3,0)*VLOOKUP('Données projet'!$B$12,Paramètres!$A$1:$I$89,5,0)</f>
        <v>169.90895999999998</v>
      </c>
      <c r="CA47" s="13">
        <f t="shared" si="39"/>
        <v>43.069633018180419</v>
      </c>
      <c r="CB47" s="20">
        <f t="shared" si="10"/>
        <v>370.93771617333078</v>
      </c>
      <c r="CC47" s="59">
        <f t="shared" si="11"/>
        <v>664.2710495066641</v>
      </c>
      <c r="CD47" s="59">
        <f ca="1">AVERAGE(OFFSET($CC$3,0,0,'Données projet'!$E$12+1,1))-AVERAGE(OFFSET($H$3,0,0,'Données projet'!$E$12+1,1))</f>
        <v>327.06866218660838</v>
      </c>
      <c r="CE47" s="59">
        <f t="shared" si="40"/>
        <v>202.18198935334908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2.6516174921352142</v>
      </c>
      <c r="CM47" s="21">
        <f>EXP(-LN(2)/2)*CM46+(1-EXP(-LN(2)/2))/(LN(2)/2)*CG47*CJ47*VLOOKUP('Données projet'!$B$12,Paramètres!$A$1:$I$89,3,0)*0.475*44/12</f>
        <v>6.0859697383253704E-2</v>
      </c>
      <c r="CN47" s="22">
        <f t="shared" si="12"/>
        <v>2.7124771895184678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9.1999999999999993</v>
      </c>
      <c r="CT47" s="12">
        <f>IF('Données projet'!$A$140&gt;35,CT46+CS47-DB46,IF(A47&lt;'Données projet'!$A$140,$CQ$205^A47,IF(A47='Données projet'!$A$140,'Données projet'!$B$140,CT46+CS47-DB46)))</f>
        <v>229.7999999999999</v>
      </c>
      <c r="CU47" s="17">
        <f>CT47*VLOOKUP('Données projet'!$B$13,Paramètres!$A$1:$I$89,3,0)*VLOOKUP('Données projet'!$B$13,Paramètres!$A$1:$I$89,5,0)</f>
        <v>186.41375999999994</v>
      </c>
      <c r="CV47" s="13">
        <f t="shared" si="41"/>
        <v>46.746208944321289</v>
      </c>
      <c r="CW47" s="20">
        <f t="shared" si="13"/>
        <v>406.08694591135946</v>
      </c>
      <c r="CX47" s="59">
        <f t="shared" si="14"/>
        <v>699.42027924469278</v>
      </c>
      <c r="CY47" s="59">
        <f ca="1">AVERAGE(OFFSET($CX$3,0,0,'Données projet'!$E$13+1,1))-AVERAGE(OFFSET($H$3,0,0,'Données projet'!$E$13+1,1))</f>
        <v>266.72672633301022</v>
      </c>
      <c r="CZ47" s="59">
        <f t="shared" si="42"/>
        <v>314.26991662544219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2.0456416132958939</v>
      </c>
      <c r="DG47" s="21">
        <f>EXP(-LN(2)/25)*DG46+(1-EXP(-LN(2)/25))/(LN(2)/25)*Calculateur!DB47*Calculateur!DD47*VLOOKUP('Données projet'!$B$13,Paramètres!$A$1:$I$89,3,0)*0.475*44/12</f>
        <v>11.51377939797807</v>
      </c>
      <c r="DH47" s="21">
        <f>EXP(-LN(2)/2)*DH46+(1-EXP(-LN(2)/2))/(LN(2)/2)*DB47*DE47*VLOOKUP('Données projet'!$B$13,Paramètres!$A$1:$I$89,3,0)*0.475*44/12</f>
        <v>0.19148740519965987</v>
      </c>
      <c r="DI47" s="22">
        <f t="shared" si="15"/>
        <v>13.750908416473623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11.9</v>
      </c>
      <c r="DO47" s="12">
        <f>IF('Données projet'!$A$166&gt;35,DO46+DN47-DW46,IF(A47&lt;'Données projet'!$A$166,$DL$205^A47,IF(A47='Données projet'!$A$166,'Données projet'!$B$166,DO46+DN47-DW46)))</f>
        <v>279.59999999999997</v>
      </c>
      <c r="DP47" s="17">
        <f>DO47*VLOOKUP('Données projet'!$B$14,Paramètres!$A$1:$I$89,3,0)*VLOOKUP('Données projet'!$B$14,Paramètres!$A$1:$I$89,5,0)</f>
        <v>300.96143999999993</v>
      </c>
      <c r="DQ47" s="13">
        <f t="shared" si="43"/>
        <v>71.377980679901469</v>
      </c>
      <c r="DR47" s="20">
        <f t="shared" si="16"/>
        <v>648.49115768416164</v>
      </c>
      <c r="DS47" s="59">
        <f t="shared" si="17"/>
        <v>941.82449101749489</v>
      </c>
      <c r="DT47" s="59">
        <f ca="1">AVERAGE(OFFSET($DS$3,0,0,'Données projet'!$E$14+1,1))-AVERAGE(OFFSET($H$3,0,0,'Données projet'!$E$14+1,1))</f>
        <v>442.54137223086991</v>
      </c>
      <c r="DU47" s="59">
        <f t="shared" si="44"/>
        <v>454.23406186660714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1.5123136212580357</v>
      </c>
      <c r="EB47" s="21">
        <f>EXP(-LN(2)/25)*EB46+(1-EXP(-LN(2)/25))/(LN(2)/25)*Calculateur!DW47*Calculateur!DY47*VLOOKUP('Données projet'!$B$14,Paramètres!$A$1:$I$89,3,0)*0.475*44/12</f>
        <v>7.8354733022496452</v>
      </c>
      <c r="EC47" s="21">
        <f>EXP(-LN(2)/2)*EC46+(1-EXP(-LN(2)/2))/(LN(2)/2)*DW47*DZ47*VLOOKUP('Données projet'!$B$14,Paramètres!$A$1:$I$89,3,0)*0.475*44/12</f>
        <v>0.1409236550269416</v>
      </c>
      <c r="ED47" s="22">
        <f t="shared" si="18"/>
        <v>9.4887105785346222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2.2737367544323206E-13</v>
      </c>
      <c r="O48" s="13">
        <f>N48*VLOOKUP('Données projet'!$B$9,Paramètres!$A$1:$I$89,3,0)*VLOOKUP('Données projet'!$B$9,Paramètres!$A$1:$I$89,5,0)</f>
        <v>1.3596945791505279E-13</v>
      </c>
      <c r="P48" s="13">
        <f t="shared" si="33"/>
        <v>1.9708830566360721E-12</v>
      </c>
      <c r="Q48" s="20">
        <f t="shared" si="53"/>
        <v>3.669434796176543E-12</v>
      </c>
      <c r="R48" s="59">
        <f t="shared" si="0"/>
        <v>293.33333333333701</v>
      </c>
      <c r="S48" s="59">
        <f ca="1">AVERAGE(OFFSET($R$3,0,0,'Données projet'!$E$9+1,1))-AVERAGE(OFFSET($H$3,0,0,'Données projet'!$E$9+1,1))</f>
        <v>201.49055911472067</v>
      </c>
      <c r="T48" s="59">
        <f t="shared" si="34"/>
        <v>403.37692064114719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55.376191154843426</v>
      </c>
      <c r="AA48" s="21">
        <f>EXP(-LN(2)/25)*AA47+(1-EXP(-LN(2)/25))/(LN(2)/25)*Calculateur!V48*Calculateur!X48*VLOOKUP('Données projet'!$B$9,Paramètres!$A$1:$I$89,3,0)*0.475*44/12</f>
        <v>44.563004047878756</v>
      </c>
      <c r="AB48" s="21">
        <f>EXP(-LN(2)/2)*AB47+(1-EXP(-LN(2)/2))/(LN(2)/2)*V48*Y48*VLOOKUP('Données projet'!$B$9,Paramètres!$A$1:$I$89,3,0)*0.475*44/12</f>
        <v>2.8347145363862021</v>
      </c>
      <c r="AC48" s="22">
        <f t="shared" si="3"/>
        <v>102.77390973910838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39.000000000000057</v>
      </c>
      <c r="AJ48" s="13">
        <f>AI48*VLOOKUP('Données projet'!$B$10,Paramètres!$A$1:$I$89,3,0)*VLOOKUP('Données projet'!$B$10,Paramètres!$A$1:$I$89,5,0)</f>
        <v>34.070400000000056</v>
      </c>
      <c r="AK48" s="13">
        <f t="shared" si="35"/>
        <v>10.412633617059328</v>
      </c>
      <c r="AL48" s="20">
        <f t="shared" si="4"/>
        <v>77.474616883045101</v>
      </c>
      <c r="AM48" s="59">
        <f t="shared" si="5"/>
        <v>370.8079502163784</v>
      </c>
      <c r="AN48" s="59">
        <f ca="1">AVERAGE(OFFSET($AM$3,0,0,'Données projet'!$E$10+1,1))-AVERAGE(OFFSET($H$3,0,0,'Données projet'!$E$10+1,1))</f>
        <v>260.53994021583316</v>
      </c>
      <c r="AO48" s="59">
        <f t="shared" si="36"/>
        <v>669.20238852709122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1.6372906380938339</v>
      </c>
      <c r="AX48" s="21">
        <f t="shared" si="6"/>
        <v>1.6372906380938339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8.3000000000000007</v>
      </c>
      <c r="BD48" s="12">
        <f>IF('Données projet'!$A$88&gt;35,BD47+BC48-BL47,IF(A48&lt;'Données projet'!$A$88,$BA$205^A48,IF(A48='Données projet'!$A$88,'Données projet'!$B$88,BD47+BC48-BL47)))</f>
        <v>157.5</v>
      </c>
      <c r="BE48" s="13">
        <f>BD48*VLOOKUP('Données projet'!$B$11,Paramètres!$A$1:$I$89,3,0)*VLOOKUP('Données projet'!$B$11,Paramètres!$A$1:$I$89,5,0)</f>
        <v>159.70500000000001</v>
      </c>
      <c r="BF48" s="13">
        <f t="shared" si="37"/>
        <v>40.775970188397643</v>
      </c>
      <c r="BG48" s="20">
        <f t="shared" si="7"/>
        <v>349.17102307812593</v>
      </c>
      <c r="BH48" s="59">
        <f t="shared" si="8"/>
        <v>642.50435641145918</v>
      </c>
      <c r="BI48" s="59">
        <f ca="1">AVERAGE(OFFSET($BH$3,0,0,'Données projet'!$E$11+1,1))-AVERAGE(OFFSET($H$3,0,0,'Données projet'!$E$11+1,1))</f>
        <v>279.20364724206644</v>
      </c>
      <c r="BJ48" s="59">
        <f t="shared" si="38"/>
        <v>173.99850582760712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2.2964668041653118</v>
      </c>
      <c r="BR48" s="21">
        <f>EXP(-LN(2)/2)*BR47+(1-EXP(-LN(2)/2))/(LN(2)/2)*BL48*BO48*VLOOKUP('Données projet'!$B$11,Paramètres!$A$1:$I$89,3,0)*0.475*44/12</f>
        <v>3.8318216532094378E-2</v>
      </c>
      <c r="BS48" s="22">
        <f t="shared" si="9"/>
        <v>2.3347850206974061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8.3000000000000007</v>
      </c>
      <c r="BY48" s="12">
        <f>IF('Données projet'!$A$114&gt;35,BY47+BX48-CG47,IF(A48&lt;'Données projet'!$A$114,$BV$205^A48,IF(A48='Données projet'!$A$114,'Données projet'!$B$114,BY47+BX48-CG47)))</f>
        <v>157.5</v>
      </c>
      <c r="BZ48" s="13">
        <f>BY48*VLOOKUP('Données projet'!$B$12,Paramètres!$A$1:$I$89,3,0)*VLOOKUP('Données projet'!$B$12,Paramètres!$A$1:$I$89,5,0)</f>
        <v>179.36099999999999</v>
      </c>
      <c r="CA48" s="13">
        <f t="shared" si="39"/>
        <v>45.179991027702819</v>
      </c>
      <c r="CB48" s="20">
        <f t="shared" si="10"/>
        <v>391.07555937324901</v>
      </c>
      <c r="CC48" s="59">
        <f t="shared" si="11"/>
        <v>684.40889270658226</v>
      </c>
      <c r="CD48" s="59">
        <f ca="1">AVERAGE(OFFSET($CC$3,0,0,'Données projet'!$E$12+1,1))-AVERAGE(OFFSET($H$3,0,0,'Données projet'!$E$12+1,1))</f>
        <v>327.06866218660838</v>
      </c>
      <c r="CE48" s="59">
        <f t="shared" si="40"/>
        <v>202.18198935334908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2.5791088723702731</v>
      </c>
      <c r="CM48" s="21">
        <f>EXP(-LN(2)/2)*CM47+(1-EXP(-LN(2)/2))/(LN(2)/2)*CG48*CJ48*VLOOKUP('Données projet'!$B$12,Paramètres!$A$1:$I$89,3,0)*0.475*44/12</f>
        <v>4.3034304720659881E-2</v>
      </c>
      <c r="CN48" s="22">
        <f t="shared" si="12"/>
        <v>2.6221431770909329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9.1999999999999993</v>
      </c>
      <c r="CT48" s="12">
        <f>IF('Données projet'!$A$140&gt;35,CT47+CS48-DB47,IF(A48&lt;'Données projet'!$A$140,$CQ$205^A48,IF(A48='Données projet'!$A$140,'Données projet'!$B$140,CT47+CS48-DB47)))</f>
        <v>238.99999999999989</v>
      </c>
      <c r="CU48" s="17">
        <f>CT48*VLOOKUP('Données projet'!$B$13,Paramètres!$A$1:$I$89,3,0)*VLOOKUP('Données projet'!$B$13,Paramètres!$A$1:$I$89,5,0)</f>
        <v>193.87679999999992</v>
      </c>
      <c r="CV48" s="13">
        <f t="shared" si="41"/>
        <v>48.396048099527562</v>
      </c>
      <c r="CW48" s="20">
        <f t="shared" si="13"/>
        <v>421.95854377334371</v>
      </c>
      <c r="CX48" s="59">
        <f t="shared" si="14"/>
        <v>715.29187710667702</v>
      </c>
      <c r="CY48" s="59">
        <f ca="1">AVERAGE(OFFSET($CX$3,0,0,'Données projet'!$E$13+1,1))-AVERAGE(OFFSET($H$3,0,0,'Données projet'!$E$13+1,1))</f>
        <v>266.72672633301022</v>
      </c>
      <c r="CZ48" s="59">
        <f t="shared" si="42"/>
        <v>314.26991662544219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2.0055278289773435</v>
      </c>
      <c r="DG48" s="21">
        <f>EXP(-LN(2)/25)*DG47+(1-EXP(-LN(2)/25))/(LN(2)/25)*Calculateur!DB48*Calculateur!DD48*VLOOKUP('Données projet'!$B$13,Paramètres!$A$1:$I$89,3,0)*0.475*44/12</f>
        <v>11.198934494857015</v>
      </c>
      <c r="DH48" s="21">
        <f>EXP(-LN(2)/2)*DH47+(1-EXP(-LN(2)/2))/(LN(2)/2)*DB48*DE48*VLOOKUP('Données projet'!$B$13,Paramètres!$A$1:$I$89,3,0)*0.475*44/12</f>
        <v>0.13540204272849565</v>
      </c>
      <c r="DI48" s="22">
        <f t="shared" si="15"/>
        <v>13.339864366562855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11.9</v>
      </c>
      <c r="DO48" s="12">
        <f>IF('Données projet'!$A$166&gt;35,DO47+DN48-DW47,IF(A48&lt;'Données projet'!$A$166,$DL$205^A48,IF(A48='Données projet'!$A$166,'Données projet'!$B$166,DO47+DN48-DW47)))</f>
        <v>291.49999999999994</v>
      </c>
      <c r="DP48" s="17">
        <f>DO48*VLOOKUP('Données projet'!$B$14,Paramètres!$A$1:$I$89,3,0)*VLOOKUP('Données projet'!$B$14,Paramètres!$A$1:$I$89,5,0)</f>
        <v>313.77059999999989</v>
      </c>
      <c r="DQ48" s="13">
        <f t="shared" si="43"/>
        <v>74.055726596216147</v>
      </c>
      <c r="DR48" s="20">
        <f t="shared" si="16"/>
        <v>675.46418548840961</v>
      </c>
      <c r="DS48" s="59">
        <f t="shared" si="17"/>
        <v>968.79751882174287</v>
      </c>
      <c r="DT48" s="59">
        <f ca="1">AVERAGE(OFFSET($DS$3,0,0,'Données projet'!$E$14+1,1))-AVERAGE(OFFSET($H$3,0,0,'Données projet'!$E$14+1,1))</f>
        <v>442.54137223086991</v>
      </c>
      <c r="DU48" s="59">
        <f t="shared" si="44"/>
        <v>454.23406186660714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1.4826580735653931</v>
      </c>
      <c r="EB48" s="21">
        <f>EXP(-LN(2)/25)*EB47+(1-EXP(-LN(2)/25))/(LN(2)/25)*Calculateur!DW48*Calculateur!DY48*VLOOKUP('Données projet'!$B$14,Paramètres!$A$1:$I$89,3,0)*0.475*44/12</f>
        <v>7.6212118727499956</v>
      </c>
      <c r="EC48" s="21">
        <f>EXP(-LN(2)/2)*EC47+(1-EXP(-LN(2)/2))/(LN(2)/2)*DW48*DZ48*VLOOKUP('Données projet'!$B$14,Paramètres!$A$1:$I$89,3,0)*0.475*44/12</f>
        <v>9.96480720991441E-2</v>
      </c>
      <c r="ED48" s="22">
        <f t="shared" si="18"/>
        <v>9.2035180184145329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293.33333333333701</v>
      </c>
      <c r="S49" s="59">
        <f ca="1">AVERAGE(OFFSET($R$3,0,0,'Données projet'!$E$9+1,1))-AVERAGE(OFFSET($H$3,0,0,'Données projet'!$E$9+1,1))</f>
        <v>201.49055911472067</v>
      </c>
      <c r="T49" s="59">
        <f t="shared" si="34"/>
        <v>403.37692064114719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54.290297822438433</v>
      </c>
      <c r="AA49" s="21">
        <f>EXP(-LN(2)/25)*AA48+(1-EXP(-LN(2)/25))/(LN(2)/25)*Calculateur!V49*Calculateur!X49*VLOOKUP('Données projet'!$B$9,Paramètres!$A$1:$I$89,3,0)*0.475*44/12</f>
        <v>43.344426358722977</v>
      </c>
      <c r="AB49" s="21">
        <f>EXP(-LN(2)/2)*AB48+(1-EXP(-LN(2)/2))/(LN(2)/2)*V49*Y49*VLOOKUP('Données projet'!$B$9,Paramètres!$A$1:$I$89,3,0)*0.475*44/12</f>
        <v>2.0044458714067637</v>
      </c>
      <c r="AC49" s="22">
        <f t="shared" si="3"/>
        <v>99.639170052568161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39.000000000000057</v>
      </c>
      <c r="AJ49" s="13">
        <f>AI49*VLOOKUP('Données projet'!$B$10,Paramètres!$A$1:$I$89,3,0)*VLOOKUP('Données projet'!$B$10,Paramètres!$A$1:$I$89,5,0)</f>
        <v>34.070400000000056</v>
      </c>
      <c r="AK49" s="13">
        <f t="shared" si="35"/>
        <v>10.412633617059328</v>
      </c>
      <c r="AL49" s="20">
        <f t="shared" si="4"/>
        <v>77.474616883045101</v>
      </c>
      <c r="AM49" s="59">
        <f t="shared" si="5"/>
        <v>370.8079502163784</v>
      </c>
      <c r="AN49" s="59">
        <f ca="1">AVERAGE(OFFSET($AM$3,0,0,'Données projet'!$E$10+1,1))-AVERAGE(OFFSET($H$3,0,0,'Données projet'!$E$10+1,1))</f>
        <v>260.53994021583316</v>
      </c>
      <c r="AO49" s="59">
        <f t="shared" si="36"/>
        <v>669.20238852709122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1.1577393129693994</v>
      </c>
      <c r="AX49" s="21">
        <f t="shared" si="6"/>
        <v>1.1577393129693994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8.3000000000000007</v>
      </c>
      <c r="BD49" s="12">
        <f>IF('Données projet'!$A$88&gt;35,BD48+BC49-BL48,IF(A49&lt;'Données projet'!$A$88,$BA$205^A49,IF(A49='Données projet'!$A$88,'Données projet'!$B$88,BD48+BC49-BL48)))</f>
        <v>165.8</v>
      </c>
      <c r="BE49" s="13">
        <f>BD49*VLOOKUP('Données projet'!$B$11,Paramètres!$A$1:$I$89,3,0)*VLOOKUP('Données projet'!$B$11,Paramètres!$A$1:$I$89,5,0)</f>
        <v>168.12120000000002</v>
      </c>
      <c r="BF49" s="13">
        <f t="shared" si="37"/>
        <v>42.668963108479424</v>
      </c>
      <c r="BG49" s="20">
        <f t="shared" si="7"/>
        <v>367.12620074726834</v>
      </c>
      <c r="BH49" s="59">
        <f t="shared" si="8"/>
        <v>660.45953408060166</v>
      </c>
      <c r="BI49" s="59">
        <f ca="1">AVERAGE(OFFSET($BH$3,0,0,'Données projet'!$E$11+1,1))-AVERAGE(OFFSET($H$3,0,0,'Données projet'!$E$11+1,1))</f>
        <v>279.20364724206644</v>
      </c>
      <c r="BJ49" s="59">
        <f t="shared" si="38"/>
        <v>173.99850582760712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2.2336697986394709</v>
      </c>
      <c r="BR49" s="21">
        <f>EXP(-LN(2)/2)*BR48+(1-EXP(-LN(2)/2))/(LN(2)/2)*BL49*BO49*VLOOKUP('Données projet'!$B$11,Paramètres!$A$1:$I$89,3,0)*0.475*44/12</f>
        <v>2.7095070752818407E-2</v>
      </c>
      <c r="BS49" s="22">
        <f t="shared" si="9"/>
        <v>2.2607648693922893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8.3000000000000007</v>
      </c>
      <c r="BY49" s="12">
        <f>IF('Données projet'!$A$114&gt;35,BY48+BX49-CG48,IF(A49&lt;'Données projet'!$A$114,$BV$205^A49,IF(A49='Données projet'!$A$114,'Données projet'!$B$114,BY48+BX49-CG48)))</f>
        <v>165.8</v>
      </c>
      <c r="BZ49" s="13">
        <f>BY49*VLOOKUP('Données projet'!$B$12,Paramètres!$A$1:$I$89,3,0)*VLOOKUP('Données projet'!$B$12,Paramètres!$A$1:$I$89,5,0)</f>
        <v>188.81304000000003</v>
      </c>
      <c r="CA49" s="13">
        <f t="shared" si="39"/>
        <v>47.277437213523683</v>
      </c>
      <c r="CB49" s="20">
        <f t="shared" si="10"/>
        <v>411.19091448022044</v>
      </c>
      <c r="CC49" s="59">
        <f t="shared" si="11"/>
        <v>704.52424781355376</v>
      </c>
      <c r="CD49" s="59">
        <f ca="1">AVERAGE(OFFSET($CC$3,0,0,'Données projet'!$E$12+1,1))-AVERAGE(OFFSET($H$3,0,0,'Données projet'!$E$12+1,1))</f>
        <v>327.06866218660838</v>
      </c>
      <c r="CE49" s="59">
        <f t="shared" si="40"/>
        <v>202.18198935334908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2.508583004625867</v>
      </c>
      <c r="CM49" s="21">
        <f>EXP(-LN(2)/2)*CM48+(1-EXP(-LN(2)/2))/(LN(2)/2)*CG49*CJ49*VLOOKUP('Données projet'!$B$12,Paramètres!$A$1:$I$89,3,0)*0.475*44/12</f>
        <v>3.0429848691626859E-2</v>
      </c>
      <c r="CN49" s="22">
        <f t="shared" si="12"/>
        <v>2.539012853317494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9.1999999999999993</v>
      </c>
      <c r="CT49" s="12">
        <f>IF('Données projet'!$A$140&gt;35,CT48+CS49-DB48,IF(A49&lt;'Données projet'!$A$140,$CQ$205^A49,IF(A49='Données projet'!$A$140,'Données projet'!$B$140,CT48+CS49-DB48)))</f>
        <v>248.19999999999987</v>
      </c>
      <c r="CU49" s="17">
        <f>CT49*VLOOKUP('Données projet'!$B$13,Paramètres!$A$1:$I$89,3,0)*VLOOKUP('Données projet'!$B$13,Paramètres!$A$1:$I$89,5,0)</f>
        <v>201.3398399999999</v>
      </c>
      <c r="CV49" s="13">
        <f t="shared" si="41"/>
        <v>50.038509483090699</v>
      </c>
      <c r="CW49" s="20">
        <f t="shared" si="13"/>
        <v>437.81729201638274</v>
      </c>
      <c r="CX49" s="59">
        <f t="shared" si="14"/>
        <v>731.15062534971605</v>
      </c>
      <c r="CY49" s="59">
        <f ca="1">AVERAGE(OFFSET($CX$3,0,0,'Données projet'!$E$13+1,1))-AVERAGE(OFFSET($H$3,0,0,'Données projet'!$E$13+1,1))</f>
        <v>266.72672633301022</v>
      </c>
      <c r="CZ49" s="59">
        <f t="shared" si="42"/>
        <v>314.26991662544219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1.9662006515022874</v>
      </c>
      <c r="DG49" s="21">
        <f>EXP(-LN(2)/25)*DG48+(1-EXP(-LN(2)/25))/(LN(2)/25)*Calculateur!DB49*Calculateur!DD49*VLOOKUP('Données projet'!$B$13,Paramètres!$A$1:$I$89,3,0)*0.475*44/12</f>
        <v>10.892699042168781</v>
      </c>
      <c r="DH49" s="21">
        <f>EXP(-LN(2)/2)*DH48+(1-EXP(-LN(2)/2))/(LN(2)/2)*DB49*DE49*VLOOKUP('Données projet'!$B$13,Paramètres!$A$1:$I$89,3,0)*0.475*44/12</f>
        <v>9.5743702599829936E-2</v>
      </c>
      <c r="DI49" s="22">
        <f t="shared" si="15"/>
        <v>12.954643396270898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11.9</v>
      </c>
      <c r="DO49" s="12">
        <f>IF('Données projet'!$A$166&gt;35,DO48+DN49-DW48,IF(A49&lt;'Données projet'!$A$166,$DL$205^A49,IF(A49='Données projet'!$A$166,'Données projet'!$B$166,DO48+DN49-DW48)))</f>
        <v>303.39999999999992</v>
      </c>
      <c r="DP49" s="17">
        <f>DO49*VLOOKUP('Données projet'!$B$14,Paramètres!$A$1:$I$89,3,0)*VLOOKUP('Données projet'!$B$14,Paramètres!$A$1:$I$89,5,0)</f>
        <v>326.57975999999991</v>
      </c>
      <c r="DQ49" s="13">
        <f t="shared" si="43"/>
        <v>76.720774763907187</v>
      </c>
      <c r="DR49" s="20">
        <f t="shared" si="16"/>
        <v>702.41509804713814</v>
      </c>
      <c r="DS49" s="59">
        <f t="shared" si="17"/>
        <v>995.7484313804714</v>
      </c>
      <c r="DT49" s="59">
        <f ca="1">AVERAGE(OFFSET($DS$3,0,0,'Données projet'!$E$14+1,1))-AVERAGE(OFFSET($H$3,0,0,'Données projet'!$E$14+1,1))</f>
        <v>442.54137223086991</v>
      </c>
      <c r="DU49" s="59">
        <f t="shared" si="44"/>
        <v>454.23406186660714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1.4535840530749053</v>
      </c>
      <c r="EB49" s="21">
        <f>EXP(-LN(2)/25)*EB48+(1-EXP(-LN(2)/25))/(LN(2)/25)*Calculateur!DW49*Calculateur!DY49*VLOOKUP('Données projet'!$B$14,Paramètres!$A$1:$I$89,3,0)*0.475*44/12</f>
        <v>7.4128094333075332</v>
      </c>
      <c r="EC49" s="21">
        <f>EXP(-LN(2)/2)*EC48+(1-EXP(-LN(2)/2))/(LN(2)/2)*DW49*DZ49*VLOOKUP('Données projet'!$B$14,Paramètres!$A$1:$I$89,3,0)*0.475*44/12</f>
        <v>7.0461827513470798E-2</v>
      </c>
      <c r="ED49" s="22">
        <f t="shared" si="18"/>
        <v>8.9368553138959097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201.49055911472067</v>
      </c>
      <c r="T50" s="59">
        <f t="shared" si="34"/>
        <v>403.37692064114719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53.225698195952369</v>
      </c>
      <c r="AA50" s="21">
        <f>EXP(-LN(2)/25)*AA49+(1-EXP(-LN(2)/25))/(LN(2)/25)*Calculateur!V50*Calculateur!X50*VLOOKUP('Données projet'!$B$9,Paramètres!$A$1:$I$89,3,0)*0.475*44/12</f>
        <v>42.159170740559382</v>
      </c>
      <c r="AB50" s="21">
        <f>EXP(-LN(2)/2)*AB49+(1-EXP(-LN(2)/2))/(LN(2)/2)*V50*Y50*VLOOKUP('Données projet'!$B$9,Paramètres!$A$1:$I$89,3,0)*0.475*44/12</f>
        <v>1.417357268193101</v>
      </c>
      <c r="AC50" s="22">
        <f t="shared" si="3"/>
        <v>96.802226204704851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39.000000000000057</v>
      </c>
      <c r="AJ50" s="13">
        <f>AI50*VLOOKUP('Données projet'!$B$10,Paramètres!$A$1:$I$89,3,0)*VLOOKUP('Données projet'!$B$10,Paramètres!$A$1:$I$89,5,0)</f>
        <v>34.070400000000056</v>
      </c>
      <c r="AK50" s="13">
        <f t="shared" si="35"/>
        <v>10.412633617059328</v>
      </c>
      <c r="AL50" s="20">
        <f t="shared" si="4"/>
        <v>77.474616883045101</v>
      </c>
      <c r="AM50" s="59">
        <f t="shared" si="5"/>
        <v>370.8079502163784</v>
      </c>
      <c r="AN50" s="59">
        <f ca="1">AVERAGE(OFFSET($AM$3,0,0,'Données projet'!$E$10+1,1))-AVERAGE(OFFSET($H$3,0,0,'Données projet'!$E$10+1,1))</f>
        <v>260.53994021583316</v>
      </c>
      <c r="AO50" s="59">
        <f t="shared" si="36"/>
        <v>669.20238852709122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0.81864531904691695</v>
      </c>
      <c r="AX50" s="21">
        <f t="shared" si="6"/>
        <v>0.81864531904691695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8.3000000000000007</v>
      </c>
      <c r="BD50" s="12">
        <f>IF('Données projet'!$A$88&gt;35,BD49+BC50-BL49,IF(A50&lt;'Données projet'!$A$88,$BA$205^A50,IF(A50='Données projet'!$A$88,'Données projet'!$B$88,BD49+BC50-BL49)))</f>
        <v>174.10000000000002</v>
      </c>
      <c r="BE50" s="13">
        <f>BD50*VLOOKUP('Données projet'!$B$11,Paramètres!$A$1:$I$89,3,0)*VLOOKUP('Données projet'!$B$11,Paramètres!$A$1:$I$89,5,0)</f>
        <v>176.53740000000005</v>
      </c>
      <c r="BF50" s="13">
        <f t="shared" si="37"/>
        <v>44.550952743128576</v>
      </c>
      <c r="BG50" s="20">
        <f t="shared" si="7"/>
        <v>385.06221436094899</v>
      </c>
      <c r="BH50" s="59">
        <f t="shared" si="8"/>
        <v>678.3955476942823</v>
      </c>
      <c r="BI50" s="59">
        <f ca="1">AVERAGE(OFFSET($BH$3,0,0,'Données projet'!$E$11+1,1))-AVERAGE(OFFSET($H$3,0,0,'Données projet'!$E$11+1,1))</f>
        <v>279.20364724206644</v>
      </c>
      <c r="BJ50" s="59">
        <f t="shared" si="38"/>
        <v>173.99850582760712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2.1725899805320852</v>
      </c>
      <c r="BR50" s="21">
        <f>EXP(-LN(2)/2)*BR49+(1-EXP(-LN(2)/2))/(LN(2)/2)*BL50*BO50*VLOOKUP('Données projet'!$B$11,Paramètres!$A$1:$I$89,3,0)*0.475*44/12</f>
        <v>1.9159108266047189E-2</v>
      </c>
      <c r="BS50" s="22">
        <f t="shared" si="9"/>
        <v>2.1917490887981326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8.3000000000000007</v>
      </c>
      <c r="BY50" s="12">
        <f>IF('Données projet'!$A$114&gt;35,BY49+BX50-CG49,IF(A50&lt;'Données projet'!$A$114,$BV$205^A50,IF(A50='Données projet'!$A$114,'Données projet'!$B$114,BY49+BX50-CG49)))</f>
        <v>174.10000000000002</v>
      </c>
      <c r="BZ50" s="13">
        <f>BY50*VLOOKUP('Données projet'!$B$12,Paramètres!$A$1:$I$89,3,0)*VLOOKUP('Données projet'!$B$12,Paramètres!$A$1:$I$89,5,0)</f>
        <v>198.26508000000004</v>
      </c>
      <c r="CA50" s="13">
        <f t="shared" si="39"/>
        <v>49.362691700782257</v>
      </c>
      <c r="CB50" s="20">
        <f t="shared" si="10"/>
        <v>431.28503571219579</v>
      </c>
      <c r="CC50" s="59">
        <f t="shared" si="11"/>
        <v>724.61836904552911</v>
      </c>
      <c r="CD50" s="59">
        <f ca="1">AVERAGE(OFFSET($CC$3,0,0,'Données projet'!$E$12+1,1))-AVERAGE(OFFSET($H$3,0,0,'Données projet'!$E$12+1,1))</f>
        <v>327.06866218660838</v>
      </c>
      <c r="CE50" s="59">
        <f t="shared" si="40"/>
        <v>202.18198935334908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2.4399856704437259</v>
      </c>
      <c r="CM50" s="21">
        <f>EXP(-LN(2)/2)*CM49+(1-EXP(-LN(2)/2))/(LN(2)/2)*CG50*CJ50*VLOOKUP('Données projet'!$B$12,Paramètres!$A$1:$I$89,3,0)*0.475*44/12</f>
        <v>2.1517152360329944E-2</v>
      </c>
      <c r="CN50" s="22">
        <f t="shared" si="12"/>
        <v>2.4615028228040559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9.1999999999999993</v>
      </c>
      <c r="CT50" s="12">
        <f>IF('Données projet'!$A$140&gt;35,CT49+CS50-DB49,IF(A50&lt;'Données projet'!$A$140,$CQ$205^A50,IF(A50='Données projet'!$A$140,'Données projet'!$B$140,CT49+CS50-DB49)))</f>
        <v>257.39999999999986</v>
      </c>
      <c r="CU50" s="17">
        <f>CT50*VLOOKUP('Données projet'!$B$13,Paramètres!$A$1:$I$89,3,0)*VLOOKUP('Données projet'!$B$13,Paramètres!$A$1:$I$89,5,0)</f>
        <v>208.8028799999999</v>
      </c>
      <c r="CV50" s="13">
        <f t="shared" si="41"/>
        <v>51.67389788236224</v>
      </c>
      <c r="CW50" s="20">
        <f t="shared" si="13"/>
        <v>453.66372147844748</v>
      </c>
      <c r="CX50" s="59">
        <f t="shared" si="14"/>
        <v>746.9970548117808</v>
      </c>
      <c r="CY50" s="59">
        <f ca="1">AVERAGE(OFFSET($CX$3,0,0,'Données projet'!$E$13+1,1))-AVERAGE(OFFSET($H$3,0,0,'Données projet'!$E$13+1,1))</f>
        <v>266.72672633301022</v>
      </c>
      <c r="CZ50" s="59">
        <f t="shared" si="42"/>
        <v>314.26991662544219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1.9276446559903075</v>
      </c>
      <c r="DG50" s="21">
        <f>EXP(-LN(2)/25)*DG49+(1-EXP(-LN(2)/25))/(LN(2)/25)*Calculateur!DB50*Calculateur!DD50*VLOOKUP('Données projet'!$B$13,Paramètres!$A$1:$I$89,3,0)*0.475*44/12</f>
        <v>10.594837614038529</v>
      </c>
      <c r="DH50" s="21">
        <f>EXP(-LN(2)/2)*DH49+(1-EXP(-LN(2)/2))/(LN(2)/2)*DB50*DE50*VLOOKUP('Données projet'!$B$13,Paramètres!$A$1:$I$89,3,0)*0.475*44/12</f>
        <v>6.7701021364247826E-2</v>
      </c>
      <c r="DI50" s="22">
        <f t="shared" si="15"/>
        <v>12.590183291393085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11.9</v>
      </c>
      <c r="DO50" s="12">
        <f>IF('Données projet'!$A$166&gt;35,DO49+DN50-DW49,IF(A50&lt;'Données projet'!$A$166,$DL$205^A50,IF(A50='Données projet'!$A$166,'Données projet'!$B$166,DO49+DN50-DW49)))</f>
        <v>315.2999999999999</v>
      </c>
      <c r="DP50" s="17">
        <f>DO50*VLOOKUP('Données projet'!$B$14,Paramètres!$A$1:$I$89,3,0)*VLOOKUP('Données projet'!$B$14,Paramètres!$A$1:$I$89,5,0)</f>
        <v>339.38891999999987</v>
      </c>
      <c r="DQ50" s="13">
        <f t="shared" si="43"/>
        <v>79.373680209612729</v>
      </c>
      <c r="DR50" s="20">
        <f t="shared" si="16"/>
        <v>729.34486203174185</v>
      </c>
      <c r="DS50" s="59">
        <f t="shared" si="17"/>
        <v>1022.6781953650752</v>
      </c>
      <c r="DT50" s="59">
        <f ca="1">AVERAGE(OFFSET($DS$3,0,0,'Données projet'!$E$14+1,1))-AVERAGE(OFFSET($H$3,0,0,'Données projet'!$E$14+1,1))</f>
        <v>442.54137223086991</v>
      </c>
      <c r="DU50" s="59">
        <f t="shared" si="44"/>
        <v>454.23406186660714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1.4250801563928346</v>
      </c>
      <c r="EB50" s="21">
        <f>EXP(-LN(2)/25)*EB49+(1-EXP(-LN(2)/25))/(LN(2)/25)*Calculateur!DW50*Calculateur!DY50*VLOOKUP('Données projet'!$B$14,Paramètres!$A$1:$I$89,3,0)*0.475*44/12</f>
        <v>7.2101057695310331</v>
      </c>
      <c r="EC50" s="21">
        <f>EXP(-LN(2)/2)*EC49+(1-EXP(-LN(2)/2))/(LN(2)/2)*DW50*DZ50*VLOOKUP('Données projet'!$B$14,Paramètres!$A$1:$I$89,3,0)*0.475*44/12</f>
        <v>4.982403604957205E-2</v>
      </c>
      <c r="ED50" s="22">
        <f t="shared" si="18"/>
        <v>8.6850099619734387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201.49055911472067</v>
      </c>
      <c r="T51" s="59">
        <f t="shared" si="34"/>
        <v>403.37692064114719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52.181974718800042</v>
      </c>
      <c r="AA51" s="21">
        <f>EXP(-LN(2)/25)*AA50+(1-EXP(-LN(2)/25))/(LN(2)/25)*Calculateur!V51*Calculateur!X51*VLOOKUP('Données projet'!$B$9,Paramètres!$A$1:$I$89,3,0)*0.475*44/12</f>
        <v>41.00632599960435</v>
      </c>
      <c r="AB51" s="21">
        <f>EXP(-LN(2)/2)*AB50+(1-EXP(-LN(2)/2))/(LN(2)/2)*V51*Y51*VLOOKUP('Données projet'!$B$9,Paramètres!$A$1:$I$89,3,0)*0.475*44/12</f>
        <v>1.0022229357033818</v>
      </c>
      <c r="AC51" s="22">
        <f t="shared" si="3"/>
        <v>94.190523654107778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39.000000000000057</v>
      </c>
      <c r="AJ51" s="13">
        <f>AI51*VLOOKUP('Données projet'!$B$10,Paramètres!$A$1:$I$89,3,0)*VLOOKUP('Données projet'!$B$10,Paramètres!$A$1:$I$89,5,0)</f>
        <v>34.070400000000056</v>
      </c>
      <c r="AK51" s="13">
        <f t="shared" si="35"/>
        <v>10.412633617059328</v>
      </c>
      <c r="AL51" s="20">
        <f t="shared" si="4"/>
        <v>77.474616883045101</v>
      </c>
      <c r="AM51" s="59">
        <f t="shared" si="5"/>
        <v>370.8079502163784</v>
      </c>
      <c r="AN51" s="59">
        <f ca="1">AVERAGE(OFFSET($AM$3,0,0,'Données projet'!$E$10+1,1))-AVERAGE(OFFSET($H$3,0,0,'Données projet'!$E$10+1,1))</f>
        <v>260.53994021583316</v>
      </c>
      <c r="AO51" s="59">
        <f t="shared" si="36"/>
        <v>669.20238852709122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0.57886965648469968</v>
      </c>
      <c r="AX51" s="21">
        <f t="shared" si="6"/>
        <v>0.57886965648469968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8.3000000000000007</v>
      </c>
      <c r="BD51" s="12">
        <f>IF('Données projet'!$A$88&gt;35,BD50+BC51-BL50,IF(A51&lt;'Données projet'!$A$88,$BA$205^A51,IF(A51='Données projet'!$A$88,'Données projet'!$B$88,BD50+BC51-BL50)))</f>
        <v>182.40000000000003</v>
      </c>
      <c r="BE51" s="13">
        <f>BD51*VLOOKUP('Données projet'!$B$11,Paramètres!$A$1:$I$89,3,0)*VLOOKUP('Données projet'!$B$11,Paramètres!$A$1:$I$89,5,0)</f>
        <v>184.95360000000005</v>
      </c>
      <c r="BF51" s="13">
        <f t="shared" si="37"/>
        <v>46.42252355095799</v>
      </c>
      <c r="BG51" s="20">
        <f t="shared" si="7"/>
        <v>402.9800818512519</v>
      </c>
      <c r="BH51" s="59">
        <f t="shared" si="8"/>
        <v>696.31341518458521</v>
      </c>
      <c r="BI51" s="59">
        <f ca="1">AVERAGE(OFFSET($BH$3,0,0,'Données projet'!$E$11+1,1))-AVERAGE(OFFSET($H$3,0,0,'Données projet'!$E$11+1,1))</f>
        <v>279.20364724206644</v>
      </c>
      <c r="BJ51" s="59">
        <f t="shared" si="38"/>
        <v>173.99850582760712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2.1131803932628936</v>
      </c>
      <c r="BR51" s="21">
        <f>EXP(-LN(2)/2)*BR50+(1-EXP(-LN(2)/2))/(LN(2)/2)*BL51*BO51*VLOOKUP('Données projet'!$B$11,Paramètres!$A$1:$I$89,3,0)*0.475*44/12</f>
        <v>1.3547535376409204E-2</v>
      </c>
      <c r="BS51" s="22">
        <f t="shared" si="9"/>
        <v>2.126727928639303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8.3000000000000007</v>
      </c>
      <c r="BY51" s="12">
        <f>IF('Données projet'!$A$114&gt;35,BY50+BX51-CG50,IF(A51&lt;'Données projet'!$A$114,$BV$205^A51,IF(A51='Données projet'!$A$114,'Données projet'!$B$114,BY50+BX51-CG50)))</f>
        <v>182.40000000000003</v>
      </c>
      <c r="BZ51" s="13">
        <f>BY51*VLOOKUP('Données projet'!$B$12,Paramètres!$A$1:$I$89,3,0)*VLOOKUP('Données projet'!$B$12,Paramètres!$A$1:$I$89,5,0)</f>
        <v>207.71712000000002</v>
      </c>
      <c r="CA51" s="13">
        <f t="shared" si="39"/>
        <v>51.436402072718508</v>
      </c>
      <c r="CB51" s="20">
        <f t="shared" si="10"/>
        <v>451.3590509433181</v>
      </c>
      <c r="CC51" s="59">
        <f t="shared" si="11"/>
        <v>744.69238427665141</v>
      </c>
      <c r="CD51" s="59">
        <f ca="1">AVERAGE(OFFSET($CC$3,0,0,'Données projet'!$E$12+1,1))-AVERAGE(OFFSET($H$3,0,0,'Données projet'!$E$12+1,1))</f>
        <v>327.06866218660838</v>
      </c>
      <c r="CE51" s="59">
        <f t="shared" si="40"/>
        <v>202.18198935334908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2.3732641339721727</v>
      </c>
      <c r="CM51" s="21">
        <f>EXP(-LN(2)/2)*CM50+(1-EXP(-LN(2)/2))/(LN(2)/2)*CG51*CJ51*VLOOKUP('Données projet'!$B$12,Paramètres!$A$1:$I$89,3,0)*0.475*44/12</f>
        <v>1.5214924345813431E-2</v>
      </c>
      <c r="CN51" s="22">
        <f t="shared" si="12"/>
        <v>2.3884790583179862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9.1999999999999993</v>
      </c>
      <c r="CT51" s="12">
        <f>IF('Données projet'!$A$140&gt;35,CT50+CS51-DB50,IF(A51&lt;'Données projet'!$A$140,$CQ$205^A51,IF(A51='Données projet'!$A$140,'Données projet'!$B$140,CT50+CS51-DB50)))</f>
        <v>266.59999999999985</v>
      </c>
      <c r="CU51" s="17">
        <f>CT51*VLOOKUP('Données projet'!$B$13,Paramètres!$A$1:$I$89,3,0)*VLOOKUP('Données projet'!$B$13,Paramètres!$A$1:$I$89,5,0)</f>
        <v>216.26591999999988</v>
      </c>
      <c r="CV51" s="13">
        <f t="shared" si="41"/>
        <v>53.302495062173776</v>
      </c>
      <c r="CW51" s="20">
        <f t="shared" si="13"/>
        <v>469.49832289995237</v>
      </c>
      <c r="CX51" s="59">
        <f t="shared" si="14"/>
        <v>762.83165623328568</v>
      </c>
      <c r="CY51" s="59">
        <f ca="1">AVERAGE(OFFSET($CX$3,0,0,'Données projet'!$E$13+1,1))-AVERAGE(OFFSET($H$3,0,0,'Données projet'!$E$13+1,1))</f>
        <v>266.72672633301022</v>
      </c>
      <c r="CZ51" s="59">
        <f t="shared" si="42"/>
        <v>314.26991662544219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1.8898447200334825</v>
      </c>
      <c r="DG51" s="21">
        <f>EXP(-LN(2)/25)*DG50+(1-EXP(-LN(2)/25))/(LN(2)/25)*Calculateur!DB51*Calculateur!DD51*VLOOKUP('Données projet'!$B$13,Paramètres!$A$1:$I$89,3,0)*0.475*44/12</f>
        <v>10.305121222324349</v>
      </c>
      <c r="DH51" s="21">
        <f>EXP(-LN(2)/2)*DH50+(1-EXP(-LN(2)/2))/(LN(2)/2)*DB51*DE51*VLOOKUP('Données projet'!$B$13,Paramètres!$A$1:$I$89,3,0)*0.475*44/12</f>
        <v>4.7871851299914968E-2</v>
      </c>
      <c r="DI51" s="22">
        <f t="shared" si="15"/>
        <v>12.242837793657745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11.9</v>
      </c>
      <c r="DO51" s="12">
        <f>IF('Données projet'!$A$166&gt;35,DO50+DN51-DW50,IF(A51&lt;'Données projet'!$A$166,$DL$205^A51,IF(A51='Données projet'!$A$166,'Données projet'!$B$166,DO50+DN51-DW50)))</f>
        <v>327.19999999999987</v>
      </c>
      <c r="DP51" s="17">
        <f>DO51*VLOOKUP('Données projet'!$B$14,Paramètres!$A$1:$I$89,3,0)*VLOOKUP('Données projet'!$B$14,Paramètres!$A$1:$I$89,5,0)</f>
        <v>352.19807999999983</v>
      </c>
      <c r="DQ51" s="13">
        <f t="shared" si="43"/>
        <v>82.014953691343081</v>
      </c>
      <c r="DR51" s="20">
        <f t="shared" si="16"/>
        <v>756.25436701242222</v>
      </c>
      <c r="DS51" s="59">
        <f t="shared" si="17"/>
        <v>1049.5877003457556</v>
      </c>
      <c r="DT51" s="59">
        <f ca="1">AVERAGE(OFFSET($DS$3,0,0,'Données projet'!$E$14+1,1))-AVERAGE(OFFSET($H$3,0,0,'Données projet'!$E$14+1,1))</f>
        <v>442.54137223086991</v>
      </c>
      <c r="DU51" s="59">
        <f t="shared" si="44"/>
        <v>454.23406186660714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1.3971352037390388</v>
      </c>
      <c r="EB51" s="21">
        <f>EXP(-LN(2)/25)*EB50+(1-EXP(-LN(2)/25))/(LN(2)/25)*Calculateur!DW51*Calculateur!DY51*VLOOKUP('Données projet'!$B$14,Paramètres!$A$1:$I$89,3,0)*0.475*44/12</f>
        <v>7.0129450481002236</v>
      </c>
      <c r="EC51" s="21">
        <f>EXP(-LN(2)/2)*EC50+(1-EXP(-LN(2)/2))/(LN(2)/2)*DW51*DZ51*VLOOKUP('Données projet'!$B$14,Paramètres!$A$1:$I$89,3,0)*0.475*44/12</f>
        <v>3.5230913756735399E-2</v>
      </c>
      <c r="ED51" s="22">
        <f t="shared" si="18"/>
        <v>8.4453111655959976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201.49055911472067</v>
      </c>
      <c r="T52" s="59">
        <f t="shared" si="34"/>
        <v>403.37692064114719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51.158718022426214</v>
      </c>
      <c r="AA52" s="21">
        <f>EXP(-LN(2)/25)*AA51+(1-EXP(-LN(2)/25))/(LN(2)/25)*Calculateur!V52*Calculateur!X52*VLOOKUP('Données projet'!$B$9,Paramètres!$A$1:$I$89,3,0)*0.475*44/12</f>
        <v>39.885005858716205</v>
      </c>
      <c r="AB52" s="21">
        <f>EXP(-LN(2)/2)*AB51+(1-EXP(-LN(2)/2))/(LN(2)/2)*V52*Y52*VLOOKUP('Données projet'!$B$9,Paramètres!$A$1:$I$89,3,0)*0.475*44/12</f>
        <v>0.70867863409655052</v>
      </c>
      <c r="AC52" s="22">
        <f t="shared" si="3"/>
        <v>91.752402515238984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39.000000000000057</v>
      </c>
      <c r="AJ52" s="13">
        <f>AI52*VLOOKUP('Données projet'!$B$10,Paramètres!$A$1:$I$89,3,0)*VLOOKUP('Données projet'!$B$10,Paramètres!$A$1:$I$89,5,0)</f>
        <v>34.070400000000056</v>
      </c>
      <c r="AK52" s="13">
        <f t="shared" si="35"/>
        <v>10.412633617059328</v>
      </c>
      <c r="AL52" s="20">
        <f t="shared" si="4"/>
        <v>77.474616883045101</v>
      </c>
      <c r="AM52" s="59">
        <f t="shared" si="5"/>
        <v>370.8079502163784</v>
      </c>
      <c r="AN52" s="59">
        <f ca="1">AVERAGE(OFFSET($AM$3,0,0,'Données projet'!$E$10+1,1))-AVERAGE(OFFSET($H$3,0,0,'Données projet'!$E$10+1,1))</f>
        <v>260.53994021583316</v>
      </c>
      <c r="AO52" s="59">
        <f t="shared" si="36"/>
        <v>669.20238852709122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0.40932265952345848</v>
      </c>
      <c r="AX52" s="21">
        <f t="shared" si="6"/>
        <v>0.40932265952345848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8.3000000000000007</v>
      </c>
      <c r="BD52" s="12">
        <f>IF('Données projet'!$A$88&gt;35,BD51+BC52-BL51,IF(A52&lt;'Données projet'!$A$88,$BA$205^A52,IF(A52='Données projet'!$A$88,'Données projet'!$B$88,BD51+BC52-BL51)))</f>
        <v>190.70000000000005</v>
      </c>
      <c r="BE52" s="13">
        <f>BD52*VLOOKUP('Données projet'!$B$11,Paramètres!$A$1:$I$89,3,0)*VLOOKUP('Données projet'!$B$11,Paramètres!$A$1:$I$89,5,0)</f>
        <v>193.36980000000005</v>
      </c>
      <c r="BF52" s="13">
        <f t="shared" si="37"/>
        <v>48.284203793067718</v>
      </c>
      <c r="BG52" s="20">
        <f t="shared" si="7"/>
        <v>420.88072327292639</v>
      </c>
      <c r="BH52" s="59">
        <f t="shared" si="8"/>
        <v>714.21405660625965</v>
      </c>
      <c r="BI52" s="59">
        <f ca="1">AVERAGE(OFFSET($BH$3,0,0,'Données projet'!$E$11+1,1))-AVERAGE(OFFSET($H$3,0,0,'Données projet'!$E$11+1,1))</f>
        <v>279.20364724206644</v>
      </c>
      <c r="BJ52" s="59">
        <f t="shared" si="38"/>
        <v>173.99850582760712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2.0553953642817926</v>
      </c>
      <c r="BR52" s="21">
        <f>EXP(-LN(2)/2)*BR51+(1-EXP(-LN(2)/2))/(LN(2)/2)*BL52*BO52*VLOOKUP('Données projet'!$B$11,Paramètres!$A$1:$I$89,3,0)*0.475*44/12</f>
        <v>9.5795541330235944E-3</v>
      </c>
      <c r="BS52" s="22">
        <f t="shared" si="9"/>
        <v>2.0649749184148161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8.3000000000000007</v>
      </c>
      <c r="BY52" s="12">
        <f>IF('Données projet'!$A$114&gt;35,BY51+BX52-CG51,IF(A52&lt;'Données projet'!$A$114,$BV$205^A52,IF(A52='Données projet'!$A$114,'Données projet'!$B$114,BY51+BX52-CG51)))</f>
        <v>190.70000000000005</v>
      </c>
      <c r="BZ52" s="13">
        <f>BY52*VLOOKUP('Données projet'!$B$12,Paramètres!$A$1:$I$89,3,0)*VLOOKUP('Données projet'!$B$12,Paramètres!$A$1:$I$89,5,0)</f>
        <v>217.16916000000006</v>
      </c>
      <c r="CA52" s="13">
        <f t="shared" si="39"/>
        <v>53.499153645430368</v>
      </c>
      <c r="CB52" s="20">
        <f t="shared" si="10"/>
        <v>471.41397959912462</v>
      </c>
      <c r="CC52" s="59">
        <f t="shared" si="11"/>
        <v>764.74731293245793</v>
      </c>
      <c r="CD52" s="59">
        <f ca="1">AVERAGE(OFFSET($CC$3,0,0,'Données projet'!$E$12+1,1))-AVERAGE(OFFSET($H$3,0,0,'Données projet'!$E$12+1,1))</f>
        <v>327.06866218660838</v>
      </c>
      <c r="CE52" s="59">
        <f t="shared" si="40"/>
        <v>202.18198935334908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2.3083671014241669</v>
      </c>
      <c r="CM52" s="21">
        <f>EXP(-LN(2)/2)*CM51+(1-EXP(-LN(2)/2))/(LN(2)/2)*CG52*CJ52*VLOOKUP('Données projet'!$B$12,Paramètres!$A$1:$I$89,3,0)*0.475*44/12</f>
        <v>1.0758576180164974E-2</v>
      </c>
      <c r="CN52" s="22">
        <f t="shared" si="12"/>
        <v>2.3191256776043319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9.1999999999999993</v>
      </c>
      <c r="CT52" s="12">
        <f>IF('Données projet'!$A$140&gt;35,CT51+CS52-DB51,IF(A52&lt;'Données projet'!$A$140,$CQ$205^A52,IF(A52='Données projet'!$A$140,'Données projet'!$B$140,CT51+CS52-DB51)))</f>
        <v>275.79999999999984</v>
      </c>
      <c r="CU52" s="17">
        <f>CT52*VLOOKUP('Données projet'!$B$13,Paramètres!$A$1:$I$89,3,0)*VLOOKUP('Données projet'!$B$13,Paramètres!$A$1:$I$89,5,0)</f>
        <v>223.72895999999986</v>
      </c>
      <c r="CV52" s="13">
        <f t="shared" si="41"/>
        <v>54.924562237784592</v>
      </c>
      <c r="CW52" s="20">
        <f t="shared" si="13"/>
        <v>485.32155123080787</v>
      </c>
      <c r="CX52" s="59">
        <f t="shared" si="14"/>
        <v>778.65488456414118</v>
      </c>
      <c r="CY52" s="59">
        <f ca="1">AVERAGE(OFFSET($CX$3,0,0,'Données projet'!$E$13+1,1))-AVERAGE(OFFSET($H$3,0,0,'Données projet'!$E$13+1,1))</f>
        <v>266.72672633301022</v>
      </c>
      <c r="CZ52" s="59">
        <f t="shared" si="42"/>
        <v>314.26991662544219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1.8527860177650863</v>
      </c>
      <c r="DG52" s="21">
        <f>EXP(-LN(2)/25)*DG51+(1-EXP(-LN(2)/25))/(LN(2)/25)*Calculateur!DB52*Calculateur!DD52*VLOOKUP('Données projet'!$B$13,Paramètres!$A$1:$I$89,3,0)*0.475*44/12</f>
        <v>10.023327140577118</v>
      </c>
      <c r="DH52" s="21">
        <f>EXP(-LN(2)/2)*DH51+(1-EXP(-LN(2)/2))/(LN(2)/2)*DB52*DE52*VLOOKUP('Données projet'!$B$13,Paramètres!$A$1:$I$89,3,0)*0.475*44/12</f>
        <v>3.3850510682123913E-2</v>
      </c>
      <c r="DI52" s="22">
        <f t="shared" si="15"/>
        <v>11.909963669024327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11.9</v>
      </c>
      <c r="DO52" s="12">
        <f>IF('Données projet'!$A$166&gt;35,DO51+DN52-DW51,IF(A52&lt;'Données projet'!$A$166,$DL$205^A52,IF(A52='Données projet'!$A$166,'Données projet'!$B$166,DO51+DN52-DW51)))</f>
        <v>339.09999999999985</v>
      </c>
      <c r="DP52" s="17">
        <f>DO52*VLOOKUP('Données projet'!$B$14,Paramètres!$A$1:$I$89,3,0)*VLOOKUP('Données projet'!$B$14,Paramètres!$A$1:$I$89,5,0)</f>
        <v>365.0072399999998</v>
      </c>
      <c r="DQ52" s="13">
        <f t="shared" si="43"/>
        <v>84.645066709862704</v>
      </c>
      <c r="DR52" s="20">
        <f t="shared" si="16"/>
        <v>783.1444341863438</v>
      </c>
      <c r="DS52" s="59">
        <f t="shared" si="17"/>
        <v>1076.4777675196772</v>
      </c>
      <c r="DT52" s="59">
        <f ca="1">AVERAGE(OFFSET($DS$3,0,0,'Données projet'!$E$14+1,1))-AVERAGE(OFFSET($H$3,0,0,'Données projet'!$E$14+1,1))</f>
        <v>442.54137223086991</v>
      </c>
      <c r="DU52" s="59">
        <f t="shared" si="44"/>
        <v>454.23406186660714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1.3697382345620459</v>
      </c>
      <c r="EB52" s="21">
        <f>EXP(-LN(2)/25)*EB51+(1-EXP(-LN(2)/25))/(LN(2)/25)*Calculateur!DW52*Calculateur!DY52*VLOOKUP('Données projet'!$B$14,Paramètres!$A$1:$I$89,3,0)*0.475*44/12</f>
        <v>6.8211756969651711</v>
      </c>
      <c r="EC52" s="21">
        <f>EXP(-LN(2)/2)*EC51+(1-EXP(-LN(2)/2))/(LN(2)/2)*DW52*DZ52*VLOOKUP('Données projet'!$B$14,Paramètres!$A$1:$I$89,3,0)*0.475*44/12</f>
        <v>2.4912018024786025E-2</v>
      </c>
      <c r="ED52" s="22">
        <f t="shared" si="18"/>
        <v>8.2158259495520021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201.49055911472067</v>
      </c>
      <c r="T53" s="59">
        <f t="shared" si="34"/>
        <v>403.37692064114719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50.155526765743318</v>
      </c>
      <c r="AA53" s="21">
        <f>EXP(-LN(2)/25)*AA52+(1-EXP(-LN(2)/25))/(LN(2)/25)*Calculateur!V53*Calculateur!X53*VLOOKUP('Données projet'!$B$9,Paramètres!$A$1:$I$89,3,0)*0.475*44/12</f>
        <v>38.794348276048311</v>
      </c>
      <c r="AB53" s="21">
        <f>EXP(-LN(2)/2)*AB52+(1-EXP(-LN(2)/2))/(LN(2)/2)*V53*Y53*VLOOKUP('Données projet'!$B$9,Paramètres!$A$1:$I$89,3,0)*0.475*44/12</f>
        <v>0.50111146785169092</v>
      </c>
      <c r="AC53" s="22">
        <f t="shared" si="3"/>
        <v>89.450986509643315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39.000000000000057</v>
      </c>
      <c r="AJ53" s="13">
        <f>AI53*VLOOKUP('Données projet'!$B$10,Paramètres!$A$1:$I$89,3,0)*VLOOKUP('Données projet'!$B$10,Paramètres!$A$1:$I$89,5,0)</f>
        <v>34.070400000000056</v>
      </c>
      <c r="AK53" s="13">
        <f t="shared" si="35"/>
        <v>10.412633617059328</v>
      </c>
      <c r="AL53" s="20">
        <f t="shared" si="4"/>
        <v>77.474616883045101</v>
      </c>
      <c r="AM53" s="59">
        <f t="shared" si="5"/>
        <v>370.8079502163784</v>
      </c>
      <c r="AN53" s="59">
        <f ca="1">AVERAGE(OFFSET($AM$3,0,0,'Données projet'!$E$10+1,1))-AVERAGE(OFFSET($H$3,0,0,'Données projet'!$E$10+1,1))</f>
        <v>260.53994021583316</v>
      </c>
      <c r="AO53" s="59">
        <f t="shared" si="36"/>
        <v>669.20238852709122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0.28943482824234984</v>
      </c>
      <c r="AX53" s="21">
        <f t="shared" si="6"/>
        <v>0.28943482824234984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199</v>
      </c>
      <c r="BB53" s="12">
        <f>VLOOKUP(A53,'Données projet'!$A$87:$I$107,9,0)</f>
        <v>8.3000000000000007</v>
      </c>
      <c r="BC53" s="12">
        <f t="array" ref="BC53">INDEX(BB:BB,MIN(IF(ISNUMBER(BB53:BB249),ROW(BB53:BB249),"")))</f>
        <v>8.3000000000000007</v>
      </c>
      <c r="BD53" s="12">
        <f>IF('Données projet'!$A$88&gt;35,BD52+BC53-BL52,IF(A53&lt;'Données projet'!$A$88,$BA$205^A53,IF(A53='Données projet'!$A$88,'Données projet'!$B$88,BD52+BC53-BL52)))</f>
        <v>199.00000000000006</v>
      </c>
      <c r="BE53" s="13">
        <f>BD53*VLOOKUP('Données projet'!$B$11,Paramètres!$A$1:$I$89,3,0)*VLOOKUP('Données projet'!$B$11,Paramètres!$A$1:$I$89,5,0)</f>
        <v>201.78600000000009</v>
      </c>
      <c r="BF53" s="13">
        <f t="shared" si="37"/>
        <v>50.136473146268756</v>
      </c>
      <c r="BG53" s="20">
        <f t="shared" si="7"/>
        <v>438.76497406308482</v>
      </c>
      <c r="BH53" s="59">
        <f t="shared" si="8"/>
        <v>732.09830739641814</v>
      </c>
      <c r="BI53" s="59">
        <f ca="1">AVERAGE(OFFSET($BH$3,0,0,'Données projet'!$E$11+1,1))-AVERAGE(OFFSET($H$3,0,0,'Données projet'!$E$11+1,1))</f>
        <v>279.20364724206644</v>
      </c>
      <c r="BJ53" s="59">
        <f t="shared" si="38"/>
        <v>173.99850582760712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1.9991904699569625</v>
      </c>
      <c r="BR53" s="21">
        <f>EXP(-LN(2)/2)*BR52+(1-EXP(-LN(2)/2))/(LN(2)/2)*BL53*BO53*VLOOKUP('Données projet'!$B$11,Paramètres!$A$1:$I$89,3,0)*0.475*44/12</f>
        <v>6.7737676882046018E-3</v>
      </c>
      <c r="BS53" s="22">
        <f t="shared" si="9"/>
        <v>2.0059642376451672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199</v>
      </c>
      <c r="BW53" s="12">
        <f>VLOOKUP(A53,'Données projet'!$A$113:$I$133,9,0)</f>
        <v>8.3000000000000007</v>
      </c>
      <c r="BX53" s="12">
        <f t="array" ref="BX53">INDEX(BW:BW,MIN(IF(ISNUMBER(BW53:BW249),ROW(BW53:BW249),"")))</f>
        <v>8.3000000000000007</v>
      </c>
      <c r="BY53" s="12">
        <f>IF('Données projet'!$A$114&gt;35,BY52+BX53-CG52,IF(A53&lt;'Données projet'!$A$114,$BV$205^A53,IF(A53='Données projet'!$A$114,'Données projet'!$B$114,BY52+BX53-CG52)))</f>
        <v>199.00000000000006</v>
      </c>
      <c r="BZ53" s="13">
        <f>BY53*VLOOKUP('Données projet'!$B$12,Paramètres!$A$1:$I$89,3,0)*VLOOKUP('Données projet'!$B$12,Paramètres!$A$1:$I$89,5,0)</f>
        <v>226.62120000000007</v>
      </c>
      <c r="CA53" s="13">
        <f t="shared" si="39"/>
        <v>55.551477903366127</v>
      </c>
      <c r="CB53" s="20">
        <f t="shared" si="10"/>
        <v>491.45074734836277</v>
      </c>
      <c r="CC53" s="59">
        <f t="shared" si="11"/>
        <v>784.78408068169608</v>
      </c>
      <c r="CD53" s="59">
        <f ca="1">AVERAGE(OFFSET($CC$3,0,0,'Données projet'!$E$12+1,1))-AVERAGE(OFFSET($H$3,0,0,'Données projet'!$E$12+1,1))</f>
        <v>327.06866218660838</v>
      </c>
      <c r="CE53" s="59">
        <f t="shared" si="40"/>
        <v>202.18198935334908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42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2.2452446816439728</v>
      </c>
      <c r="CM53" s="21">
        <f>EXP(-LN(2)/2)*CM52+(1-EXP(-LN(2)/2))/(LN(2)/2)*CG53*CJ53*VLOOKUP('Données projet'!$B$12,Paramètres!$A$1:$I$89,3,0)*0.475*44/12</f>
        <v>7.6074621729067173E-3</v>
      </c>
      <c r="CN53" s="22">
        <f t="shared" si="12"/>
        <v>2.2528521438168796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285</v>
      </c>
      <c r="CR53" s="12">
        <f>VLOOKUP(A53,'Données projet'!$A$139:$I$159,9,0)</f>
        <v>9.1999999999999993</v>
      </c>
      <c r="CS53" s="12">
        <f t="array" ref="CS53">INDEX(CR:CR,MIN(IF(ISNUMBER(CR53:CR249),ROW(CR53:CR249),"")))</f>
        <v>9.1999999999999993</v>
      </c>
      <c r="CT53" s="12">
        <f>IF('Données projet'!$A$140&gt;35,CT52+CS53-DB52,IF(A53&lt;'Données projet'!$A$140,$CQ$205^A53,IF(A53='Données projet'!$A$140,'Données projet'!$B$140,CT52+CS53-DB52)))</f>
        <v>284.99999999999983</v>
      </c>
      <c r="CU53" s="17">
        <f>CT53*VLOOKUP('Données projet'!$B$13,Paramètres!$A$1:$I$89,3,0)*VLOOKUP('Données projet'!$B$13,Paramètres!$A$1:$I$89,5,0)</f>
        <v>231.19199999999987</v>
      </c>
      <c r="CV53" s="13">
        <f t="shared" si="41"/>
        <v>56.540342208595177</v>
      </c>
      <c r="CW53" s="20">
        <f t="shared" si="13"/>
        <v>501.13382934663628</v>
      </c>
      <c r="CX53" s="59">
        <f t="shared" si="14"/>
        <v>794.46716267996953</v>
      </c>
      <c r="CY53" s="59">
        <f ca="1">AVERAGE(OFFSET($CX$3,0,0,'Données projet'!$E$13+1,1))-AVERAGE(OFFSET($H$3,0,0,'Données projet'!$E$13+1,1))</f>
        <v>266.72672633301022</v>
      </c>
      <c r="CZ53" s="59">
        <f t="shared" si="42"/>
        <v>314.26991662544219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1.8164540140445968</v>
      </c>
      <c r="DG53" s="21">
        <f>EXP(-LN(2)/25)*DG52+(1-EXP(-LN(2)/25))/(LN(2)/25)*Calculateur!DB53*Calculateur!DD53*VLOOKUP('Données projet'!$B$13,Paramètres!$A$1:$I$89,3,0)*0.475*44/12</f>
        <v>9.7492387328141703</v>
      </c>
      <c r="DH53" s="21">
        <f>EXP(-LN(2)/2)*DH52+(1-EXP(-LN(2)/2))/(LN(2)/2)*DB53*DE53*VLOOKUP('Données projet'!$B$13,Paramètres!$A$1:$I$89,3,0)*0.475*44/12</f>
        <v>2.3935925649957484E-2</v>
      </c>
      <c r="DI53" s="22">
        <f t="shared" si="15"/>
        <v>11.589628672508725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351</v>
      </c>
      <c r="DM53" s="12">
        <f>VLOOKUP(A53,'Données projet'!$A$165:$I$185,9,0)</f>
        <v>11.9</v>
      </c>
      <c r="DN53" s="12">
        <f t="array" ref="DN53">INDEX(DM:DM,MIN(IF(ISNUMBER(DM53:DM249),ROW(DM53:DM249),"")))</f>
        <v>11.9</v>
      </c>
      <c r="DO53" s="12">
        <f>IF('Données projet'!$A$166&gt;35,DO52+DN53-DW52,IF(A53&lt;'Données projet'!$A$166,$DL$205^A53,IF(A53='Données projet'!$A$166,'Données projet'!$B$166,DO52+DN53-DW52)))</f>
        <v>350.99999999999983</v>
      </c>
      <c r="DP53" s="17">
        <f>DO53*VLOOKUP('Données projet'!$B$14,Paramètres!$A$1:$I$89,3,0)*VLOOKUP('Données projet'!$B$14,Paramètres!$A$1:$I$89,5,0)</f>
        <v>377.81639999999976</v>
      </c>
      <c r="DQ53" s="13">
        <f t="shared" si="43"/>
        <v>87.264455796851465</v>
      </c>
      <c r="DR53" s="20">
        <f t="shared" si="16"/>
        <v>810.01582384618257</v>
      </c>
      <c r="DS53" s="59">
        <f t="shared" si="17"/>
        <v>1103.3491571795159</v>
      </c>
      <c r="DT53" s="59">
        <f ca="1">AVERAGE(OFFSET($DS$3,0,0,'Données projet'!$E$14+1,1))-AVERAGE(OFFSET($H$3,0,0,'Données projet'!$E$14+1,1))</f>
        <v>442.54137223086991</v>
      </c>
      <c r="DU53" s="59">
        <f t="shared" si="44"/>
        <v>454.23406186660714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71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1.3428785032401127</v>
      </c>
      <c r="EB53" s="21">
        <f>EXP(-LN(2)/25)*EB52+(1-EXP(-LN(2)/25))/(LN(2)/25)*Calculateur!DW53*Calculateur!DY53*VLOOKUP('Données projet'!$B$14,Paramètres!$A$1:$I$89,3,0)*0.475*44/12</f>
        <v>6.6346502888216188</v>
      </c>
      <c r="EC53" s="21">
        <f>EXP(-LN(2)/2)*EC52+(1-EXP(-LN(2)/2))/(LN(2)/2)*DW53*DZ53*VLOOKUP('Données projet'!$B$14,Paramètres!$A$1:$I$89,3,0)*0.475*44/12</f>
        <v>1.76154568783677E-2</v>
      </c>
      <c r="ED53" s="22">
        <f t="shared" si="18"/>
        <v>7.9951442489400986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201.49055911472067</v>
      </c>
      <c r="T54" s="59">
        <f t="shared" si="34"/>
        <v>403.37692064114719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49.172007477717727</v>
      </c>
      <c r="AA54" s="21">
        <f>EXP(-LN(2)/25)*AA53+(1-EXP(-LN(2)/25))/(LN(2)/25)*Calculateur!V54*Calculateur!X54*VLOOKUP('Données projet'!$B$9,Paramètres!$A$1:$I$89,3,0)*0.475*44/12</f>
        <v>37.733514782333657</v>
      </c>
      <c r="AB54" s="21">
        <f>EXP(-LN(2)/2)*AB53+(1-EXP(-LN(2)/2))/(LN(2)/2)*V54*Y54*VLOOKUP('Données projet'!$B$9,Paramètres!$A$1:$I$89,3,0)*0.475*44/12</f>
        <v>0.35433931704827526</v>
      </c>
      <c r="AC54" s="22">
        <f t="shared" si="3"/>
        <v>87.259861577099656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39.000000000000057</v>
      </c>
      <c r="AJ54" s="13">
        <f>AI54*VLOOKUP('Données projet'!$B$10,Paramètres!$A$1:$I$89,3,0)*VLOOKUP('Données projet'!$B$10,Paramètres!$A$1:$I$89,5,0)</f>
        <v>34.070400000000056</v>
      </c>
      <c r="AK54" s="13">
        <f t="shared" si="35"/>
        <v>10.412633617059328</v>
      </c>
      <c r="AL54" s="20">
        <f t="shared" si="4"/>
        <v>77.474616883045101</v>
      </c>
      <c r="AM54" s="59">
        <f t="shared" si="5"/>
        <v>370.8079502163784</v>
      </c>
      <c r="AN54" s="59">
        <f ca="1">AVERAGE(OFFSET($AM$3,0,0,'Données projet'!$E$10+1,1))-AVERAGE(OFFSET($H$3,0,0,'Données projet'!$E$10+1,1))</f>
        <v>260.53994021583316</v>
      </c>
      <c r="AO54" s="59">
        <f t="shared" si="36"/>
        <v>669.20238852709122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0.20466132976172924</v>
      </c>
      <c r="AX54" s="21">
        <f t="shared" si="6"/>
        <v>0.20466132976172924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</v>
      </c>
      <c r="BD54" s="12">
        <f>IF('Données projet'!$A$88&gt;35,BD53+BC54-BL53,IF(A54&lt;'Données projet'!$A$88,$BA$205^A54,IF(A54='Données projet'!$A$88,'Données projet'!$B$88,BD53+BC54-BL53)))</f>
        <v>164.80000000000007</v>
      </c>
      <c r="BE54" s="13">
        <f>BD54*VLOOKUP('Données projet'!$B$11,Paramètres!$A$1:$I$89,3,0)*VLOOKUP('Données projet'!$B$11,Paramètres!$A$1:$I$89,5,0)</f>
        <v>167.10720000000009</v>
      </c>
      <c r="BF54" s="13">
        <f t="shared" si="37"/>
        <v>42.441486871669696</v>
      </c>
      <c r="BG54" s="20">
        <f t="shared" si="7"/>
        <v>364.96396296815823</v>
      </c>
      <c r="BH54" s="59">
        <f t="shared" si="8"/>
        <v>658.29729630149154</v>
      </c>
      <c r="BI54" s="59">
        <f ca="1">AVERAGE(OFFSET($BH$3,0,0,'Données projet'!$E$11+1,1))-AVERAGE(OFFSET($H$3,0,0,'Données projet'!$E$11+1,1))</f>
        <v>279.20364724206644</v>
      </c>
      <c r="BJ54" s="59">
        <f t="shared" si="38"/>
        <v>173.99850582760712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1.9445225014231318</v>
      </c>
      <c r="BR54" s="21">
        <f>EXP(-LN(2)/2)*BR53+(1-EXP(-LN(2)/2))/(LN(2)/2)*BL54*BO54*VLOOKUP('Données projet'!$B$11,Paramètres!$A$1:$I$89,3,0)*0.475*44/12</f>
        <v>4.7897770665117972E-3</v>
      </c>
      <c r="BS54" s="22">
        <f t="shared" si="9"/>
        <v>1.9493122784896435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164.80000000000007</v>
      </c>
      <c r="BZ54" s="13">
        <f>BY54*VLOOKUP('Données projet'!$B$12,Paramètres!$A$1:$I$89,3,0)*VLOOKUP('Données projet'!$B$12,Paramètres!$A$1:$I$89,5,0)</f>
        <v>187.67424000000008</v>
      </c>
      <c r="CA54" s="13">
        <f t="shared" si="39"/>
        <v>47.025392337813891</v>
      </c>
      <c r="CB54" s="20">
        <f t="shared" si="10"/>
        <v>408.76852632169266</v>
      </c>
      <c r="CC54" s="59">
        <f t="shared" si="11"/>
        <v>702.10185965502592</v>
      </c>
      <c r="CD54" s="59">
        <f ca="1">AVERAGE(OFFSET($CC$3,0,0,'Données projet'!$E$12+1,1))-AVERAGE(OFFSET($H$3,0,0,'Données projet'!$E$12+1,1))</f>
        <v>327.06866218660838</v>
      </c>
      <c r="CE54" s="59">
        <f t="shared" si="40"/>
        <v>202.18198935334908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2.1838483477521322</v>
      </c>
      <c r="CM54" s="21">
        <f>EXP(-LN(2)/2)*CM53+(1-EXP(-LN(2)/2))/(LN(2)/2)*CG54*CJ54*VLOOKUP('Données projet'!$B$12,Paramètres!$A$1:$I$89,3,0)*0.475*44/12</f>
        <v>5.3792880900824878E-3</v>
      </c>
      <c r="CN54" s="22">
        <f t="shared" si="12"/>
        <v>2.1892276358422147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248.79999999999984</v>
      </c>
      <c r="CU54" s="17">
        <f>CT54*VLOOKUP('Données projet'!$B$13,Paramètres!$A$1:$I$89,3,0)*VLOOKUP('Données projet'!$B$13,Paramètres!$A$1:$I$89,5,0)</f>
        <v>201.82655999999989</v>
      </c>
      <c r="CV54" s="13">
        <f t="shared" si="41"/>
        <v>50.145377682843773</v>
      </c>
      <c r="CW54" s="20">
        <f t="shared" si="13"/>
        <v>438.85112479761938</v>
      </c>
      <c r="CX54" s="59">
        <f t="shared" si="14"/>
        <v>732.18445813095263</v>
      </c>
      <c r="CY54" s="59">
        <f ca="1">AVERAGE(OFFSET($CX$3,0,0,'Données projet'!$E$13+1,1))-AVERAGE(OFFSET($H$3,0,0,'Données projet'!$E$13+1,1))</f>
        <v>266.72672633301022</v>
      </c>
      <c r="CZ54" s="59">
        <f t="shared" si="42"/>
        <v>314.26991662544219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1.7808344587567322</v>
      </c>
      <c r="DG54" s="21">
        <f>EXP(-LN(2)/25)*DG53+(1-EXP(-LN(2)/25))/(LN(2)/25)*Calculateur!DB54*Calculateur!DD54*VLOOKUP('Données projet'!$B$13,Paramètres!$A$1:$I$89,3,0)*0.475*44/12</f>
        <v>9.4826452869751847</v>
      </c>
      <c r="DH54" s="21">
        <f>EXP(-LN(2)/2)*DH53+(1-EXP(-LN(2)/2))/(LN(2)/2)*DB54*DE54*VLOOKUP('Données projet'!$B$13,Paramètres!$A$1:$I$89,3,0)*0.475*44/12</f>
        <v>1.6925255341061957E-2</v>
      </c>
      <c r="DI54" s="22">
        <f t="shared" si="15"/>
        <v>11.28040500107298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</v>
      </c>
      <c r="DO54" s="12">
        <f>IF('Données projet'!$A$166&gt;35,DO53+DN54-DW53,IF(A54&lt;'Données projet'!$A$166,$DL$205^A54,IF(A54='Données projet'!$A$166,'Données projet'!$B$166,DO53+DN54-DW53)))</f>
        <v>289.99999999999983</v>
      </c>
      <c r="DP54" s="17">
        <f>DO54*VLOOKUP('Données projet'!$B$14,Paramètres!$A$1:$I$89,3,0)*VLOOKUP('Données projet'!$B$14,Paramètres!$A$1:$I$89,5,0)</f>
        <v>312.15599999999984</v>
      </c>
      <c r="DQ54" s="13">
        <f t="shared" si="43"/>
        <v>73.718907001002492</v>
      </c>
      <c r="DR54" s="20">
        <f t="shared" si="16"/>
        <v>672.06546302674576</v>
      </c>
      <c r="DS54" s="59">
        <f t="shared" si="17"/>
        <v>965.39879636007913</v>
      </c>
      <c r="DT54" s="59">
        <f ca="1">AVERAGE(OFFSET($DS$3,0,0,'Données projet'!$E$14+1,1))-AVERAGE(OFFSET($H$3,0,0,'Données projet'!$E$14+1,1))</f>
        <v>442.54137223086991</v>
      </c>
      <c r="DU54" s="59">
        <f t="shared" si="44"/>
        <v>454.23406186660714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1.3165454748665841</v>
      </c>
      <c r="EB54" s="21">
        <f>EXP(-LN(2)/25)*EB53+(1-EXP(-LN(2)/25))/(LN(2)/25)*Calculateur!DW54*Calculateur!DY54*VLOOKUP('Données projet'!$B$14,Paramètres!$A$1:$I$89,3,0)*0.475*44/12</f>
        <v>6.453225427772697</v>
      </c>
      <c r="EC54" s="21">
        <f>EXP(-LN(2)/2)*EC53+(1-EXP(-LN(2)/2))/(LN(2)/2)*DW54*DZ54*VLOOKUP('Données projet'!$B$14,Paramètres!$A$1:$I$89,3,0)*0.475*44/12</f>
        <v>1.2456009012393012E-2</v>
      </c>
      <c r="ED54" s="22">
        <f t="shared" si="18"/>
        <v>7.7822269116516738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201.49055911472067</v>
      </c>
      <c r="T55" s="59">
        <f t="shared" si="34"/>
        <v>403.37692064114719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48.207774403042784</v>
      </c>
      <c r="AA55" s="21">
        <f>EXP(-LN(2)/25)*AA54+(1-EXP(-LN(2)/25))/(LN(2)/25)*Calculateur!V55*Calculateur!X55*VLOOKUP('Données projet'!$B$9,Paramètres!$A$1:$I$89,3,0)*0.475*44/12</f>
        <v>36.701689836291443</v>
      </c>
      <c r="AB55" s="21">
        <f>EXP(-LN(2)/2)*AB54+(1-EXP(-LN(2)/2))/(LN(2)/2)*V55*Y55*VLOOKUP('Données projet'!$B$9,Paramètres!$A$1:$I$89,3,0)*0.475*44/12</f>
        <v>0.25055573392584546</v>
      </c>
      <c r="AC55" s="22">
        <f t="shared" si="3"/>
        <v>85.160019973260077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39.000000000000057</v>
      </c>
      <c r="AJ55" s="13">
        <f>AI55*VLOOKUP('Données projet'!$B$10,Paramètres!$A$1:$I$89,3,0)*VLOOKUP('Données projet'!$B$10,Paramètres!$A$1:$I$89,5,0)</f>
        <v>34.070400000000056</v>
      </c>
      <c r="AK55" s="13">
        <f t="shared" si="35"/>
        <v>10.412633617059328</v>
      </c>
      <c r="AL55" s="20">
        <f t="shared" si="4"/>
        <v>77.474616883045101</v>
      </c>
      <c r="AM55" s="59">
        <f t="shared" si="5"/>
        <v>370.8079502163784</v>
      </c>
      <c r="AN55" s="59">
        <f ca="1">AVERAGE(OFFSET($AM$3,0,0,'Données projet'!$E$10+1,1))-AVERAGE(OFFSET($H$3,0,0,'Données projet'!$E$10+1,1))</f>
        <v>260.53994021583316</v>
      </c>
      <c r="AO55" s="59">
        <f t="shared" si="36"/>
        <v>669.20238852709122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0.14471741412117492</v>
      </c>
      <c r="AX55" s="21">
        <f t="shared" si="6"/>
        <v>0.14471741412117492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</v>
      </c>
      <c r="BD55" s="12">
        <f>IF('Données projet'!$A$88&gt;35,BD54+BC55-BL54,IF(A55&lt;'Données projet'!$A$88,$BA$205^A55,IF(A55='Données projet'!$A$88,'Données projet'!$B$88,BD54+BC55-BL54)))</f>
        <v>172.60000000000008</v>
      </c>
      <c r="BE55" s="13">
        <f>BD55*VLOOKUP('Données projet'!$B$11,Paramètres!$A$1:$I$89,3,0)*VLOOKUP('Données projet'!$B$11,Paramètres!$A$1:$I$89,5,0)</f>
        <v>175.01640000000009</v>
      </c>
      <c r="BF55" s="13">
        <f t="shared" si="37"/>
        <v>44.211621687190231</v>
      </c>
      <c r="BG55" s="20">
        <f t="shared" si="7"/>
        <v>381.82213777185649</v>
      </c>
      <c r="BH55" s="59">
        <f t="shared" si="8"/>
        <v>675.1554711051898</v>
      </c>
      <c r="BI55" s="59">
        <f ca="1">AVERAGE(OFFSET($BH$3,0,0,'Données projet'!$E$11+1,1))-AVERAGE(OFFSET($H$3,0,0,'Données projet'!$E$11+1,1))</f>
        <v>279.20364724206644</v>
      </c>
      <c r="BJ55" s="59">
        <f t="shared" si="38"/>
        <v>173.99850582760712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1.8913494313637222</v>
      </c>
      <c r="BR55" s="21">
        <f>EXP(-LN(2)/2)*BR54+(1-EXP(-LN(2)/2))/(LN(2)/2)*BL55*BO55*VLOOKUP('Données projet'!$B$11,Paramètres!$A$1:$I$89,3,0)*0.475*44/12</f>
        <v>3.3868838441023009E-3</v>
      </c>
      <c r="BS55" s="22">
        <f t="shared" si="9"/>
        <v>1.8947363152078245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172.60000000000008</v>
      </c>
      <c r="BZ55" s="13">
        <f>BY55*VLOOKUP('Données projet'!$B$12,Paramètres!$A$1:$I$89,3,0)*VLOOKUP('Données projet'!$B$12,Paramètres!$A$1:$I$89,5,0)</f>
        <v>196.55688000000009</v>
      </c>
      <c r="CA55" s="13">
        <f t="shared" si="39"/>
        <v>48.986711092794728</v>
      </c>
      <c r="CB55" s="20">
        <f t="shared" si="10"/>
        <v>427.65508781995095</v>
      </c>
      <c r="CC55" s="59">
        <f t="shared" si="11"/>
        <v>720.98842115328421</v>
      </c>
      <c r="CD55" s="59">
        <f ca="1">AVERAGE(OFFSET($CC$3,0,0,'Données projet'!$E$12+1,1))-AVERAGE(OFFSET($H$3,0,0,'Données projet'!$E$12+1,1))</f>
        <v>327.06866218660838</v>
      </c>
      <c r="CE55" s="59">
        <f t="shared" si="40"/>
        <v>202.18198935334908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2.124130899839257</v>
      </c>
      <c r="CM55" s="21">
        <f>EXP(-LN(2)/2)*CM54+(1-EXP(-LN(2)/2))/(LN(2)/2)*CG55*CJ55*VLOOKUP('Données projet'!$B$12,Paramètres!$A$1:$I$89,3,0)*0.475*44/12</f>
        <v>3.8037310864533591E-3</v>
      </c>
      <c r="CN55" s="22">
        <f t="shared" si="12"/>
        <v>2.1279346309257101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255.59999999999985</v>
      </c>
      <c r="CU55" s="17">
        <f>CT55*VLOOKUP('Données projet'!$B$13,Paramètres!$A$1:$I$89,3,0)*VLOOKUP('Données projet'!$B$13,Paramètres!$A$1:$I$89,5,0)</f>
        <v>207.34271999999987</v>
      </c>
      <c r="CV55" s="13">
        <f t="shared" si="41"/>
        <v>51.354473493382997</v>
      </c>
      <c r="CW55" s="20">
        <f t="shared" si="13"/>
        <v>450.56427866764187</v>
      </c>
      <c r="CX55" s="59">
        <f t="shared" si="14"/>
        <v>743.89761200097519</v>
      </c>
      <c r="CY55" s="59">
        <f ca="1">AVERAGE(OFFSET($CX$3,0,0,'Données projet'!$E$13+1,1))-AVERAGE(OFFSET($H$3,0,0,'Données projet'!$E$13+1,1))</f>
        <v>266.72672633301022</v>
      </c>
      <c r="CZ55" s="59">
        <f t="shared" si="42"/>
        <v>314.26991662544219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1.7459133812222789</v>
      </c>
      <c r="DG55" s="21">
        <f>EXP(-LN(2)/25)*DG54+(1-EXP(-LN(2)/25))/(LN(2)/25)*Calculateur!DB55*Calculateur!DD55*VLOOKUP('Données projet'!$B$13,Paramètres!$A$1:$I$89,3,0)*0.475*44/12</f>
        <v>9.2233418529322062</v>
      </c>
      <c r="DH55" s="21">
        <f>EXP(-LN(2)/2)*DH54+(1-EXP(-LN(2)/2))/(LN(2)/2)*DB55*DE55*VLOOKUP('Données projet'!$B$13,Paramètres!$A$1:$I$89,3,0)*0.475*44/12</f>
        <v>1.1967962824978742E-2</v>
      </c>
      <c r="DI55" s="22">
        <f t="shared" si="15"/>
        <v>10.981223196979464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10</v>
      </c>
      <c r="DO55" s="12">
        <f>IF('Données projet'!$A$166&gt;35,DO54+DN55-DW54,IF(A55&lt;'Données projet'!$A$166,$DL$205^A55,IF(A55='Données projet'!$A$166,'Données projet'!$B$166,DO54+DN55-DW54)))</f>
        <v>299.99999999999983</v>
      </c>
      <c r="DP55" s="17">
        <f>DO55*VLOOKUP('Données projet'!$B$14,Paramètres!$A$1:$I$89,3,0)*VLOOKUP('Données projet'!$B$14,Paramètres!$A$1:$I$89,5,0)</f>
        <v>322.91999999999979</v>
      </c>
      <c r="DQ55" s="13">
        <f t="shared" si="43"/>
        <v>75.960594879408688</v>
      </c>
      <c r="DR55" s="20">
        <f t="shared" si="16"/>
        <v>694.71703608163637</v>
      </c>
      <c r="DS55" s="59">
        <f t="shared" si="17"/>
        <v>988.05036941496974</v>
      </c>
      <c r="DT55" s="59">
        <f ca="1">AVERAGE(OFFSET($DS$3,0,0,'Données projet'!$E$14+1,1))-AVERAGE(OFFSET($H$3,0,0,'Données projet'!$E$14+1,1))</f>
        <v>442.54137223086991</v>
      </c>
      <c r="DU55" s="59">
        <f t="shared" si="44"/>
        <v>454.23406186660714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1.2907288211178991</v>
      </c>
      <c r="EB55" s="21">
        <f>EXP(-LN(2)/25)*EB54+(1-EXP(-LN(2)/25))/(LN(2)/25)*Calculateur!DW55*Calculateur!DY55*VLOOKUP('Données projet'!$B$14,Paramètres!$A$1:$I$89,3,0)*0.475*44/12</f>
        <v>6.2767616390898766</v>
      </c>
      <c r="EC55" s="21">
        <f>EXP(-LN(2)/2)*EC54+(1-EXP(-LN(2)/2))/(LN(2)/2)*DW55*DZ55*VLOOKUP('Données projet'!$B$14,Paramètres!$A$1:$I$89,3,0)*0.475*44/12</f>
        <v>8.8077284391838498E-3</v>
      </c>
      <c r="ED55" s="22">
        <f t="shared" si="18"/>
        <v>7.5762981886469589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201.49055911472067</v>
      </c>
      <c r="T56" s="59">
        <f t="shared" si="34"/>
        <v>403.37692064114719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47.262449350838111</v>
      </c>
      <c r="AA56" s="21">
        <f>EXP(-LN(2)/25)*AA55+(1-EXP(-LN(2)/25))/(LN(2)/25)*Calculateur!V56*Calculateur!X56*VLOOKUP('Données projet'!$B$9,Paramètres!$A$1:$I$89,3,0)*0.475*44/12</f>
        <v>35.698080197660069</v>
      </c>
      <c r="AB56" s="21">
        <f>EXP(-LN(2)/2)*AB55+(1-EXP(-LN(2)/2))/(LN(2)/2)*V56*Y56*VLOOKUP('Données projet'!$B$9,Paramètres!$A$1:$I$89,3,0)*0.475*44/12</f>
        <v>0.17716965852413763</v>
      </c>
      <c r="AC56" s="22">
        <f t="shared" si="3"/>
        <v>83.137699207022322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39.000000000000057</v>
      </c>
      <c r="AJ56" s="13">
        <f>AI56*VLOOKUP('Données projet'!$B$10,Paramètres!$A$1:$I$89,3,0)*VLOOKUP('Données projet'!$B$10,Paramètres!$A$1:$I$89,5,0)</f>
        <v>34.070400000000056</v>
      </c>
      <c r="AK56" s="13">
        <f t="shared" si="35"/>
        <v>10.412633617059328</v>
      </c>
      <c r="AL56" s="20">
        <f t="shared" si="4"/>
        <v>77.474616883045101</v>
      </c>
      <c r="AM56" s="59">
        <f t="shared" si="5"/>
        <v>370.8079502163784</v>
      </c>
      <c r="AN56" s="59">
        <f ca="1">AVERAGE(OFFSET($AM$3,0,0,'Données projet'!$E$10+1,1))-AVERAGE(OFFSET($H$3,0,0,'Données projet'!$E$10+1,1))</f>
        <v>260.53994021583316</v>
      </c>
      <c r="AO56" s="59">
        <f t="shared" si="36"/>
        <v>669.20238852709122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0.10233066488086462</v>
      </c>
      <c r="AX56" s="21">
        <f t="shared" si="6"/>
        <v>0.10233066488086462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</v>
      </c>
      <c r="BD56" s="12">
        <f>IF('Données projet'!$A$88&gt;35,BD55+BC56-BL55,IF(A56&lt;'Données projet'!$A$88,$BA$205^A56,IF(A56='Données projet'!$A$88,'Données projet'!$B$88,BD55+BC56-BL55)))</f>
        <v>180.40000000000009</v>
      </c>
      <c r="BE56" s="13">
        <f>BD56*VLOOKUP('Données projet'!$B$11,Paramètres!$A$1:$I$89,3,0)*VLOOKUP('Données projet'!$B$11,Paramètres!$A$1:$I$89,5,0)</f>
        <v>182.92560000000012</v>
      </c>
      <c r="BF56" s="13">
        <f t="shared" si="37"/>
        <v>45.97246625045144</v>
      </c>
      <c r="BG56" s="20">
        <f t="shared" si="7"/>
        <v>398.66413205286977</v>
      </c>
      <c r="BH56" s="59">
        <f t="shared" si="8"/>
        <v>691.99746538620309</v>
      </c>
      <c r="BI56" s="59">
        <f ca="1">AVERAGE(OFFSET($BH$3,0,0,'Données projet'!$E$11+1,1))-AVERAGE(OFFSET($H$3,0,0,'Données projet'!$E$11+1,1))</f>
        <v>279.20364724206644</v>
      </c>
      <c r="BJ56" s="59">
        <f t="shared" si="38"/>
        <v>173.99850582760712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1.8396303817013373</v>
      </c>
      <c r="BR56" s="21">
        <f>EXP(-LN(2)/2)*BR55+(1-EXP(-LN(2)/2))/(LN(2)/2)*BL56*BO56*VLOOKUP('Données projet'!$B$11,Paramètres!$A$1:$I$89,3,0)*0.475*44/12</f>
        <v>2.3948885332558986E-3</v>
      </c>
      <c r="BS56" s="22">
        <f t="shared" si="9"/>
        <v>1.8420252702345932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180.40000000000009</v>
      </c>
      <c r="BZ56" s="13">
        <f>BY56*VLOOKUP('Données projet'!$B$12,Paramètres!$A$1:$I$89,3,0)*VLOOKUP('Données projet'!$B$12,Paramètres!$A$1:$I$89,5,0)</f>
        <v>205.4395200000001</v>
      </c>
      <c r="CA56" s="13">
        <f t="shared" si="39"/>
        <v>50.937736199046086</v>
      </c>
      <c r="CB56" s="20">
        <f t="shared" si="10"/>
        <v>446.52372121333877</v>
      </c>
      <c r="CC56" s="59">
        <f t="shared" si="11"/>
        <v>739.85705454667209</v>
      </c>
      <c r="CD56" s="59">
        <f ca="1">AVERAGE(OFFSET($CC$3,0,0,'Données projet'!$E$12+1,1))-AVERAGE(OFFSET($H$3,0,0,'Données projet'!$E$12+1,1))</f>
        <v>327.06866218660838</v>
      </c>
      <c r="CE56" s="59">
        <f t="shared" si="40"/>
        <v>202.18198935334908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2.0660464286799631</v>
      </c>
      <c r="CM56" s="21">
        <f>EXP(-LN(2)/2)*CM55+(1-EXP(-LN(2)/2))/(LN(2)/2)*CG56*CJ56*VLOOKUP('Données projet'!$B$12,Paramètres!$A$1:$I$89,3,0)*0.475*44/12</f>
        <v>2.6896440450412443E-3</v>
      </c>
      <c r="CN56" s="22">
        <f t="shared" si="12"/>
        <v>2.0687360727250046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262.39999999999986</v>
      </c>
      <c r="CU56" s="17">
        <f>CT56*VLOOKUP('Données projet'!$B$13,Paramètres!$A$1:$I$89,3,0)*VLOOKUP('Données projet'!$B$13,Paramètres!$A$1:$I$89,5,0)</f>
        <v>212.85887999999989</v>
      </c>
      <c r="CV56" s="13">
        <f t="shared" si="41"/>
        <v>52.559830405800589</v>
      </c>
      <c r="CW56" s="20">
        <f t="shared" si="13"/>
        <v>462.27092062343581</v>
      </c>
      <c r="CX56" s="59">
        <f t="shared" si="14"/>
        <v>755.60425395676907</v>
      </c>
      <c r="CY56" s="59">
        <f ca="1">AVERAGE(OFFSET($CX$3,0,0,'Données projet'!$E$13+1,1))-AVERAGE(OFFSET($H$3,0,0,'Données projet'!$E$13+1,1))</f>
        <v>266.72672633301022</v>
      </c>
      <c r="CZ56" s="59">
        <f t="shared" si="42"/>
        <v>314.26991662544219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1.7116770847185223</v>
      </c>
      <c r="DG56" s="21">
        <f>EXP(-LN(2)/25)*DG55+(1-EXP(-LN(2)/25))/(LN(2)/25)*Calculateur!DB56*Calculateur!DD56*VLOOKUP('Données projet'!$B$13,Paramètres!$A$1:$I$89,3,0)*0.475*44/12</f>
        <v>8.9711290849293075</v>
      </c>
      <c r="DH56" s="21">
        <f>EXP(-LN(2)/2)*DH55+(1-EXP(-LN(2)/2))/(LN(2)/2)*DB56*DE56*VLOOKUP('Données projet'!$B$13,Paramètres!$A$1:$I$89,3,0)*0.475*44/12</f>
        <v>8.4626276705309783E-3</v>
      </c>
      <c r="DI56" s="22">
        <f t="shared" si="15"/>
        <v>10.69126879731836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</v>
      </c>
      <c r="DO56" s="12">
        <f>IF('Données projet'!$A$166&gt;35,DO55+DN56-DW55,IF(A56&lt;'Données projet'!$A$166,$DL$205^A56,IF(A56='Données projet'!$A$166,'Données projet'!$B$166,DO55+DN56-DW55)))</f>
        <v>309.99999999999983</v>
      </c>
      <c r="DP56" s="17">
        <f>DO56*VLOOKUP('Données projet'!$B$14,Paramètres!$A$1:$I$89,3,0)*VLOOKUP('Données projet'!$B$14,Paramètres!$A$1:$I$89,5,0)</f>
        <v>333.6839999999998</v>
      </c>
      <c r="DQ56" s="13">
        <f t="shared" si="43"/>
        <v>78.193600162051595</v>
      </c>
      <c r="DR56" s="20">
        <f t="shared" si="16"/>
        <v>717.35348694890615</v>
      </c>
      <c r="DS56" s="59">
        <f t="shared" si="17"/>
        <v>1010.6868202822395</v>
      </c>
      <c r="DT56" s="59">
        <f ca="1">AVERAGE(OFFSET($DS$3,0,0,'Données projet'!$E$14+1,1))-AVERAGE(OFFSET($H$3,0,0,'Données projet'!$E$14+1,1))</f>
        <v>442.54137223086991</v>
      </c>
      <c r="DU56" s="59">
        <f t="shared" si="44"/>
        <v>454.23406186660714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1.2654184162026219</v>
      </c>
      <c r="EB56" s="21">
        <f>EXP(-LN(2)/25)*EB55+(1-EXP(-LN(2)/25))/(LN(2)/25)*Calculateur!DW56*Calculateur!DY56*VLOOKUP('Données projet'!$B$14,Paramètres!$A$1:$I$89,3,0)*0.475*44/12</f>
        <v>6.1051232619884148</v>
      </c>
      <c r="EC56" s="21">
        <f>EXP(-LN(2)/2)*EC55+(1-EXP(-LN(2)/2))/(LN(2)/2)*DW56*DZ56*VLOOKUP('Données projet'!$B$14,Paramètres!$A$1:$I$89,3,0)*0.475*44/12</f>
        <v>6.2280045061965062E-3</v>
      </c>
      <c r="ED56" s="22">
        <f t="shared" si="18"/>
        <v>7.3767696826972333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201.49055911472067</v>
      </c>
      <c r="T57" s="59">
        <f t="shared" si="34"/>
        <v>403.37692064114719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46.335661546315826</v>
      </c>
      <c r="AA57" s="21">
        <f>EXP(-LN(2)/25)*AA56+(1-EXP(-LN(2)/25))/(LN(2)/25)*Calculateur!V57*Calculateur!X57*VLOOKUP('Données projet'!$B$9,Paramètres!$A$1:$I$89,3,0)*0.475*44/12</f>
        <v>34.721914317374605</v>
      </c>
      <c r="AB57" s="21">
        <f>EXP(-LN(2)/2)*AB56+(1-EXP(-LN(2)/2))/(LN(2)/2)*V57*Y57*VLOOKUP('Données projet'!$B$9,Paramètres!$A$1:$I$89,3,0)*0.475*44/12</f>
        <v>0.12527786696292273</v>
      </c>
      <c r="AC57" s="22">
        <f t="shared" si="3"/>
        <v>81.182853730653349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39.000000000000057</v>
      </c>
      <c r="AJ57" s="13">
        <f>AI57*VLOOKUP('Données projet'!$B$10,Paramètres!$A$1:$I$89,3,0)*VLOOKUP('Données projet'!$B$10,Paramètres!$A$1:$I$89,5,0)</f>
        <v>34.070400000000056</v>
      </c>
      <c r="AK57" s="13">
        <f t="shared" si="35"/>
        <v>10.412633617059328</v>
      </c>
      <c r="AL57" s="20">
        <f t="shared" si="4"/>
        <v>77.474616883045101</v>
      </c>
      <c r="AM57" s="59">
        <f t="shared" si="5"/>
        <v>370.8079502163784</v>
      </c>
      <c r="AN57" s="59">
        <f ca="1">AVERAGE(OFFSET($AM$3,0,0,'Données projet'!$E$10+1,1))-AVERAGE(OFFSET($H$3,0,0,'Données projet'!$E$10+1,1))</f>
        <v>260.53994021583316</v>
      </c>
      <c r="AO57" s="59">
        <f t="shared" si="36"/>
        <v>669.20238852709122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7.235870706058746E-2</v>
      </c>
      <c r="AX57" s="21">
        <f t="shared" si="6"/>
        <v>7.235870706058746E-2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</v>
      </c>
      <c r="BD57" s="12">
        <f>IF('Données projet'!$A$88&gt;35,BD56+BC57-BL56,IF(A57&lt;'Données projet'!$A$88,$BA$205^A57,IF(A57='Données projet'!$A$88,'Données projet'!$B$88,BD56+BC57-BL56)))</f>
        <v>188.2000000000001</v>
      </c>
      <c r="BE57" s="13">
        <f>BD57*VLOOKUP('Données projet'!$B$11,Paramètres!$A$1:$I$89,3,0)*VLOOKUP('Données projet'!$B$11,Paramètres!$A$1:$I$89,5,0)</f>
        <v>190.83480000000012</v>
      </c>
      <c r="BF57" s="13">
        <f t="shared" si="37"/>
        <v>47.724468160640392</v>
      </c>
      <c r="BG57" s="20">
        <f t="shared" si="7"/>
        <v>415.49072537978219</v>
      </c>
      <c r="BH57" s="59">
        <f t="shared" si="8"/>
        <v>708.82405871311551</v>
      </c>
      <c r="BI57" s="59">
        <f ca="1">AVERAGE(OFFSET($BH$3,0,0,'Données projet'!$E$11+1,1))-AVERAGE(OFFSET($H$3,0,0,'Données projet'!$E$11+1,1))</f>
        <v>279.20364724206644</v>
      </c>
      <c r="BJ57" s="59">
        <f t="shared" si="38"/>
        <v>173.99850582760712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1.789325592171757</v>
      </c>
      <c r="BR57" s="21">
        <f>EXP(-LN(2)/2)*BR56+(1-EXP(-LN(2)/2))/(LN(2)/2)*BL57*BO57*VLOOKUP('Données projet'!$B$11,Paramètres!$A$1:$I$89,3,0)*0.475*44/12</f>
        <v>1.6934419220511504E-3</v>
      </c>
      <c r="BS57" s="22">
        <f t="shared" si="9"/>
        <v>1.7910190340938081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188.2000000000001</v>
      </c>
      <c r="BZ57" s="13">
        <f>BY57*VLOOKUP('Données projet'!$B$12,Paramètres!$A$1:$I$89,3,0)*VLOOKUP('Données projet'!$B$12,Paramètres!$A$1:$I$89,5,0)</f>
        <v>214.32216000000014</v>
      </c>
      <c r="CA57" s="13">
        <f t="shared" si="39"/>
        <v>52.878963598838965</v>
      </c>
      <c r="CB57" s="20">
        <f t="shared" si="10"/>
        <v>465.37529026797807</v>
      </c>
      <c r="CC57" s="59">
        <f t="shared" si="11"/>
        <v>758.70862360131139</v>
      </c>
      <c r="CD57" s="59">
        <f ca="1">AVERAGE(OFFSET($CC$3,0,0,'Données projet'!$E$12+1,1))-AVERAGE(OFFSET($H$3,0,0,'Données projet'!$E$12+1,1))</f>
        <v>327.06866218660838</v>
      </c>
      <c r="CE57" s="59">
        <f t="shared" si="40"/>
        <v>202.18198935334908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2.0095502804390497</v>
      </c>
      <c r="CM57" s="21">
        <f>EXP(-LN(2)/2)*CM56+(1-EXP(-LN(2)/2))/(LN(2)/2)*CG57*CJ57*VLOOKUP('Données projet'!$B$12,Paramètres!$A$1:$I$89,3,0)*0.475*44/12</f>
        <v>1.9018655432266798E-3</v>
      </c>
      <c r="CN57" s="22">
        <f t="shared" si="12"/>
        <v>2.0114521459822763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269.19999999999987</v>
      </c>
      <c r="CU57" s="17">
        <f>CT57*VLOOKUP('Données projet'!$B$13,Paramètres!$A$1:$I$89,3,0)*VLOOKUP('Données projet'!$B$13,Paramètres!$A$1:$I$89,5,0)</f>
        <v>218.37503999999993</v>
      </c>
      <c r="CV57" s="13">
        <f t="shared" si="41"/>
        <v>53.761556452013281</v>
      </c>
      <c r="CW57" s="20">
        <f t="shared" si="13"/>
        <v>473.97123882058969</v>
      </c>
      <c r="CX57" s="59">
        <f t="shared" si="14"/>
        <v>767.304572153923</v>
      </c>
      <c r="CY57" s="59">
        <f ca="1">AVERAGE(OFFSET($CX$3,0,0,'Données projet'!$E$13+1,1))-AVERAGE(OFFSET($H$3,0,0,'Données projet'!$E$13+1,1))</f>
        <v>266.72672633301022</v>
      </c>
      <c r="CZ57" s="59">
        <f t="shared" si="42"/>
        <v>314.26991662544219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1.6781121411071254</v>
      </c>
      <c r="DG57" s="21">
        <f>EXP(-LN(2)/25)*DG56+(1-EXP(-LN(2)/25))/(LN(2)/25)*Calculateur!DB57*Calculateur!DD57*VLOOKUP('Données projet'!$B$13,Paramètres!$A$1:$I$89,3,0)*0.475*44/12</f>
        <v>8.7258130883307405</v>
      </c>
      <c r="DH57" s="21">
        <f>EXP(-LN(2)/2)*DH56+(1-EXP(-LN(2)/2))/(LN(2)/2)*DB57*DE57*VLOOKUP('Données projet'!$B$13,Paramètres!$A$1:$I$89,3,0)*0.475*44/12</f>
        <v>5.983981412489371E-3</v>
      </c>
      <c r="DI57" s="22">
        <f t="shared" si="15"/>
        <v>10.409909210850355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</v>
      </c>
      <c r="DO57" s="12">
        <f>IF('Données projet'!$A$166&gt;35,DO56+DN57-DW56,IF(A57&lt;'Données projet'!$A$166,$DL$205^A57,IF(A57='Données projet'!$A$166,'Données projet'!$B$166,DO56+DN57-DW56)))</f>
        <v>319.99999999999983</v>
      </c>
      <c r="DP57" s="17">
        <f>DO57*VLOOKUP('Données projet'!$B$14,Paramètres!$A$1:$I$89,3,0)*VLOOKUP('Données projet'!$B$14,Paramètres!$A$1:$I$89,5,0)</f>
        <v>344.44799999999981</v>
      </c>
      <c r="DQ57" s="13">
        <f t="shared" si="43"/>
        <v>80.41823505802698</v>
      </c>
      <c r="DR57" s="20">
        <f t="shared" si="16"/>
        <v>739.97535939272996</v>
      </c>
      <c r="DS57" s="59">
        <f t="shared" si="17"/>
        <v>1033.3086927260633</v>
      </c>
      <c r="DT57" s="59">
        <f ca="1">AVERAGE(OFFSET($DS$3,0,0,'Données projet'!$E$14+1,1))-AVERAGE(OFFSET($H$3,0,0,'Données projet'!$E$14+1,1))</f>
        <v>442.54137223086991</v>
      </c>
      <c r="DU57" s="59">
        <f t="shared" si="44"/>
        <v>454.23406186660714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1.2406043328899106</v>
      </c>
      <c r="EB57" s="21">
        <f>EXP(-LN(2)/25)*EB56+(1-EXP(-LN(2)/25))/(LN(2)/25)*Calculateur!DW57*Calculateur!DY57*VLOOKUP('Données projet'!$B$14,Paramètres!$A$1:$I$89,3,0)*0.475*44/12</f>
        <v>5.9381783453348627</v>
      </c>
      <c r="EC57" s="21">
        <f>EXP(-LN(2)/2)*EC56+(1-EXP(-LN(2)/2))/(LN(2)/2)*DW57*DZ57*VLOOKUP('Données projet'!$B$14,Paramètres!$A$1:$I$89,3,0)*0.475*44/12</f>
        <v>4.4038642195919249E-3</v>
      </c>
      <c r="ED57" s="22">
        <f t="shared" si="18"/>
        <v>7.1831865424443651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201.49055911472067</v>
      </c>
      <c r="T58" s="59">
        <f t="shared" si="34"/>
        <v>403.37692064114719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45.42704748535548</v>
      </c>
      <c r="AA58" s="21">
        <f>EXP(-LN(2)/25)*AA57+(1-EXP(-LN(2)/25))/(LN(2)/25)*Calculateur!V58*Calculateur!X58*VLOOKUP('Données projet'!$B$9,Paramètres!$A$1:$I$89,3,0)*0.475*44/12</f>
        <v>33.772441744419879</v>
      </c>
      <c r="AB58" s="21">
        <f>EXP(-LN(2)/2)*AB57+(1-EXP(-LN(2)/2))/(LN(2)/2)*V58*Y58*VLOOKUP('Données projet'!$B$9,Paramètres!$A$1:$I$89,3,0)*0.475*44/12</f>
        <v>8.8584829262068815E-2</v>
      </c>
      <c r="AC58" s="22">
        <f t="shared" si="3"/>
        <v>79.288074059037442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39.000000000000057</v>
      </c>
      <c r="AJ58" s="13">
        <f>AI58*VLOOKUP('Données projet'!$B$10,Paramètres!$A$1:$I$89,3,0)*VLOOKUP('Données projet'!$B$10,Paramètres!$A$1:$I$89,5,0)</f>
        <v>34.070400000000056</v>
      </c>
      <c r="AK58" s="13">
        <f t="shared" si="35"/>
        <v>10.412633617059328</v>
      </c>
      <c r="AL58" s="20">
        <f t="shared" si="4"/>
        <v>77.474616883045101</v>
      </c>
      <c r="AM58" s="59">
        <f t="shared" si="5"/>
        <v>370.8079502163784</v>
      </c>
      <c r="AN58" s="59">
        <f ca="1">AVERAGE(OFFSET($AM$3,0,0,'Données projet'!$E$10+1,1))-AVERAGE(OFFSET($H$3,0,0,'Données projet'!$E$10+1,1))</f>
        <v>260.53994021583316</v>
      </c>
      <c r="AO58" s="59">
        <f t="shared" si="36"/>
        <v>669.20238852709122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5.116533244043231E-2</v>
      </c>
      <c r="AX58" s="21">
        <f t="shared" si="6"/>
        <v>5.116533244043231E-2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7.8</v>
      </c>
      <c r="BD58" s="12">
        <f>IF('Données projet'!$A$88&gt;35,BD57+BC58-BL57,IF(A58&lt;'Données projet'!$A$88,$BA$205^A58,IF(A58='Données projet'!$A$88,'Données projet'!$B$88,BD57+BC58-BL57)))</f>
        <v>196.00000000000011</v>
      </c>
      <c r="BE58" s="13">
        <f>BD58*VLOOKUP('Données projet'!$B$11,Paramètres!$A$1:$I$89,3,0)*VLOOKUP('Données projet'!$B$11,Paramètres!$A$1:$I$89,5,0)</f>
        <v>198.74400000000011</v>
      </c>
      <c r="BF58" s="13">
        <f t="shared" si="37"/>
        <v>49.468035816012197</v>
      </c>
      <c r="BG58" s="20">
        <f t="shared" si="7"/>
        <v>432.3026290462214</v>
      </c>
      <c r="BH58" s="59">
        <f t="shared" si="8"/>
        <v>725.63596237955471</v>
      </c>
      <c r="BI58" s="59">
        <f ca="1">AVERAGE(OFFSET($BH$3,0,0,'Données projet'!$E$11+1,1))-AVERAGE(OFFSET($H$3,0,0,'Données projet'!$E$11+1,1))</f>
        <v>279.20364724206644</v>
      </c>
      <c r="BJ58" s="59">
        <f t="shared" si="38"/>
        <v>173.99850582760712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1.740396389757277</v>
      </c>
      <c r="BR58" s="21">
        <f>EXP(-LN(2)/2)*BR57+(1-EXP(-LN(2)/2))/(LN(2)/2)*BL58*BO58*VLOOKUP('Données projet'!$B$11,Paramètres!$A$1:$I$89,3,0)*0.475*44/12</f>
        <v>1.1974442666279493E-3</v>
      </c>
      <c r="BS58" s="22">
        <f t="shared" si="9"/>
        <v>1.741593834023905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196.00000000000011</v>
      </c>
      <c r="BZ58" s="13">
        <f>BY58*VLOOKUP('Données projet'!$B$12,Paramètres!$A$1:$I$89,3,0)*VLOOKUP('Données projet'!$B$12,Paramètres!$A$1:$I$89,5,0)</f>
        <v>223.20480000000012</v>
      </c>
      <c r="CA58" s="13">
        <f t="shared" si="39"/>
        <v>54.810845799603989</v>
      </c>
      <c r="CB58" s="20">
        <f t="shared" si="10"/>
        <v>484.21058310097715</v>
      </c>
      <c r="CC58" s="59">
        <f t="shared" si="11"/>
        <v>777.5439164343104</v>
      </c>
      <c r="CD58" s="59">
        <f ca="1">AVERAGE(OFFSET($CC$3,0,0,'Données projet'!$E$12+1,1))-AVERAGE(OFFSET($H$3,0,0,'Données projet'!$E$12+1,1))</f>
        <v>327.06866218660838</v>
      </c>
      <c r="CE58" s="59">
        <f t="shared" si="40"/>
        <v>202.18198935334908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1.9545990223427876</v>
      </c>
      <c r="CM58" s="21">
        <f>EXP(-LN(2)/2)*CM57+(1-EXP(-LN(2)/2))/(LN(2)/2)*CG58*CJ58*VLOOKUP('Données projet'!$B$12,Paramètres!$A$1:$I$89,3,0)*0.475*44/12</f>
        <v>1.3448220225206224E-3</v>
      </c>
      <c r="CN58" s="22">
        <f t="shared" si="12"/>
        <v>1.9559438443653083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275.99999999999989</v>
      </c>
      <c r="CU58" s="17">
        <f>CT58*VLOOKUP('Données projet'!$B$13,Paramètres!$A$1:$I$89,3,0)*VLOOKUP('Données projet'!$B$13,Paramètres!$A$1:$I$89,5,0)</f>
        <v>223.89119999999994</v>
      </c>
      <c r="CV58" s="13">
        <f t="shared" si="41"/>
        <v>54.95975389514858</v>
      </c>
      <c r="CW58" s="20">
        <f t="shared" si="13"/>
        <v>485.66541136738368</v>
      </c>
      <c r="CX58" s="59">
        <f t="shared" si="14"/>
        <v>778.998744700717</v>
      </c>
      <c r="CY58" s="59">
        <f ca="1">AVERAGE(OFFSET($CX$3,0,0,'Données projet'!$E$13+1,1))-AVERAGE(OFFSET($H$3,0,0,'Données projet'!$E$13+1,1))</f>
        <v>266.72672633301022</v>
      </c>
      <c r="CZ58" s="59">
        <f t="shared" si="42"/>
        <v>314.26991662544219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1.6452053855673539</v>
      </c>
      <c r="DG58" s="21">
        <f>EXP(-LN(2)/25)*DG57+(1-EXP(-LN(2)/25))/(LN(2)/25)*Calculateur!DB58*Calculateur!DD58*VLOOKUP('Données projet'!$B$13,Paramètres!$A$1:$I$89,3,0)*0.475*44/12</f>
        <v>8.4872052705597696</v>
      </c>
      <c r="DH58" s="21">
        <f>EXP(-LN(2)/2)*DH57+(1-EXP(-LN(2)/2))/(LN(2)/2)*DB58*DE58*VLOOKUP('Données projet'!$B$13,Paramètres!$A$1:$I$89,3,0)*0.475*44/12</f>
        <v>4.2313138352654892E-3</v>
      </c>
      <c r="DI58" s="22">
        <f t="shared" si="15"/>
        <v>10.13664196996239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10</v>
      </c>
      <c r="DO58" s="12">
        <f>IF('Données projet'!$A$166&gt;35,DO57+DN58-DW57,IF(A58&lt;'Données projet'!$A$166,$DL$205^A58,IF(A58='Données projet'!$A$166,'Données projet'!$B$166,DO57+DN58-DW57)))</f>
        <v>329.99999999999983</v>
      </c>
      <c r="DP58" s="17">
        <f>DO58*VLOOKUP('Données projet'!$B$14,Paramètres!$A$1:$I$89,3,0)*VLOOKUP('Données projet'!$B$14,Paramètres!$A$1:$I$89,5,0)</f>
        <v>355.21199999999982</v>
      </c>
      <c r="DQ58" s="13">
        <f t="shared" si="43"/>
        <v>82.63479115502733</v>
      </c>
      <c r="DR58" s="20">
        <f t="shared" si="16"/>
        <v>762.58316126167222</v>
      </c>
      <c r="DS58" s="59">
        <f t="shared" si="17"/>
        <v>1055.9164945950056</v>
      </c>
      <c r="DT58" s="59">
        <f ca="1">AVERAGE(OFFSET($DS$3,0,0,'Données projet'!$E$14+1,1))-AVERAGE(OFFSET($H$3,0,0,'Données projet'!$E$14+1,1))</f>
        <v>442.54137223086991</v>
      </c>
      <c r="DU58" s="59">
        <f t="shared" si="44"/>
        <v>454.23406186660714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1.2162768386158651</v>
      </c>
      <c r="EB58" s="21">
        <f>EXP(-LN(2)/25)*EB57+(1-EXP(-LN(2)/25))/(LN(2)/25)*Calculateur!DW58*Calculateur!DY58*VLOOKUP('Données projet'!$B$14,Paramètres!$A$1:$I$89,3,0)*0.475*44/12</f>
        <v>5.7757985462064534</v>
      </c>
      <c r="EC58" s="21">
        <f>EXP(-LN(2)/2)*EC57+(1-EXP(-LN(2)/2))/(LN(2)/2)*DW58*DZ58*VLOOKUP('Données projet'!$B$14,Paramètres!$A$1:$I$89,3,0)*0.475*44/12</f>
        <v>3.1140022530982531E-3</v>
      </c>
      <c r="ED58" s="22">
        <f t="shared" si="18"/>
        <v>6.9951893870754169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201.49055911472067</v>
      </c>
      <c r="T59" s="59">
        <f t="shared" si="34"/>
        <v>403.37692064114719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44.536250791930712</v>
      </c>
      <c r="AA59" s="21">
        <f>EXP(-LN(2)/25)*AA58+(1-EXP(-LN(2)/25))/(LN(2)/25)*Calculateur!V59*Calculateur!X59*VLOOKUP('Données projet'!$B$9,Paramètres!$A$1:$I$89,3,0)*0.475*44/12</f>
        <v>32.848932548903193</v>
      </c>
      <c r="AB59" s="21">
        <f>EXP(-LN(2)/2)*AB58+(1-EXP(-LN(2)/2))/(LN(2)/2)*V59*Y59*VLOOKUP('Données projet'!$B$9,Paramètres!$A$1:$I$89,3,0)*0.475*44/12</f>
        <v>6.2638933481461365E-2</v>
      </c>
      <c r="AC59" s="22">
        <f t="shared" si="3"/>
        <v>77.447822274315371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39.000000000000057</v>
      </c>
      <c r="AJ59" s="13">
        <f>AI59*VLOOKUP('Données projet'!$B$10,Paramètres!$A$1:$I$89,3,0)*VLOOKUP('Données projet'!$B$10,Paramètres!$A$1:$I$89,5,0)</f>
        <v>34.070400000000056</v>
      </c>
      <c r="AK59" s="13">
        <f t="shared" si="35"/>
        <v>10.412633617059328</v>
      </c>
      <c r="AL59" s="20">
        <f t="shared" si="4"/>
        <v>77.474616883045101</v>
      </c>
      <c r="AM59" s="59">
        <f t="shared" si="5"/>
        <v>370.8079502163784</v>
      </c>
      <c r="AN59" s="59">
        <f ca="1">AVERAGE(OFFSET($AM$3,0,0,'Données projet'!$E$10+1,1))-AVERAGE(OFFSET($H$3,0,0,'Données projet'!$E$10+1,1))</f>
        <v>260.53994021583316</v>
      </c>
      <c r="AO59" s="59">
        <f t="shared" si="36"/>
        <v>669.20238852709122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3.617935353029373E-2</v>
      </c>
      <c r="AX59" s="21">
        <f t="shared" si="6"/>
        <v>3.617935353029373E-2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203.80000000000013</v>
      </c>
      <c r="BE59" s="13">
        <f>BD59*VLOOKUP('Données projet'!$B$11,Paramètres!$A$1:$I$89,3,0)*VLOOKUP('Données projet'!$B$11,Paramètres!$A$1:$I$89,5,0)</f>
        <v>206.65320000000014</v>
      </c>
      <c r="BF59" s="13">
        <f t="shared" si="37"/>
        <v>51.20354326964263</v>
      </c>
      <c r="BG59" s="20">
        <f t="shared" si="7"/>
        <v>449.10049452796119</v>
      </c>
      <c r="BH59" s="59">
        <f t="shared" si="8"/>
        <v>742.4338278612945</v>
      </c>
      <c r="BI59" s="59">
        <f ca="1">AVERAGE(OFFSET($BH$3,0,0,'Données projet'!$E$11+1,1))-AVERAGE(OFFSET($H$3,0,0,'Données projet'!$E$11+1,1))</f>
        <v>279.20364724206644</v>
      </c>
      <c r="BJ59" s="59">
        <f t="shared" si="38"/>
        <v>173.99850582760712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1.6928051589558959</v>
      </c>
      <c r="BR59" s="21">
        <f>EXP(-LN(2)/2)*BR58+(1-EXP(-LN(2)/2))/(LN(2)/2)*BL59*BO59*VLOOKUP('Données projet'!$B$11,Paramètres!$A$1:$I$89,3,0)*0.475*44/12</f>
        <v>8.4672096102557522E-4</v>
      </c>
      <c r="BS59" s="22">
        <f t="shared" si="9"/>
        <v>1.6936518799169216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7.8</v>
      </c>
      <c r="BY59" s="12">
        <f>IF('Données projet'!$A$114&gt;35,BY58+BX59-CG58,IF(A59&lt;'Données projet'!$A$114,$BV$205^A59,IF(A59='Données projet'!$A$114,'Données projet'!$B$114,BY58+BX59-CG58)))</f>
        <v>203.80000000000013</v>
      </c>
      <c r="BZ59" s="13">
        <f>BY59*VLOOKUP('Données projet'!$B$12,Paramètres!$A$1:$I$89,3,0)*VLOOKUP('Données projet'!$B$12,Paramètres!$A$1:$I$89,5,0)</f>
        <v>232.08744000000013</v>
      </c>
      <c r="CA59" s="13">
        <f t="shared" si="39"/>
        <v>56.733797254131133</v>
      </c>
      <c r="CB59" s="20">
        <f t="shared" si="10"/>
        <v>503.03032155094519</v>
      </c>
      <c r="CC59" s="59">
        <f t="shared" si="11"/>
        <v>796.3636548842785</v>
      </c>
      <c r="CD59" s="59">
        <f ca="1">AVERAGE(OFFSET($CC$3,0,0,'Données projet'!$E$12+1,1))-AVERAGE(OFFSET($H$3,0,0,'Données projet'!$E$12+1,1))</f>
        <v>327.06866218660838</v>
      </c>
      <c r="CE59" s="59">
        <f t="shared" si="40"/>
        <v>202.18198935334908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1.9011504092889289</v>
      </c>
      <c r="CM59" s="21">
        <f>EXP(-LN(2)/2)*CM58+(1-EXP(-LN(2)/2))/(LN(2)/2)*CG59*CJ59*VLOOKUP('Données projet'!$B$12,Paramètres!$A$1:$I$89,3,0)*0.475*44/12</f>
        <v>9.509327716133401E-4</v>
      </c>
      <c r="CN59" s="22">
        <f t="shared" si="12"/>
        <v>1.9021013420605422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282.7999999999999</v>
      </c>
      <c r="CU59" s="17">
        <f>CT59*VLOOKUP('Données projet'!$B$13,Paramètres!$A$1:$I$89,3,0)*VLOOKUP('Données projet'!$B$13,Paramètres!$A$1:$I$89,5,0)</f>
        <v>229.40735999999993</v>
      </c>
      <c r="CV59" s="13">
        <f t="shared" si="41"/>
        <v>56.15451967202349</v>
      </c>
      <c r="CW59" s="20">
        <f t="shared" si="13"/>
        <v>497.35360709544074</v>
      </c>
      <c r="CX59" s="59">
        <f t="shared" si="14"/>
        <v>790.68694042877405</v>
      </c>
      <c r="CY59" s="59">
        <f ca="1">AVERAGE(OFFSET($CX$3,0,0,'Données projet'!$E$13+1,1))-AVERAGE(OFFSET($H$3,0,0,'Données projet'!$E$13+1,1))</f>
        <v>266.72672633301022</v>
      </c>
      <c r="CZ59" s="59">
        <f t="shared" si="42"/>
        <v>314.26991662544219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1.6129439114325781</v>
      </c>
      <c r="DG59" s="21">
        <f>EXP(-LN(2)/25)*DG58+(1-EXP(-LN(2)/25))/(LN(2)/25)*Calculateur!DB59*Calculateur!DD59*VLOOKUP('Données projet'!$B$13,Paramètres!$A$1:$I$89,3,0)*0.475*44/12</f>
        <v>8.2551221961135859</v>
      </c>
      <c r="DH59" s="21">
        <f>EXP(-LN(2)/2)*DH58+(1-EXP(-LN(2)/2))/(LN(2)/2)*DB59*DE59*VLOOKUP('Données projet'!$B$13,Paramètres!$A$1:$I$89,3,0)*0.475*44/12</f>
        <v>2.9919907062446855E-3</v>
      </c>
      <c r="DI59" s="22">
        <f t="shared" si="15"/>
        <v>9.8710580982524085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</v>
      </c>
      <c r="DO59" s="12">
        <f>IF('Données projet'!$A$166&gt;35,DO58+DN59-DW58,IF(A59&lt;'Données projet'!$A$166,$DL$205^A59,IF(A59='Données projet'!$A$166,'Données projet'!$B$166,DO58+DN59-DW58)))</f>
        <v>339.99999999999983</v>
      </c>
      <c r="DP59" s="17">
        <f>DO59*VLOOKUP('Données projet'!$B$14,Paramètres!$A$1:$I$89,3,0)*VLOOKUP('Données projet'!$B$14,Paramètres!$A$1:$I$89,5,0)</f>
        <v>365.97599999999977</v>
      </c>
      <c r="DQ59" s="13">
        <f t="shared" si="43"/>
        <v>84.843541364532513</v>
      </c>
      <c r="DR59" s="20">
        <f t="shared" si="16"/>
        <v>785.17736787656031</v>
      </c>
      <c r="DS59" s="59">
        <f t="shared" si="17"/>
        <v>1078.5107012098936</v>
      </c>
      <c r="DT59" s="59">
        <f ca="1">AVERAGE(OFFSET($DS$3,0,0,'Données projet'!$E$14+1,1))-AVERAGE(OFFSET($H$3,0,0,'Données projet'!$E$14+1,1))</f>
        <v>442.54137223086991</v>
      </c>
      <c r="DU59" s="59">
        <f t="shared" si="44"/>
        <v>454.23406186660714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1.1924263916662274</v>
      </c>
      <c r="EB59" s="21">
        <f>EXP(-LN(2)/25)*EB58+(1-EXP(-LN(2)/25))/(LN(2)/25)*Calculateur!DW59*Calculateur!DY59*VLOOKUP('Données projet'!$B$14,Paramètres!$A$1:$I$89,3,0)*0.475*44/12</f>
        <v>5.617859031224393</v>
      </c>
      <c r="EC59" s="21">
        <f>EXP(-LN(2)/2)*EC58+(1-EXP(-LN(2)/2))/(LN(2)/2)*DW59*DZ59*VLOOKUP('Données projet'!$B$14,Paramètres!$A$1:$I$89,3,0)*0.475*44/12</f>
        <v>2.2019321097959624E-3</v>
      </c>
      <c r="ED59" s="22">
        <f t="shared" si="18"/>
        <v>6.8124873550004166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201.49055911472067</v>
      </c>
      <c r="T60" s="59">
        <f t="shared" si="34"/>
        <v>403.37692064114719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43.662922078331668</v>
      </c>
      <c r="AA60" s="21">
        <f>EXP(-LN(2)/25)*AA59+(1-EXP(-LN(2)/25))/(LN(2)/25)*Calculateur!V60*Calculateur!X60*VLOOKUP('Données projet'!$B$9,Paramètres!$A$1:$I$89,3,0)*0.475*44/12</f>
        <v>31.95067676090315</v>
      </c>
      <c r="AB60" s="21">
        <f>EXP(-LN(2)/2)*AB59+(1-EXP(-LN(2)/2))/(LN(2)/2)*V60*Y60*VLOOKUP('Données projet'!$B$9,Paramètres!$A$1:$I$89,3,0)*0.475*44/12</f>
        <v>4.4292414631034407E-2</v>
      </c>
      <c r="AC60" s="22">
        <f t="shared" si="3"/>
        <v>75.657891253865841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39.000000000000057</v>
      </c>
      <c r="AJ60" s="13">
        <f>AI60*VLOOKUP('Données projet'!$B$10,Paramètres!$A$1:$I$89,3,0)*VLOOKUP('Données projet'!$B$10,Paramètres!$A$1:$I$89,5,0)</f>
        <v>34.070400000000056</v>
      </c>
      <c r="AK60" s="13">
        <f t="shared" si="35"/>
        <v>10.412633617059328</v>
      </c>
      <c r="AL60" s="20">
        <f t="shared" si="4"/>
        <v>77.474616883045101</v>
      </c>
      <c r="AM60" s="59">
        <f t="shared" si="5"/>
        <v>370.8079502163784</v>
      </c>
      <c r="AN60" s="59">
        <f ca="1">AVERAGE(OFFSET($AM$3,0,0,'Données projet'!$E$10+1,1))-AVERAGE(OFFSET($H$3,0,0,'Données projet'!$E$10+1,1))</f>
        <v>260.53994021583316</v>
      </c>
      <c r="AO60" s="59">
        <f t="shared" si="36"/>
        <v>669.20238852709122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2.5582666220216155E-2</v>
      </c>
      <c r="AX60" s="21">
        <f t="shared" si="6"/>
        <v>2.5582666220216155E-2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211.60000000000014</v>
      </c>
      <c r="BE60" s="13">
        <f>BD60*VLOOKUP('Données projet'!$B$11,Paramètres!$A$1:$I$89,3,0)*VLOOKUP('Données projet'!$B$11,Paramètres!$A$1:$I$89,5,0)</f>
        <v>214.56240000000017</v>
      </c>
      <c r="BF60" s="13">
        <f t="shared" si="37"/>
        <v>52.931334320900255</v>
      </c>
      <c r="BG60" s="20">
        <f t="shared" si="7"/>
        <v>465.88492060890161</v>
      </c>
      <c r="BH60" s="59">
        <f t="shared" si="8"/>
        <v>759.21825394223492</v>
      </c>
      <c r="BI60" s="59">
        <f ca="1">AVERAGE(OFFSET($BH$3,0,0,'Données projet'!$E$11+1,1))-AVERAGE(OFFSET($H$3,0,0,'Données projet'!$E$11+1,1))</f>
        <v>279.20364724206644</v>
      </c>
      <c r="BJ60" s="59">
        <f t="shared" si="38"/>
        <v>173.99850582760712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1.6465153128634926</v>
      </c>
      <c r="BR60" s="21">
        <f>EXP(-LN(2)/2)*BR59+(1-EXP(-LN(2)/2))/(LN(2)/2)*BL60*BO60*VLOOKUP('Données projet'!$B$11,Paramètres!$A$1:$I$89,3,0)*0.475*44/12</f>
        <v>5.9872213331397465E-4</v>
      </c>
      <c r="BS60" s="22">
        <f t="shared" si="9"/>
        <v>1.6471140349968065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7.8</v>
      </c>
      <c r="BY60" s="12">
        <f>IF('Données projet'!$A$114&gt;35,BY59+BX60-CG59,IF(A60&lt;'Données projet'!$A$114,$BV$205^A60,IF(A60='Données projet'!$A$114,'Données projet'!$B$114,BY59+BX60-CG59)))</f>
        <v>211.60000000000014</v>
      </c>
      <c r="BZ60" s="13">
        <f>BY60*VLOOKUP('Données projet'!$B$12,Paramètres!$A$1:$I$89,3,0)*VLOOKUP('Données projet'!$B$12,Paramètres!$A$1:$I$89,5,0)</f>
        <v>240.97008000000017</v>
      </c>
      <c r="CA60" s="13">
        <f t="shared" si="39"/>
        <v>58.648198893942421</v>
      </c>
      <c r="CB60" s="20">
        <f t="shared" si="10"/>
        <v>521.83516907361673</v>
      </c>
      <c r="CC60" s="59">
        <f t="shared" si="11"/>
        <v>815.16850240694998</v>
      </c>
      <c r="CD60" s="59">
        <f ca="1">AVERAGE(OFFSET($CC$3,0,0,'Données projet'!$E$12+1,1))-AVERAGE(OFFSET($H$3,0,0,'Données projet'!$E$12+1,1))</f>
        <v>327.06866218660838</v>
      </c>
      <c r="CE60" s="59">
        <f t="shared" si="40"/>
        <v>202.18198935334908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1.8491633513697683</v>
      </c>
      <c r="CM60" s="21">
        <f>EXP(-LN(2)/2)*CM59+(1-EXP(-LN(2)/2))/(LN(2)/2)*CG60*CJ60*VLOOKUP('Données projet'!$B$12,Paramètres!$A$1:$I$89,3,0)*0.475*44/12</f>
        <v>6.724110112603113E-4</v>
      </c>
      <c r="CN60" s="22">
        <f t="shared" si="12"/>
        <v>1.8498357623810286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289.59999999999991</v>
      </c>
      <c r="CU60" s="17">
        <f>CT60*VLOOKUP('Données projet'!$B$13,Paramètres!$A$1:$I$89,3,0)*VLOOKUP('Données projet'!$B$13,Paramètres!$A$1:$I$89,5,0)</f>
        <v>234.92351999999994</v>
      </c>
      <c r="CV60" s="13">
        <f t="shared" si="41"/>
        <v>57.345945791866185</v>
      </c>
      <c r="CW60" s="20">
        <f t="shared" si="13"/>
        <v>509.0359862541668</v>
      </c>
      <c r="CX60" s="59">
        <f t="shared" si="14"/>
        <v>802.36931958750006</v>
      </c>
      <c r="CY60" s="59">
        <f ca="1">AVERAGE(OFFSET($CX$3,0,0,'Données projet'!$E$13+1,1))-AVERAGE(OFFSET($H$3,0,0,'Données projet'!$E$13+1,1))</f>
        <v>266.72672633301022</v>
      </c>
      <c r="CZ60" s="59">
        <f t="shared" si="42"/>
        <v>314.26991662544219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1.5813150651280292</v>
      </c>
      <c r="DG60" s="21">
        <f>EXP(-LN(2)/25)*DG59+(1-EXP(-LN(2)/25))/(LN(2)/25)*Calculateur!DB60*Calculateur!DD60*VLOOKUP('Données projet'!$B$13,Paramètres!$A$1:$I$89,3,0)*0.475*44/12</f>
        <v>8.0293854455428502</v>
      </c>
      <c r="DH60" s="21">
        <f>EXP(-LN(2)/2)*DH59+(1-EXP(-LN(2)/2))/(LN(2)/2)*DB60*DE60*VLOOKUP('Données projet'!$B$13,Paramètres!$A$1:$I$89,3,0)*0.475*44/12</f>
        <v>2.1156569176327446E-3</v>
      </c>
      <c r="DI60" s="22">
        <f t="shared" si="15"/>
        <v>9.6128161675885124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</v>
      </c>
      <c r="DO60" s="12">
        <f>IF('Données projet'!$A$166&gt;35,DO59+DN60-DW59,IF(A60&lt;'Données projet'!$A$166,$DL$205^A60,IF(A60='Données projet'!$A$166,'Données projet'!$B$166,DO59+DN60-DW59)))</f>
        <v>349.99999999999983</v>
      </c>
      <c r="DP60" s="17">
        <f>DO60*VLOOKUP('Données projet'!$B$14,Paramètres!$A$1:$I$89,3,0)*VLOOKUP('Données projet'!$B$14,Paramètres!$A$1:$I$89,5,0)</f>
        <v>376.73999999999978</v>
      </c>
      <c r="DQ60" s="13">
        <f t="shared" si="43"/>
        <v>87.044741631723767</v>
      </c>
      <c r="DR60" s="20">
        <f t="shared" si="16"/>
        <v>807.75842500858505</v>
      </c>
      <c r="DS60" s="59">
        <f t="shared" si="17"/>
        <v>1101.0917583419184</v>
      </c>
      <c r="DT60" s="59">
        <f ca="1">AVERAGE(OFFSET($DS$3,0,0,'Données projet'!$E$14+1,1))-AVERAGE(OFFSET($H$3,0,0,'Données projet'!$E$14+1,1))</f>
        <v>442.54137223086991</v>
      </c>
      <c r="DU60" s="59">
        <f t="shared" si="44"/>
        <v>454.23406186660714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1.1690436374339359</v>
      </c>
      <c r="EB60" s="21">
        <f>EXP(-LN(2)/25)*EB59+(1-EXP(-LN(2)/25))/(LN(2)/25)*Calculateur!DW60*Calculateur!DY60*VLOOKUP('Données projet'!$B$14,Paramètres!$A$1:$I$89,3,0)*0.475*44/12</f>
        <v>5.4642383805851953</v>
      </c>
      <c r="EC60" s="21">
        <f>EXP(-LN(2)/2)*EC59+(1-EXP(-LN(2)/2))/(LN(2)/2)*DW60*DZ60*VLOOKUP('Données projet'!$B$14,Paramètres!$A$1:$I$89,3,0)*0.475*44/12</f>
        <v>1.5570011265491266E-3</v>
      </c>
      <c r="ED60" s="22">
        <f t="shared" si="18"/>
        <v>6.634839019145681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201.49055911472067</v>
      </c>
      <c r="T61" s="59">
        <f t="shared" si="34"/>
        <v>403.37692064114719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42.806718808128387</v>
      </c>
      <c r="AA61" s="21">
        <f>EXP(-LN(2)/25)*AA60+(1-EXP(-LN(2)/25))/(LN(2)/25)*Calculateur!V61*Calculateur!X61*VLOOKUP('Données projet'!$B$9,Paramètres!$A$1:$I$89,3,0)*0.475*44/12</f>
        <v>31.076983824663188</v>
      </c>
      <c r="AB61" s="21">
        <f>EXP(-LN(2)/2)*AB60+(1-EXP(-LN(2)/2))/(LN(2)/2)*V61*Y61*VLOOKUP('Données projet'!$B$9,Paramètres!$A$1:$I$89,3,0)*0.475*44/12</f>
        <v>3.1319466740730682E-2</v>
      </c>
      <c r="AC61" s="22">
        <f t="shared" si="3"/>
        <v>73.915022099532294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39.000000000000057</v>
      </c>
      <c r="AJ61" s="13">
        <f>AI61*VLOOKUP('Données projet'!$B$10,Paramètres!$A$1:$I$89,3,0)*VLOOKUP('Données projet'!$B$10,Paramètres!$A$1:$I$89,5,0)</f>
        <v>34.070400000000056</v>
      </c>
      <c r="AK61" s="13">
        <f t="shared" si="35"/>
        <v>10.412633617059328</v>
      </c>
      <c r="AL61" s="20">
        <f t="shared" si="4"/>
        <v>77.474616883045101</v>
      </c>
      <c r="AM61" s="59">
        <f t="shared" si="5"/>
        <v>370.8079502163784</v>
      </c>
      <c r="AN61" s="59">
        <f ca="1">AVERAGE(OFFSET($AM$3,0,0,'Données projet'!$E$10+1,1))-AVERAGE(OFFSET($H$3,0,0,'Données projet'!$E$10+1,1))</f>
        <v>260.53994021583316</v>
      </c>
      <c r="AO61" s="59">
        <f t="shared" si="36"/>
        <v>669.20238852709122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1.8089676765146865E-2</v>
      </c>
      <c r="AX61" s="21">
        <f t="shared" si="6"/>
        <v>1.8089676765146865E-2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219.40000000000015</v>
      </c>
      <c r="BE61" s="13">
        <f>BD61*VLOOKUP('Données projet'!$B$11,Paramètres!$A$1:$I$89,3,0)*VLOOKUP('Données projet'!$B$11,Paramètres!$A$1:$I$89,5,0)</f>
        <v>222.47160000000017</v>
      </c>
      <c r="BF61" s="13">
        <f t="shared" si="37"/>
        <v>54.651725986680781</v>
      </c>
      <c r="BG61" s="20">
        <f t="shared" si="7"/>
        <v>482.65645942680254</v>
      </c>
      <c r="BH61" s="59">
        <f t="shared" si="8"/>
        <v>775.98979276013586</v>
      </c>
      <c r="BI61" s="59">
        <f ca="1">AVERAGE(OFFSET($BH$3,0,0,'Données projet'!$E$11+1,1))-AVERAGE(OFFSET($H$3,0,0,'Données projet'!$E$11+1,1))</f>
        <v>279.20364724206644</v>
      </c>
      <c r="BJ61" s="59">
        <f t="shared" si="38"/>
        <v>173.99850582760712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1.6014912650467632</v>
      </c>
      <c r="BR61" s="21">
        <f>EXP(-LN(2)/2)*BR60+(1-EXP(-LN(2)/2))/(LN(2)/2)*BL61*BO61*VLOOKUP('Données projet'!$B$11,Paramètres!$A$1:$I$89,3,0)*0.475*44/12</f>
        <v>4.2336048051278761E-4</v>
      </c>
      <c r="BS61" s="22">
        <f t="shared" si="9"/>
        <v>1.601914625527276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7.8</v>
      </c>
      <c r="BY61" s="12">
        <f>IF('Données projet'!$A$114&gt;35,BY60+BX61-CG60,IF(A61&lt;'Données projet'!$A$114,$BV$205^A61,IF(A61='Données projet'!$A$114,'Données projet'!$B$114,BY60+BX61-CG60)))</f>
        <v>219.40000000000015</v>
      </c>
      <c r="BZ61" s="13">
        <f>BY61*VLOOKUP('Données projet'!$B$12,Paramètres!$A$1:$I$89,3,0)*VLOOKUP('Données projet'!$B$12,Paramètres!$A$1:$I$89,5,0)</f>
        <v>249.85272000000015</v>
      </c>
      <c r="CA61" s="13">
        <f t="shared" si="39"/>
        <v>60.554401975438026</v>
      </c>
      <c r="CB61" s="20">
        <f t="shared" si="10"/>
        <v>540.62573744055476</v>
      </c>
      <c r="CC61" s="59">
        <f t="shared" si="11"/>
        <v>833.95907077388802</v>
      </c>
      <c r="CD61" s="59">
        <f ca="1">AVERAGE(OFFSET($CC$3,0,0,'Données projet'!$E$12+1,1))-AVERAGE(OFFSET($H$3,0,0,'Données projet'!$E$12+1,1))</f>
        <v>327.06866218660838</v>
      </c>
      <c r="CE61" s="59">
        <f t="shared" si="40"/>
        <v>202.18198935334908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1.7985978822832875</v>
      </c>
      <c r="CM61" s="21">
        <f>EXP(-LN(2)/2)*CM60+(1-EXP(-LN(2)/2))/(LN(2)/2)*CG61*CJ61*VLOOKUP('Données projet'!$B$12,Paramètres!$A$1:$I$89,3,0)*0.475*44/12</f>
        <v>4.754663858066701E-4</v>
      </c>
      <c r="CN61" s="22">
        <f t="shared" si="12"/>
        <v>1.7990733486690942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296.39999999999992</v>
      </c>
      <c r="CU61" s="17">
        <f>CT61*VLOOKUP('Données projet'!$B$13,Paramètres!$A$1:$I$89,3,0)*VLOOKUP('Données projet'!$B$13,Paramètres!$A$1:$I$89,5,0)</f>
        <v>240.43967999999995</v>
      </c>
      <c r="CV61" s="13">
        <f t="shared" si="41"/>
        <v>58.534119696534113</v>
      </c>
      <c r="CW61" s="20">
        <f t="shared" si="13"/>
        <v>520.71270113813011</v>
      </c>
      <c r="CX61" s="59">
        <f t="shared" si="14"/>
        <v>814.04603447146337</v>
      </c>
      <c r="CY61" s="59">
        <f ca="1">AVERAGE(OFFSET($CX$3,0,0,'Données projet'!$E$13+1,1))-AVERAGE(OFFSET($H$3,0,0,'Données projet'!$E$13+1,1))</f>
        <v>266.72672633301022</v>
      </c>
      <c r="CZ61" s="59">
        <f t="shared" si="42"/>
        <v>314.26991662544219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1.5503064412078211</v>
      </c>
      <c r="DG61" s="21">
        <f>EXP(-LN(2)/25)*DG60+(1-EXP(-LN(2)/25))/(LN(2)/25)*Calculateur!DB61*Calculateur!DD61*VLOOKUP('Données projet'!$B$13,Paramètres!$A$1:$I$89,3,0)*0.475*44/12</f>
        <v>7.8098214782874518</v>
      </c>
      <c r="DH61" s="21">
        <f>EXP(-LN(2)/2)*DH60+(1-EXP(-LN(2)/2))/(LN(2)/2)*DB61*DE61*VLOOKUP('Données projet'!$B$13,Paramètres!$A$1:$I$89,3,0)*0.475*44/12</f>
        <v>1.4959953531223427E-3</v>
      </c>
      <c r="DI61" s="22">
        <f t="shared" si="15"/>
        <v>9.361623914848396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10</v>
      </c>
      <c r="DO61" s="12">
        <f>IF('Données projet'!$A$166&gt;35,DO60+DN61-DW60,IF(A61&lt;'Données projet'!$A$166,$DL$205^A61,IF(A61='Données projet'!$A$166,'Données projet'!$B$166,DO60+DN61-DW60)))</f>
        <v>359.99999999999983</v>
      </c>
      <c r="DP61" s="17">
        <f>DO61*VLOOKUP('Données projet'!$B$14,Paramètres!$A$1:$I$89,3,0)*VLOOKUP('Données projet'!$B$14,Paramètres!$A$1:$I$89,5,0)</f>
        <v>387.50399999999979</v>
      </c>
      <c r="DQ61" s="13">
        <f t="shared" si="43"/>
        <v>89.238632444486413</v>
      </c>
      <c r="DR61" s="20">
        <f t="shared" si="16"/>
        <v>830.32675150748025</v>
      </c>
      <c r="DS61" s="59">
        <f t="shared" si="17"/>
        <v>1123.6600848408136</v>
      </c>
      <c r="DT61" s="59">
        <f ca="1">AVERAGE(OFFSET($DS$3,0,0,'Données projet'!$E$14+1,1))-AVERAGE(OFFSET($H$3,0,0,'Données projet'!$E$14+1,1))</f>
        <v>442.54137223086991</v>
      </c>
      <c r="DU61" s="59">
        <f t="shared" si="44"/>
        <v>454.23406186660714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1.1461194047500678</v>
      </c>
      <c r="EB61" s="21">
        <f>EXP(-LN(2)/25)*EB60+(1-EXP(-LN(2)/25))/(LN(2)/25)*Calculateur!DW61*Calculateur!DY61*VLOOKUP('Données projet'!$B$14,Paramètres!$A$1:$I$89,3,0)*0.475*44/12</f>
        <v>5.3148184947162855</v>
      </c>
      <c r="EC61" s="21">
        <f>EXP(-LN(2)/2)*EC60+(1-EXP(-LN(2)/2))/(LN(2)/2)*DW61*DZ61*VLOOKUP('Données projet'!$B$14,Paramètres!$A$1:$I$89,3,0)*0.475*44/12</f>
        <v>1.1009660548979812E-3</v>
      </c>
      <c r="ED61" s="22">
        <f t="shared" si="18"/>
        <v>6.4620388655212517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201.49055911472067</v>
      </c>
      <c r="T62" s="59">
        <f t="shared" si="34"/>
        <v>403.37692064114719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41.967305161821365</v>
      </c>
      <c r="AA62" s="21">
        <f>EXP(-LN(2)/25)*AA61+(1-EXP(-LN(2)/25))/(LN(2)/25)*Calculateur!V62*Calculateur!X62*VLOOKUP('Données projet'!$B$9,Paramètres!$A$1:$I$89,3,0)*0.475*44/12</f>
        <v>30.227182067710221</v>
      </c>
      <c r="AB62" s="21">
        <f>EXP(-LN(2)/2)*AB61+(1-EXP(-LN(2)/2))/(LN(2)/2)*V62*Y62*VLOOKUP('Données projet'!$B$9,Paramètres!$A$1:$I$89,3,0)*0.475*44/12</f>
        <v>2.2146207315517204E-2</v>
      </c>
      <c r="AC62" s="22">
        <f t="shared" si="3"/>
        <v>72.216633436847104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39.000000000000057</v>
      </c>
      <c r="AJ62" s="13">
        <f>AI62*VLOOKUP('Données projet'!$B$10,Paramètres!$A$1:$I$89,3,0)*VLOOKUP('Données projet'!$B$10,Paramètres!$A$1:$I$89,5,0)</f>
        <v>34.070400000000056</v>
      </c>
      <c r="AK62" s="13">
        <f t="shared" si="35"/>
        <v>10.412633617059328</v>
      </c>
      <c r="AL62" s="20">
        <f t="shared" si="4"/>
        <v>77.474616883045101</v>
      </c>
      <c r="AM62" s="59">
        <f t="shared" si="5"/>
        <v>370.8079502163784</v>
      </c>
      <c r="AN62" s="59">
        <f ca="1">AVERAGE(OFFSET($AM$3,0,0,'Données projet'!$E$10+1,1))-AVERAGE(OFFSET($H$3,0,0,'Données projet'!$E$10+1,1))</f>
        <v>260.53994021583316</v>
      </c>
      <c r="AO62" s="59">
        <f t="shared" si="36"/>
        <v>669.20238852709122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1.2791333110108077E-2</v>
      </c>
      <c r="AX62" s="21">
        <f t="shared" si="6"/>
        <v>1.2791333110108077E-2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227.20000000000016</v>
      </c>
      <c r="BE62" s="13">
        <f>BD62*VLOOKUP('Données projet'!$B$11,Paramètres!$A$1:$I$89,3,0)*VLOOKUP('Données projet'!$B$11,Paramètres!$A$1:$I$89,5,0)</f>
        <v>230.38080000000019</v>
      </c>
      <c r="BF62" s="13">
        <f t="shared" si="37"/>
        <v>56.365011465140029</v>
      </c>
      <c r="BG62" s="20">
        <f t="shared" si="7"/>
        <v>499.41562163511918</v>
      </c>
      <c r="BH62" s="59">
        <f t="shared" si="8"/>
        <v>792.74895496845249</v>
      </c>
      <c r="BI62" s="59">
        <f ca="1">AVERAGE(OFFSET($BH$3,0,0,'Données projet'!$E$11+1,1))-AVERAGE(OFFSET($H$3,0,0,'Données projet'!$E$11+1,1))</f>
        <v>279.20364724206644</v>
      </c>
      <c r="BJ62" s="59">
        <f t="shared" si="38"/>
        <v>173.99850582760712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1.557698402185294</v>
      </c>
      <c r="BR62" s="21">
        <f>EXP(-LN(2)/2)*BR61+(1-EXP(-LN(2)/2))/(LN(2)/2)*BL62*BO62*VLOOKUP('Données projet'!$B$11,Paramètres!$A$1:$I$89,3,0)*0.475*44/12</f>
        <v>2.9936106665698733E-4</v>
      </c>
      <c r="BS62" s="22">
        <f t="shared" si="9"/>
        <v>1.5579977632519511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7.8</v>
      </c>
      <c r="BY62" s="12">
        <f>IF('Données projet'!$A$114&gt;35,BY61+BX62-CG61,IF(A62&lt;'Données projet'!$A$114,$BV$205^A62,IF(A62='Données projet'!$A$114,'Données projet'!$B$114,BY61+BX62-CG61)))</f>
        <v>227.20000000000016</v>
      </c>
      <c r="BZ62" s="13">
        <f>BY62*VLOOKUP('Données projet'!$B$12,Paramètres!$A$1:$I$89,3,0)*VLOOKUP('Données projet'!$B$12,Paramètres!$A$1:$I$89,5,0)</f>
        <v>258.73536000000018</v>
      </c>
      <c r="CA62" s="13">
        <f t="shared" si="39"/>
        <v>62.452731363728333</v>
      </c>
      <c r="CB62" s="20">
        <f t="shared" si="10"/>
        <v>559.40259245849381</v>
      </c>
      <c r="CC62" s="59">
        <f t="shared" si="11"/>
        <v>852.73592579182719</v>
      </c>
      <c r="CD62" s="59">
        <f ca="1">AVERAGE(OFFSET($CC$3,0,0,'Données projet'!$E$12+1,1))-AVERAGE(OFFSET($H$3,0,0,'Données projet'!$E$12+1,1))</f>
        <v>327.06866218660838</v>
      </c>
      <c r="CE62" s="59">
        <f t="shared" si="40"/>
        <v>202.18198935334908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1.7494151286080992</v>
      </c>
      <c r="CM62" s="21">
        <f>EXP(-LN(2)/2)*CM61+(1-EXP(-LN(2)/2))/(LN(2)/2)*CG62*CJ62*VLOOKUP('Données projet'!$B$12,Paramètres!$A$1:$I$89,3,0)*0.475*44/12</f>
        <v>3.362055056301557E-4</v>
      </c>
      <c r="CN62" s="22">
        <f t="shared" si="12"/>
        <v>1.7497513341137294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303.19999999999993</v>
      </c>
      <c r="CU62" s="17">
        <f>CT62*VLOOKUP('Données projet'!$B$13,Paramètres!$A$1:$I$89,3,0)*VLOOKUP('Données projet'!$B$13,Paramètres!$A$1:$I$89,5,0)</f>
        <v>245.95583999999994</v>
      </c>
      <c r="CV62" s="13">
        <f t="shared" si="41"/>
        <v>59.719124586743611</v>
      </c>
      <c r="CW62" s="20">
        <f t="shared" si="13"/>
        <v>532.38389665524505</v>
      </c>
      <c r="CX62" s="59">
        <f t="shared" si="14"/>
        <v>825.71722998857831</v>
      </c>
      <c r="CY62" s="59">
        <f ca="1">AVERAGE(OFFSET($CX$3,0,0,'Données projet'!$E$13+1,1))-AVERAGE(OFFSET($H$3,0,0,'Données projet'!$E$13+1,1))</f>
        <v>266.72672633301022</v>
      </c>
      <c r="CZ62" s="59">
        <f t="shared" si="42"/>
        <v>314.26991662544219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1.5199058774892953</v>
      </c>
      <c r="DG62" s="21">
        <f>EXP(-LN(2)/25)*DG61+(1-EXP(-LN(2)/25))/(LN(2)/25)*Calculateur!DB62*Calculateur!DD62*VLOOKUP('Données projet'!$B$13,Paramètres!$A$1:$I$89,3,0)*0.475*44/12</f>
        <v>7.5962614992630195</v>
      </c>
      <c r="DH62" s="21">
        <f>EXP(-LN(2)/2)*DH61+(1-EXP(-LN(2)/2))/(LN(2)/2)*DB62*DE62*VLOOKUP('Données projet'!$B$13,Paramètres!$A$1:$I$89,3,0)*0.475*44/12</f>
        <v>1.0578284588163723E-3</v>
      </c>
      <c r="DI62" s="22">
        <f t="shared" si="15"/>
        <v>9.1172252052111311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</v>
      </c>
      <c r="DO62" s="12">
        <f>IF('Données projet'!$A$166&gt;35,DO61+DN62-DW61,IF(A62&lt;'Données projet'!$A$166,$DL$205^A62,IF(A62='Données projet'!$A$166,'Données projet'!$B$166,DO61+DN62-DW61)))</f>
        <v>369.99999999999983</v>
      </c>
      <c r="DP62" s="17">
        <f>DO62*VLOOKUP('Données projet'!$B$14,Paramètres!$A$1:$I$89,3,0)*VLOOKUP('Données projet'!$B$14,Paramètres!$A$1:$I$89,5,0)</f>
        <v>398.2679999999998</v>
      </c>
      <c r="DQ62" s="13">
        <f t="shared" si="43"/>
        <v>91.425440170032061</v>
      </c>
      <c r="DR62" s="20">
        <f t="shared" si="16"/>
        <v>852.88274162947209</v>
      </c>
      <c r="DS62" s="59">
        <f t="shared" si="17"/>
        <v>1146.2160749628054</v>
      </c>
      <c r="DT62" s="59">
        <f ca="1">AVERAGE(OFFSET($DS$3,0,0,'Données projet'!$E$14+1,1))-AVERAGE(OFFSET($H$3,0,0,'Données projet'!$E$14+1,1))</f>
        <v>442.54137223086991</v>
      </c>
      <c r="DU62" s="59">
        <f t="shared" si="44"/>
        <v>454.23406186660714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1.1236447022867291</v>
      </c>
      <c r="EB62" s="21">
        <f>EXP(-LN(2)/25)*EB61+(1-EXP(-LN(2)/25))/(LN(2)/25)*Calculateur!DW62*Calculateur!DY62*VLOOKUP('Données projet'!$B$14,Paramètres!$A$1:$I$89,3,0)*0.475*44/12</f>
        <v>5.169484503484111</v>
      </c>
      <c r="EC62" s="21">
        <f>EXP(-LN(2)/2)*EC61+(1-EXP(-LN(2)/2))/(LN(2)/2)*DW62*DZ62*VLOOKUP('Données projet'!$B$14,Paramètres!$A$1:$I$89,3,0)*0.475*44/12</f>
        <v>7.7850056327456328E-4</v>
      </c>
      <c r="ED62" s="22">
        <f t="shared" si="18"/>
        <v>6.2939077063341147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201.49055911472067</v>
      </c>
      <c r="T63" s="59">
        <f t="shared" si="34"/>
        <v>403.37692064114719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41.144351905126648</v>
      </c>
      <c r="AA63" s="21">
        <f>EXP(-LN(2)/25)*AA62+(1-EXP(-LN(2)/25))/(LN(2)/25)*Calculateur!V63*Calculateur!X63*VLOOKUP('Données projet'!$B$9,Paramètres!$A$1:$I$89,3,0)*0.475*44/12</f>
        <v>29.400618184490266</v>
      </c>
      <c r="AB63" s="21">
        <f>EXP(-LN(2)/2)*AB62+(1-EXP(-LN(2)/2))/(LN(2)/2)*V63*Y63*VLOOKUP('Données projet'!$B$9,Paramètres!$A$1:$I$89,3,0)*0.475*44/12</f>
        <v>1.5659733370365341E-2</v>
      </c>
      <c r="AC63" s="22">
        <f t="shared" si="3"/>
        <v>70.560629822987281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39.000000000000057</v>
      </c>
      <c r="AJ63" s="13">
        <f>AI63*VLOOKUP('Données projet'!$B$10,Paramètres!$A$1:$I$89,3,0)*VLOOKUP('Données projet'!$B$10,Paramètres!$A$1:$I$89,5,0)</f>
        <v>34.070400000000056</v>
      </c>
      <c r="AK63" s="13">
        <f t="shared" si="35"/>
        <v>10.412633617059328</v>
      </c>
      <c r="AL63" s="20">
        <f t="shared" si="4"/>
        <v>77.474616883045101</v>
      </c>
      <c r="AM63" s="59">
        <f t="shared" si="5"/>
        <v>370.8079502163784</v>
      </c>
      <c r="AN63" s="59">
        <f ca="1">AVERAGE(OFFSET($AM$3,0,0,'Données projet'!$E$10+1,1))-AVERAGE(OFFSET($H$3,0,0,'Données projet'!$E$10+1,1))</f>
        <v>260.53994021583316</v>
      </c>
      <c r="AO63" s="59">
        <f t="shared" si="36"/>
        <v>669.20238852709122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9.0448383825734325E-3</v>
      </c>
      <c r="AX63" s="21">
        <f t="shared" si="6"/>
        <v>9.0448383825734325E-3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235.00000000000017</v>
      </c>
      <c r="BE63" s="13">
        <f>BD63*VLOOKUP('Données projet'!$B$11,Paramètres!$A$1:$I$89,3,0)*VLOOKUP('Données projet'!$B$11,Paramètres!$A$1:$I$89,5,0)</f>
        <v>238.29000000000019</v>
      </c>
      <c r="BF63" s="13">
        <f t="shared" si="37"/>
        <v>58.071462681001563</v>
      </c>
      <c r="BG63" s="20">
        <f t="shared" si="7"/>
        <v>516.16288083607799</v>
      </c>
      <c r="BH63" s="59">
        <f t="shared" si="8"/>
        <v>809.49621416941136</v>
      </c>
      <c r="BI63" s="59">
        <f ca="1">AVERAGE(OFFSET($BH$3,0,0,'Données projet'!$E$11+1,1))-AVERAGE(OFFSET($H$3,0,0,'Données projet'!$E$11+1,1))</f>
        <v>279.20364724206644</v>
      </c>
      <c r="BJ63" s="59">
        <f t="shared" si="38"/>
        <v>173.99850582760712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1.5151030574617383</v>
      </c>
      <c r="BR63" s="21">
        <f>EXP(-LN(2)/2)*BR62+(1-EXP(-LN(2)/2))/(LN(2)/2)*BL63*BO63*VLOOKUP('Données projet'!$B$11,Paramètres!$A$1:$I$89,3,0)*0.475*44/12</f>
        <v>2.1168024025639381E-4</v>
      </c>
      <c r="BS63" s="22">
        <f t="shared" si="9"/>
        <v>1.5153147377019947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235</v>
      </c>
      <c r="BW63" s="12">
        <f>VLOOKUP(A63,'Données projet'!$A$113:$I$133,9,0)</f>
        <v>7.8</v>
      </c>
      <c r="BX63" s="12">
        <f t="array" ref="BX63">INDEX(BW:BW,MIN(IF(ISNUMBER(BW63:BW259),ROW(BW63:BW259),"")))</f>
        <v>7.8</v>
      </c>
      <c r="BY63" s="12">
        <f>IF('Données projet'!$A$114&gt;35,BY62+BX63-CG62,IF(A63&lt;'Données projet'!$A$114,$BV$205^A63,IF(A63='Données projet'!$A$114,'Données projet'!$B$114,BY62+BX63-CG62)))</f>
        <v>235.00000000000017</v>
      </c>
      <c r="BZ63" s="13">
        <f>BY63*VLOOKUP('Données projet'!$B$12,Paramètres!$A$1:$I$89,3,0)*VLOOKUP('Données projet'!$B$12,Paramètres!$A$1:$I$89,5,0)</f>
        <v>267.61800000000022</v>
      </c>
      <c r="CA63" s="13">
        <f t="shared" si="39"/>
        <v>64.343488352847714</v>
      </c>
      <c r="CB63" s="20">
        <f t="shared" si="10"/>
        <v>578.16625888121018</v>
      </c>
      <c r="CC63" s="59">
        <f t="shared" si="11"/>
        <v>871.49959221454355</v>
      </c>
      <c r="CD63" s="59">
        <f ca="1">AVERAGE(OFFSET($CC$3,0,0,'Données projet'!$E$12+1,1))-AVERAGE(OFFSET($H$3,0,0,'Données projet'!$E$12+1,1))</f>
        <v>327.06866218660838</v>
      </c>
      <c r="CE63" s="59">
        <f t="shared" si="40"/>
        <v>202.18198935334908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1.7015772799185676</v>
      </c>
      <c r="CM63" s="21">
        <f>EXP(-LN(2)/2)*CM62+(1-EXP(-LN(2)/2))/(LN(2)/2)*CG63*CJ63*VLOOKUP('Données projet'!$B$12,Paramètres!$A$1:$I$89,3,0)*0.475*44/12</f>
        <v>2.3773319290333511E-4</v>
      </c>
      <c r="CN63" s="22">
        <f t="shared" si="12"/>
        <v>1.7018150131114709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310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309.99999999999994</v>
      </c>
      <c r="CU63" s="17">
        <f>CT63*VLOOKUP('Données projet'!$B$13,Paramètres!$A$1:$I$89,3,0)*VLOOKUP('Données projet'!$B$13,Paramètres!$A$1:$I$89,5,0)</f>
        <v>251.47199999999998</v>
      </c>
      <c r="CV63" s="13">
        <f t="shared" si="41"/>
        <v>60.901039718208651</v>
      </c>
      <c r="CW63" s="20">
        <f t="shared" si="13"/>
        <v>544.04971084254669</v>
      </c>
      <c r="CX63" s="59">
        <f t="shared" si="14"/>
        <v>837.38304417588006</v>
      </c>
      <c r="CY63" s="59">
        <f ca="1">AVERAGE(OFFSET($CX$3,0,0,'Données projet'!$E$13+1,1))-AVERAGE(OFFSET($H$3,0,0,'Données projet'!$E$13+1,1))</f>
        <v>266.72672633301022</v>
      </c>
      <c r="CZ63" s="59">
        <f t="shared" si="42"/>
        <v>314.26991662544219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30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1.4901014502827767</v>
      </c>
      <c r="DG63" s="21">
        <f>EXP(-LN(2)/25)*DG62+(1-EXP(-LN(2)/25))/(LN(2)/25)*Calculateur!DB63*Calculateur!DD63*VLOOKUP('Données projet'!$B$13,Paramètres!$A$1:$I$89,3,0)*0.475*44/12</f>
        <v>7.3885413290956414</v>
      </c>
      <c r="DH63" s="21">
        <f>EXP(-LN(2)/2)*DH62+(1-EXP(-LN(2)/2))/(LN(2)/2)*DB63*DE63*VLOOKUP('Données projet'!$B$13,Paramètres!$A$1:$I$89,3,0)*0.475*44/12</f>
        <v>7.4799767656117137E-4</v>
      </c>
      <c r="DI63" s="22">
        <f t="shared" si="15"/>
        <v>8.8793907770549794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380</v>
      </c>
      <c r="DM63" s="12">
        <f>VLOOKUP(A63,'Données projet'!$A$165:$I$185,9,0)</f>
        <v>10</v>
      </c>
      <c r="DN63" s="12">
        <f t="array" ref="DN63">INDEX(DM:DM,MIN(IF(ISNUMBER(DM63:DM259),ROW(DM63:DM259),"")))</f>
        <v>10</v>
      </c>
      <c r="DO63" s="12">
        <f>IF('Données projet'!$A$166&gt;35,DO62+DN63-DW62,IF(A63&lt;'Données projet'!$A$166,$DL$205^A63,IF(A63='Données projet'!$A$166,'Données projet'!$B$166,DO62+DN63-DW62)))</f>
        <v>379.99999999999983</v>
      </c>
      <c r="DP63" s="17">
        <f>DO63*VLOOKUP('Données projet'!$B$14,Paramètres!$A$1:$I$89,3,0)*VLOOKUP('Données projet'!$B$14,Paramètres!$A$1:$I$89,5,0)</f>
        <v>409.03199999999981</v>
      </c>
      <c r="DQ63" s="13">
        <f t="shared" si="43"/>
        <v>93.605378242957386</v>
      </c>
      <c r="DR63" s="20">
        <f t="shared" si="16"/>
        <v>875.42676710648368</v>
      </c>
      <c r="DS63" s="59">
        <f t="shared" si="17"/>
        <v>1168.7601004398171</v>
      </c>
      <c r="DT63" s="59">
        <f ca="1">AVERAGE(OFFSET($DS$3,0,0,'Données projet'!$E$14+1,1))-AVERAGE(OFFSET($H$3,0,0,'Données projet'!$E$14+1,1))</f>
        <v>442.54137223086991</v>
      </c>
      <c r="DU63" s="59">
        <f t="shared" si="44"/>
        <v>454.23406186660714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72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1.1016107150304815</v>
      </c>
      <c r="EB63" s="21">
        <f>EXP(-LN(2)/25)*EB62+(1-EXP(-LN(2)/25))/(LN(2)/25)*Calculateur!DW63*Calculateur!DY63*VLOOKUP('Données projet'!$B$14,Paramètres!$A$1:$I$89,3,0)*0.475*44/12</f>
        <v>5.0281246778849633</v>
      </c>
      <c r="EC63" s="21">
        <f>EXP(-LN(2)/2)*EC62+(1-EXP(-LN(2)/2))/(LN(2)/2)*DW63*DZ63*VLOOKUP('Données projet'!$B$14,Paramètres!$A$1:$I$89,3,0)*0.475*44/12</f>
        <v>5.5048302744899061E-4</v>
      </c>
      <c r="ED63" s="22">
        <f t="shared" si="18"/>
        <v>6.1302858759428931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201.49055911472067</v>
      </c>
      <c r="T64" s="59">
        <f t="shared" si="34"/>
        <v>403.37692064114719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40.337536259843795</v>
      </c>
      <c r="AA64" s="21">
        <f>EXP(-LN(2)/25)*AA63+(1-EXP(-LN(2)/25))/(LN(2)/25)*Calculateur!V64*Calculateur!X64*VLOOKUP('Données projet'!$B$9,Paramètres!$A$1:$I$89,3,0)*0.475*44/12</f>
        <v>28.596656734124064</v>
      </c>
      <c r="AB64" s="21">
        <f>EXP(-LN(2)/2)*AB63+(1-EXP(-LN(2)/2))/(LN(2)/2)*V64*Y64*VLOOKUP('Données projet'!$B$9,Paramètres!$A$1:$I$89,3,0)*0.475*44/12</f>
        <v>1.1073103657758602E-2</v>
      </c>
      <c r="AC64" s="22">
        <f t="shared" si="3"/>
        <v>68.94526609762562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39.000000000000057</v>
      </c>
      <c r="AJ64" s="13">
        <f>AI64*VLOOKUP('Données projet'!$B$10,Paramètres!$A$1:$I$89,3,0)*VLOOKUP('Données projet'!$B$10,Paramètres!$A$1:$I$89,5,0)</f>
        <v>34.070400000000056</v>
      </c>
      <c r="AK64" s="13">
        <f t="shared" si="35"/>
        <v>10.412633617059328</v>
      </c>
      <c r="AL64" s="20">
        <f t="shared" si="4"/>
        <v>77.474616883045101</v>
      </c>
      <c r="AM64" s="59">
        <f t="shared" si="5"/>
        <v>370.8079502163784</v>
      </c>
      <c r="AN64" s="59">
        <f ca="1">AVERAGE(OFFSET($AM$3,0,0,'Données projet'!$E$10+1,1))-AVERAGE(OFFSET($H$3,0,0,'Données projet'!$E$10+1,1))</f>
        <v>260.53994021583316</v>
      </c>
      <c r="AO64" s="59">
        <f t="shared" si="36"/>
        <v>669.20238852709122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6.3956665550540387E-3</v>
      </c>
      <c r="AX64" s="21">
        <f t="shared" si="6"/>
        <v>6.3956665550540387E-3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200.00000000000017</v>
      </c>
      <c r="BE64" s="13">
        <f>BD64*VLOOKUP('Données projet'!$B$11,Paramètres!$A$1:$I$89,3,0)*VLOOKUP('Données projet'!$B$11,Paramètres!$A$1:$I$89,5,0)</f>
        <v>202.80000000000018</v>
      </c>
      <c r="BF64" s="13">
        <f t="shared" si="37"/>
        <v>50.359024179354016</v>
      </c>
      <c r="BG64" s="20">
        <f t="shared" si="7"/>
        <v>440.91863377904184</v>
      </c>
      <c r="BH64" s="59">
        <f t="shared" si="8"/>
        <v>734.25196711237516</v>
      </c>
      <c r="BI64" s="59">
        <f ca="1">AVERAGE(OFFSET($BH$3,0,0,'Données projet'!$E$11+1,1))-AVERAGE(OFFSET($H$3,0,0,'Données projet'!$E$11+1,1))</f>
        <v>279.20364724206644</v>
      </c>
      <c r="BJ64" s="59">
        <f t="shared" si="38"/>
        <v>173.99850582760712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1.4736724846796401</v>
      </c>
      <c r="BR64" s="21">
        <f>EXP(-LN(2)/2)*BR63+(1-EXP(-LN(2)/2))/(LN(2)/2)*BL64*BO64*VLOOKUP('Données projet'!$B$11,Paramètres!$A$1:$I$89,3,0)*0.475*44/12</f>
        <v>1.4968053332849366E-4</v>
      </c>
      <c r="BS64" s="22">
        <f t="shared" si="9"/>
        <v>1.4738221652129686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200.00000000000017</v>
      </c>
      <c r="BZ64" s="13">
        <f>BY64*VLOOKUP('Données projet'!$B$12,Paramètres!$A$1:$I$89,3,0)*VLOOKUP('Données projet'!$B$12,Paramètres!$A$1:$I$89,5,0)</f>
        <v>227.76000000000019</v>
      </c>
      <c r="CA64" s="13">
        <f t="shared" si="39"/>
        <v>55.798065627252022</v>
      </c>
      <c r="CB64" s="20">
        <f t="shared" si="10"/>
        <v>493.86363096746436</v>
      </c>
      <c r="CC64" s="59">
        <f t="shared" si="11"/>
        <v>787.19696430079762</v>
      </c>
      <c r="CD64" s="59">
        <f ca="1">AVERAGE(OFFSET($CC$3,0,0,'Données projet'!$E$12+1,1))-AVERAGE(OFFSET($H$3,0,0,'Données projet'!$E$12+1,1))</f>
        <v>327.06866218660838</v>
      </c>
      <c r="CE64" s="59">
        <f t="shared" si="40"/>
        <v>202.18198935334908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1.6550475597171341</v>
      </c>
      <c r="CM64" s="21">
        <f>EXP(-LN(2)/2)*CM63+(1-EXP(-LN(2)/2))/(LN(2)/2)*CG64*CJ64*VLOOKUP('Données projet'!$B$12,Paramètres!$A$1:$I$89,3,0)*0.475*44/12</f>
        <v>1.6810275281507788E-4</v>
      </c>
      <c r="CN64" s="22">
        <f t="shared" si="12"/>
        <v>1.6552156624699492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4.9000000000000004</v>
      </c>
      <c r="CT64" s="12">
        <f>IF('Données projet'!$A$140&gt;35,CT63+CS64-DB63,IF(A64&lt;'Données projet'!$A$140,$CQ$205^A64,IF(A64='Données projet'!$A$140,'Données projet'!$B$140,CT63+CS64-DB63)))</f>
        <v>284.89999999999992</v>
      </c>
      <c r="CU64" s="17">
        <f>CT64*VLOOKUP('Données projet'!$B$13,Paramètres!$A$1:$I$89,3,0)*VLOOKUP('Données projet'!$B$13,Paramètres!$A$1:$I$89,5,0)</f>
        <v>231.11087999999995</v>
      </c>
      <c r="CV64" s="13">
        <f t="shared" si="41"/>
        <v>56.522812360621501</v>
      </c>
      <c r="CW64" s="20">
        <f t="shared" si="13"/>
        <v>500.96201419474897</v>
      </c>
      <c r="CX64" s="59">
        <f t="shared" si="14"/>
        <v>794.29534752808229</v>
      </c>
      <c r="CY64" s="59">
        <f ca="1">AVERAGE(OFFSET($CX$3,0,0,'Données projet'!$E$13+1,1))-AVERAGE(OFFSET($H$3,0,0,'Données projet'!$E$13+1,1))</f>
        <v>266.72672633301022</v>
      </c>
      <c r="CZ64" s="59">
        <f t="shared" si="42"/>
        <v>314.26991662544219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1.4608814697148724</v>
      </c>
      <c r="DG64" s="21">
        <f>EXP(-LN(2)/25)*DG63+(1-EXP(-LN(2)/25))/(LN(2)/25)*Calculateur!DB64*Calculateur!DD64*VLOOKUP('Données projet'!$B$13,Paramètres!$A$1:$I$89,3,0)*0.475*44/12</f>
        <v>7.1865012779050197</v>
      </c>
      <c r="DH64" s="21">
        <f>EXP(-LN(2)/2)*DH63+(1-EXP(-LN(2)/2))/(LN(2)/2)*DB64*DE64*VLOOKUP('Données projet'!$B$13,Paramètres!$A$1:$I$89,3,0)*0.475*44/12</f>
        <v>5.2891422940818614E-4</v>
      </c>
      <c r="DI64" s="22">
        <f t="shared" si="15"/>
        <v>8.6479116618492995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9.3000000000000007</v>
      </c>
      <c r="DO64" s="12">
        <f>IF('Données projet'!$A$166&gt;35,DO63+DN64-DW63,IF(A64&lt;'Données projet'!$A$166,$DL$205^A64,IF(A64='Données projet'!$A$166,'Données projet'!$B$166,DO63+DN64-DW63)))</f>
        <v>317.29999999999984</v>
      </c>
      <c r="DP64" s="17">
        <f>DO64*VLOOKUP('Données projet'!$B$14,Paramètres!$A$1:$I$89,3,0)*VLOOKUP('Données projet'!$B$14,Paramètres!$A$1:$I$89,5,0)</f>
        <v>341.54171999999983</v>
      </c>
      <c r="DQ64" s="13">
        <f t="shared" si="43"/>
        <v>79.818391614665899</v>
      </c>
      <c r="DR64" s="20">
        <f t="shared" si="16"/>
        <v>733.86886106220936</v>
      </c>
      <c r="DS64" s="59">
        <f t="shared" si="17"/>
        <v>1027.2021943955426</v>
      </c>
      <c r="DT64" s="59">
        <f ca="1">AVERAGE(OFFSET($DS$3,0,0,'Données projet'!$E$14+1,1))-AVERAGE(OFFSET($H$3,0,0,'Données projet'!$E$14+1,1))</f>
        <v>442.54137223086991</v>
      </c>
      <c r="DU64" s="59">
        <f t="shared" si="44"/>
        <v>454.23406186660714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1.0800088008249238</v>
      </c>
      <c r="EB64" s="21">
        <f>EXP(-LN(2)/25)*EB63+(1-EXP(-LN(2)/25))/(LN(2)/25)*Calculateur!DW64*Calculateur!DY64*VLOOKUP('Données projet'!$B$14,Paramètres!$A$1:$I$89,3,0)*0.475*44/12</f>
        <v>4.8906303441506145</v>
      </c>
      <c r="EC64" s="21">
        <f>EXP(-LN(2)/2)*EC63+(1-EXP(-LN(2)/2))/(LN(2)/2)*DW64*DZ64*VLOOKUP('Données projet'!$B$14,Paramètres!$A$1:$I$89,3,0)*0.475*44/12</f>
        <v>3.8925028163728164E-4</v>
      </c>
      <c r="ED64" s="22">
        <f t="shared" si="18"/>
        <v>5.9710283952571759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201.49055911472067</v>
      </c>
      <c r="T65" s="59">
        <f t="shared" si="34"/>
        <v>403.37692064114719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39.546541777255989</v>
      </c>
      <c r="AA65" s="21">
        <f>EXP(-LN(2)/25)*AA64+(1-EXP(-LN(2)/25))/(LN(2)/25)*Calculateur!V65*Calculateur!X65*VLOOKUP('Données projet'!$B$9,Paramètres!$A$1:$I$89,3,0)*0.475*44/12</f>
        <v>27.814679651896622</v>
      </c>
      <c r="AB65" s="21">
        <f>EXP(-LN(2)/2)*AB64+(1-EXP(-LN(2)/2))/(LN(2)/2)*V65*Y65*VLOOKUP('Données projet'!$B$9,Paramètres!$A$1:$I$89,3,0)*0.475*44/12</f>
        <v>7.8298666851826706E-3</v>
      </c>
      <c r="AC65" s="22">
        <f t="shared" si="3"/>
        <v>67.369051295837792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39.000000000000057</v>
      </c>
      <c r="AJ65" s="13">
        <f>AI65*VLOOKUP('Données projet'!$B$10,Paramètres!$A$1:$I$89,3,0)*VLOOKUP('Données projet'!$B$10,Paramètres!$A$1:$I$89,5,0)</f>
        <v>34.070400000000056</v>
      </c>
      <c r="AK65" s="13">
        <f t="shared" si="35"/>
        <v>10.412633617059328</v>
      </c>
      <c r="AL65" s="20">
        <f t="shared" si="4"/>
        <v>77.474616883045101</v>
      </c>
      <c r="AM65" s="59">
        <f t="shared" si="5"/>
        <v>370.8079502163784</v>
      </c>
      <c r="AN65" s="59">
        <f ca="1">AVERAGE(OFFSET($AM$3,0,0,'Données projet'!$E$10+1,1))-AVERAGE(OFFSET($H$3,0,0,'Données projet'!$E$10+1,1))</f>
        <v>260.53994021583316</v>
      </c>
      <c r="AO65" s="59">
        <f t="shared" si="36"/>
        <v>669.20238852709122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4.5224191912867162E-3</v>
      </c>
      <c r="AX65" s="21">
        <f t="shared" si="6"/>
        <v>4.5224191912867162E-3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207.00000000000017</v>
      </c>
      <c r="BE65" s="13">
        <f>BD65*VLOOKUP('Données projet'!$B$11,Paramètres!$A$1:$I$89,3,0)*VLOOKUP('Données projet'!$B$11,Paramètres!$A$1:$I$89,5,0)</f>
        <v>209.8980000000002</v>
      </c>
      <c r="BF65" s="13">
        <f t="shared" si="37"/>
        <v>51.913295501810261</v>
      </c>
      <c r="BG65" s="20">
        <f t="shared" si="7"/>
        <v>455.9880063323198</v>
      </c>
      <c r="BH65" s="59">
        <f t="shared" si="8"/>
        <v>749.32133966565311</v>
      </c>
      <c r="BI65" s="59">
        <f ca="1">AVERAGE(OFFSET($BH$3,0,0,'Données projet'!$E$11+1,1))-AVERAGE(OFFSET($H$3,0,0,'Données projet'!$E$11+1,1))</f>
        <v>279.20364724206644</v>
      </c>
      <c r="BJ65" s="59">
        <f t="shared" si="38"/>
        <v>173.99850582760712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1.4333748330890075</v>
      </c>
      <c r="BR65" s="21">
        <f>EXP(-LN(2)/2)*BR64+(1-EXP(-LN(2)/2))/(LN(2)/2)*BL65*BO65*VLOOKUP('Données projet'!$B$11,Paramètres!$A$1:$I$89,3,0)*0.475*44/12</f>
        <v>1.058401201281969E-4</v>
      </c>
      <c r="BS65" s="22">
        <f t="shared" si="9"/>
        <v>1.4334806732091356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207.00000000000017</v>
      </c>
      <c r="BZ65" s="13">
        <f>BY65*VLOOKUP('Données projet'!$B$12,Paramètres!$A$1:$I$89,3,0)*VLOOKUP('Données projet'!$B$12,Paramètres!$A$1:$I$89,5,0)</f>
        <v>235.73160000000021</v>
      </c>
      <c r="CA65" s="13">
        <f t="shared" si="39"/>
        <v>57.520206488125268</v>
      </c>
      <c r="CB65" s="20">
        <f t="shared" si="10"/>
        <v>510.74689630015183</v>
      </c>
      <c r="CC65" s="59">
        <f t="shared" si="11"/>
        <v>804.08022963348515</v>
      </c>
      <c r="CD65" s="59">
        <f ca="1">AVERAGE(OFFSET($CC$3,0,0,'Données projet'!$E$12+1,1))-AVERAGE(OFFSET($H$3,0,0,'Données projet'!$E$12+1,1))</f>
        <v>327.06866218660838</v>
      </c>
      <c r="CE65" s="59">
        <f t="shared" si="40"/>
        <v>202.18198935334908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1.6097901971615005</v>
      </c>
      <c r="CM65" s="21">
        <f>EXP(-LN(2)/2)*CM64+(1-EXP(-LN(2)/2))/(LN(2)/2)*CG65*CJ65*VLOOKUP('Données projet'!$B$12,Paramètres!$A$1:$I$89,3,0)*0.475*44/12</f>
        <v>1.1886659645166757E-4</v>
      </c>
      <c r="CN65" s="22">
        <f t="shared" si="12"/>
        <v>1.6099090637579523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4.9000000000000004</v>
      </c>
      <c r="CT65" s="12">
        <f>IF('Données projet'!$A$140&gt;35,CT64+CS65-DB64,IF(A65&lt;'Données projet'!$A$140,$CQ$205^A65,IF(A65='Données projet'!$A$140,'Données projet'!$B$140,CT64+CS65-DB64)))</f>
        <v>289.7999999999999</v>
      </c>
      <c r="CU65" s="17">
        <f>CT65*VLOOKUP('Données projet'!$B$13,Paramètres!$A$1:$I$89,3,0)*VLOOKUP('Données projet'!$B$13,Paramètres!$A$1:$I$89,5,0)</f>
        <v>235.08575999999991</v>
      </c>
      <c r="CV65" s="13">
        <f t="shared" si="41"/>
        <v>57.380938085783008</v>
      </c>
      <c r="CW65" s="20">
        <f t="shared" si="13"/>
        <v>509.37949916607187</v>
      </c>
      <c r="CX65" s="59">
        <f t="shared" si="14"/>
        <v>802.71283249940518</v>
      </c>
      <c r="CY65" s="59">
        <f ca="1">AVERAGE(OFFSET($CX$3,0,0,'Données projet'!$E$13+1,1))-AVERAGE(OFFSET($H$3,0,0,'Données projet'!$E$13+1,1))</f>
        <v>266.72672633301022</v>
      </c>
      <c r="CZ65" s="59">
        <f t="shared" si="42"/>
        <v>314.26991662544219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1.4322344751434763</v>
      </c>
      <c r="DG65" s="21">
        <f>EXP(-LN(2)/25)*DG64+(1-EXP(-LN(2)/25))/(LN(2)/25)*Calculateur!DB65*Calculateur!DD65*VLOOKUP('Données projet'!$B$13,Paramètres!$A$1:$I$89,3,0)*0.475*44/12</f>
        <v>6.9899860225390293</v>
      </c>
      <c r="DH65" s="21">
        <f>EXP(-LN(2)/2)*DH64+(1-EXP(-LN(2)/2))/(LN(2)/2)*DB65*DE65*VLOOKUP('Données projet'!$B$13,Paramètres!$A$1:$I$89,3,0)*0.475*44/12</f>
        <v>3.7399883828058569E-4</v>
      </c>
      <c r="DI65" s="22">
        <f t="shared" si="15"/>
        <v>8.4225944965207873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9.3000000000000007</v>
      </c>
      <c r="DO65" s="12">
        <f>IF('Données projet'!$A$166&gt;35,DO64+DN65-DW64,IF(A65&lt;'Données projet'!$A$166,$DL$205^A65,IF(A65='Données projet'!$A$166,'Données projet'!$B$166,DO64+DN65-DW64)))</f>
        <v>326.59999999999985</v>
      </c>
      <c r="DP65" s="17">
        <f>DO65*VLOOKUP('Données projet'!$B$14,Paramètres!$A$1:$I$89,3,0)*VLOOKUP('Données projet'!$B$14,Paramètres!$A$1:$I$89,5,0)</f>
        <v>351.55223999999981</v>
      </c>
      <c r="DQ65" s="13">
        <f t="shared" si="43"/>
        <v>81.882051211276618</v>
      </c>
      <c r="DR65" s="20">
        <f t="shared" si="16"/>
        <v>754.89805719297317</v>
      </c>
      <c r="DS65" s="59">
        <f t="shared" si="17"/>
        <v>1048.2313905263065</v>
      </c>
      <c r="DT65" s="59">
        <f ca="1">AVERAGE(OFFSET($DS$3,0,0,'Données projet'!$E$14+1,1))-AVERAGE(OFFSET($H$3,0,0,'Données projet'!$E$14+1,1))</f>
        <v>442.54137223086991</v>
      </c>
      <c r="DU65" s="59">
        <f t="shared" si="44"/>
        <v>454.23406186660714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1.0588304869810703</v>
      </c>
      <c r="EB65" s="21">
        <f>EXP(-LN(2)/25)*EB64+(1-EXP(-LN(2)/25))/(LN(2)/25)*Calculateur!DW65*Calculateur!DY65*VLOOKUP('Données projet'!$B$14,Paramètres!$A$1:$I$89,3,0)*0.475*44/12</f>
        <v>4.7568958002027442</v>
      </c>
      <c r="EC65" s="21">
        <f>EXP(-LN(2)/2)*EC64+(1-EXP(-LN(2)/2))/(LN(2)/2)*DW65*DZ65*VLOOKUP('Données projet'!$B$14,Paramètres!$A$1:$I$89,3,0)*0.475*44/12</f>
        <v>2.7524151372449531E-4</v>
      </c>
      <c r="ED65" s="22">
        <f t="shared" si="18"/>
        <v>5.8160015286975391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201.49055911472067</v>
      </c>
      <c r="T66" s="59">
        <f t="shared" si="34"/>
        <v>403.37692064114719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38.771058214012733</v>
      </c>
      <c r="AA66" s="21">
        <f>EXP(-LN(2)/25)*AA65+(1-EXP(-LN(2)/25))/(LN(2)/25)*Calculateur!V66*Calculateur!X66*VLOOKUP('Données projet'!$B$9,Paramètres!$A$1:$I$89,3,0)*0.475*44/12</f>
        <v>27.054085774105076</v>
      </c>
      <c r="AB66" s="21">
        <f>EXP(-LN(2)/2)*AB65+(1-EXP(-LN(2)/2))/(LN(2)/2)*V66*Y66*VLOOKUP('Données projet'!$B$9,Paramètres!$A$1:$I$89,3,0)*0.475*44/12</f>
        <v>5.5365518288793009E-3</v>
      </c>
      <c r="AC66" s="22">
        <f t="shared" si="3"/>
        <v>65.830680539946698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39.000000000000057</v>
      </c>
      <c r="AJ66" s="13">
        <f>AI66*VLOOKUP('Données projet'!$B$10,Paramètres!$A$1:$I$89,3,0)*VLOOKUP('Données projet'!$B$10,Paramètres!$A$1:$I$89,5,0)</f>
        <v>34.070400000000056</v>
      </c>
      <c r="AK66" s="13">
        <f t="shared" si="35"/>
        <v>10.412633617059328</v>
      </c>
      <c r="AL66" s="20">
        <f t="shared" si="4"/>
        <v>77.474616883045101</v>
      </c>
      <c r="AM66" s="59">
        <f t="shared" si="5"/>
        <v>370.8079502163784</v>
      </c>
      <c r="AN66" s="59">
        <f ca="1">AVERAGE(OFFSET($AM$3,0,0,'Données projet'!$E$10+1,1))-AVERAGE(OFFSET($H$3,0,0,'Données projet'!$E$10+1,1))</f>
        <v>260.53994021583316</v>
      </c>
      <c r="AO66" s="59">
        <f t="shared" si="36"/>
        <v>669.20238852709122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3.1978332775270193E-3</v>
      </c>
      <c r="AX66" s="21">
        <f t="shared" si="6"/>
        <v>3.1978332775270193E-3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214.00000000000017</v>
      </c>
      <c r="BE66" s="13">
        <f>BD66*VLOOKUP('Données projet'!$B$11,Paramètres!$A$1:$I$89,3,0)*VLOOKUP('Données projet'!$B$11,Paramètres!$A$1:$I$89,5,0)</f>
        <v>216.99600000000018</v>
      </c>
      <c r="BF66" s="13">
        <f t="shared" si="37"/>
        <v>53.461459647386967</v>
      </c>
      <c r="BG66" s="20">
        <f t="shared" si="7"/>
        <v>471.0467422191993</v>
      </c>
      <c r="BH66" s="59">
        <f t="shared" si="8"/>
        <v>764.38007555253262</v>
      </c>
      <c r="BI66" s="59">
        <f ca="1">AVERAGE(OFFSET($BH$3,0,0,'Données projet'!$E$11+1,1))-AVERAGE(OFFSET($H$3,0,0,'Données projet'!$E$11+1,1))</f>
        <v>279.20364724206644</v>
      </c>
      <c r="BJ66" s="59">
        <f t="shared" si="38"/>
        <v>173.99850582760712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1.3941791229002822</v>
      </c>
      <c r="BR66" s="21">
        <f>EXP(-LN(2)/2)*BR65+(1-EXP(-LN(2)/2))/(LN(2)/2)*BL66*BO66*VLOOKUP('Données projet'!$B$11,Paramètres!$A$1:$I$89,3,0)*0.475*44/12</f>
        <v>7.4840266664246831E-5</v>
      </c>
      <c r="BS66" s="22">
        <f t="shared" si="9"/>
        <v>1.3942539631669464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214.00000000000017</v>
      </c>
      <c r="BZ66" s="13">
        <f>BY66*VLOOKUP('Données projet'!$B$12,Paramètres!$A$1:$I$89,3,0)*VLOOKUP('Données projet'!$B$12,Paramètres!$A$1:$I$89,5,0)</f>
        <v>243.70320000000018</v>
      </c>
      <c r="CA66" s="13">
        <f t="shared" si="39"/>
        <v>59.235580564655933</v>
      </c>
      <c r="CB66" s="20">
        <f t="shared" si="10"/>
        <v>527.61837615010938</v>
      </c>
      <c r="CC66" s="59">
        <f t="shared" si="11"/>
        <v>820.95170948344276</v>
      </c>
      <c r="CD66" s="59">
        <f ca="1">AVERAGE(OFFSET($CC$3,0,0,'Données projet'!$E$12+1,1))-AVERAGE(OFFSET($H$3,0,0,'Données projet'!$E$12+1,1))</f>
        <v>327.06866218660838</v>
      </c>
      <c r="CE66" s="59">
        <f t="shared" si="40"/>
        <v>202.18198935334908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1.5657703995649321</v>
      </c>
      <c r="CM66" s="21">
        <f>EXP(-LN(2)/2)*CM65+(1-EXP(-LN(2)/2))/(LN(2)/2)*CG66*CJ66*VLOOKUP('Données projet'!$B$12,Paramètres!$A$1:$I$89,3,0)*0.475*44/12</f>
        <v>8.4051376407538953E-5</v>
      </c>
      <c r="CN66" s="22">
        <f t="shared" si="12"/>
        <v>1.5658544509413397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4.9000000000000004</v>
      </c>
      <c r="CT66" s="12">
        <f>IF('Données projet'!$A$140&gt;35,CT65+CS66-DB65,IF(A66&lt;'Données projet'!$A$140,$CQ$205^A66,IF(A66='Données projet'!$A$140,'Données projet'!$B$140,CT65+CS66-DB65)))</f>
        <v>294.69999999999987</v>
      </c>
      <c r="CU66" s="17">
        <f>CT66*VLOOKUP('Données projet'!$B$13,Paramètres!$A$1:$I$89,3,0)*VLOOKUP('Données projet'!$B$13,Paramètres!$A$1:$I$89,5,0)</f>
        <v>239.06063999999992</v>
      </c>
      <c r="CV66" s="13">
        <f t="shared" si="41"/>
        <v>58.237376495903035</v>
      </c>
      <c r="CW66" s="20">
        <f t="shared" si="13"/>
        <v>517.79404539703103</v>
      </c>
      <c r="CX66" s="59">
        <f t="shared" si="14"/>
        <v>811.1273787303644</v>
      </c>
      <c r="CY66" s="59">
        <f ca="1">AVERAGE(OFFSET($CX$3,0,0,'Données projet'!$E$13+1,1))-AVERAGE(OFFSET($H$3,0,0,'Données projet'!$E$13+1,1))</f>
        <v>266.72672633301022</v>
      </c>
      <c r="CZ66" s="59">
        <f t="shared" si="42"/>
        <v>314.26991662544219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1.4041492306626842</v>
      </c>
      <c r="DG66" s="21">
        <f>EXP(-LN(2)/25)*DG65+(1-EXP(-LN(2)/25))/(LN(2)/25)*Calculateur!DB66*Calculateur!DD66*VLOOKUP('Données projet'!$B$13,Paramètres!$A$1:$I$89,3,0)*0.475*44/12</f>
        <v>6.7988444871653106</v>
      </c>
      <c r="DH66" s="21">
        <f>EXP(-LN(2)/2)*DH65+(1-EXP(-LN(2)/2))/(LN(2)/2)*DB66*DE66*VLOOKUP('Données projet'!$B$13,Paramètres!$A$1:$I$89,3,0)*0.475*44/12</f>
        <v>2.6445711470409307E-4</v>
      </c>
      <c r="DI66" s="22">
        <f t="shared" si="15"/>
        <v>8.2032581749427003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9.3000000000000007</v>
      </c>
      <c r="DO66" s="12">
        <f>IF('Données projet'!$A$166&gt;35,DO65+DN66-DW65,IF(A66&lt;'Données projet'!$A$166,$DL$205^A66,IF(A66='Données projet'!$A$166,'Données projet'!$B$166,DO65+DN66-DW65)))</f>
        <v>335.89999999999986</v>
      </c>
      <c r="DP66" s="17">
        <f>DO66*VLOOKUP('Données projet'!$B$14,Paramètres!$A$1:$I$89,3,0)*VLOOKUP('Données projet'!$B$14,Paramètres!$A$1:$I$89,5,0)</f>
        <v>361.56275999999986</v>
      </c>
      <c r="DQ66" s="13">
        <f t="shared" si="43"/>
        <v>83.938881128900675</v>
      </c>
      <c r="DR66" s="20">
        <f t="shared" si="16"/>
        <v>775.91535829950169</v>
      </c>
      <c r="DS66" s="59">
        <f t="shared" si="17"/>
        <v>1069.2486916328351</v>
      </c>
      <c r="DT66" s="59">
        <f ca="1">AVERAGE(OFFSET($DS$3,0,0,'Données projet'!$E$14+1,1))-AVERAGE(OFFSET($H$3,0,0,'Données projet'!$E$14+1,1))</f>
        <v>442.54137223086991</v>
      </c>
      <c r="DU66" s="59">
        <f t="shared" si="44"/>
        <v>454.23406186660714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1.0380674669541989</v>
      </c>
      <c r="EB66" s="21">
        <f>EXP(-LN(2)/25)*EB65+(1-EXP(-LN(2)/25))/(LN(2)/25)*Calculateur!DW66*Calculateur!DY66*VLOOKUP('Données projet'!$B$14,Paramètres!$A$1:$I$89,3,0)*0.475*44/12</f>
        <v>4.626818234391922</v>
      </c>
      <c r="EC66" s="21">
        <f>EXP(-LN(2)/2)*EC65+(1-EXP(-LN(2)/2))/(LN(2)/2)*DW66*DZ66*VLOOKUP('Données projet'!$B$14,Paramètres!$A$1:$I$89,3,0)*0.475*44/12</f>
        <v>1.9462514081864082E-4</v>
      </c>
      <c r="ED66" s="22">
        <f t="shared" si="18"/>
        <v>5.6650803264869394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201.49055911472067</v>
      </c>
      <c r="T67" s="59">
        <f t="shared" si="34"/>
        <v>403.37692064114719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38.010781410446405</v>
      </c>
      <c r="AA67" s="21">
        <f>EXP(-LN(2)/25)*AA66+(1-EXP(-LN(2)/25))/(LN(2)/25)*Calculateur!V67*Calculateur!X67*VLOOKUP('Données projet'!$B$9,Paramètres!$A$1:$I$89,3,0)*0.475*44/12</f>
        <v>26.314290375899635</v>
      </c>
      <c r="AB67" s="21">
        <f>EXP(-LN(2)/2)*AB66+(1-EXP(-LN(2)/2))/(LN(2)/2)*V67*Y67*VLOOKUP('Données projet'!$B$9,Paramètres!$A$1:$I$89,3,0)*0.475*44/12</f>
        <v>3.9149333425913353E-3</v>
      </c>
      <c r="AC67" s="22">
        <f t="shared" si="3"/>
        <v>64.328986719688629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39.000000000000057</v>
      </c>
      <c r="AJ67" s="13">
        <f>AI67*VLOOKUP('Données projet'!$B$10,Paramètres!$A$1:$I$89,3,0)*VLOOKUP('Données projet'!$B$10,Paramètres!$A$1:$I$89,5,0)</f>
        <v>34.070400000000056</v>
      </c>
      <c r="AK67" s="13">
        <f t="shared" si="35"/>
        <v>10.412633617059328</v>
      </c>
      <c r="AL67" s="20">
        <f t="shared" si="4"/>
        <v>77.474616883045101</v>
      </c>
      <c r="AM67" s="59">
        <f t="shared" si="5"/>
        <v>370.8079502163784</v>
      </c>
      <c r="AN67" s="59">
        <f ca="1">AVERAGE(OFFSET($AM$3,0,0,'Données projet'!$E$10+1,1))-AVERAGE(OFFSET($H$3,0,0,'Données projet'!$E$10+1,1))</f>
        <v>260.53994021583316</v>
      </c>
      <c r="AO67" s="59">
        <f t="shared" si="36"/>
        <v>669.20238852709122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2.2612095956433581E-3</v>
      </c>
      <c r="AX67" s="21">
        <f t="shared" si="6"/>
        <v>2.2612095956433581E-3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221.00000000000017</v>
      </c>
      <c r="BE67" s="13">
        <f>BD67*VLOOKUP('Données projet'!$B$11,Paramètres!$A$1:$I$89,3,0)*VLOOKUP('Données projet'!$B$11,Paramètres!$A$1:$I$89,5,0)</f>
        <v>224.09400000000019</v>
      </c>
      <c r="BF67" s="13">
        <f t="shared" si="37"/>
        <v>55.003739293082717</v>
      </c>
      <c r="BG67" s="20">
        <f t="shared" si="7"/>
        <v>486.095229268786</v>
      </c>
      <c r="BH67" s="59">
        <f t="shared" si="8"/>
        <v>779.42856260211931</v>
      </c>
      <c r="BI67" s="59">
        <f ca="1">AVERAGE(OFFSET($BH$3,0,0,'Données projet'!$E$11+1,1))-AVERAGE(OFFSET($H$3,0,0,'Données projet'!$E$11+1,1))</f>
        <v>279.20364724206644</v>
      </c>
      <c r="BJ67" s="59">
        <f t="shared" si="38"/>
        <v>173.99850582760712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1.3560552214678805</v>
      </c>
      <c r="BR67" s="21">
        <f>EXP(-LN(2)/2)*BR66+(1-EXP(-LN(2)/2))/(LN(2)/2)*BL67*BO67*VLOOKUP('Données projet'!$B$11,Paramètres!$A$1:$I$89,3,0)*0.475*44/12</f>
        <v>5.2920060064098452E-5</v>
      </c>
      <c r="BS67" s="22">
        <f t="shared" si="9"/>
        <v>1.3561081415279446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221.00000000000017</v>
      </c>
      <c r="BZ67" s="13">
        <f>BY67*VLOOKUP('Données projet'!$B$12,Paramètres!$A$1:$I$89,3,0)*VLOOKUP('Données projet'!$B$12,Paramètres!$A$1:$I$89,5,0)</f>
        <v>251.6748000000002</v>
      </c>
      <c r="CA67" s="13">
        <f t="shared" si="39"/>
        <v>60.944434584138499</v>
      </c>
      <c r="CB67" s="20">
        <f t="shared" si="10"/>
        <v>544.47850023404158</v>
      </c>
      <c r="CC67" s="59">
        <f t="shared" si="11"/>
        <v>837.81183356737483</v>
      </c>
      <c r="CD67" s="59">
        <f ca="1">AVERAGE(OFFSET($CC$3,0,0,'Données projet'!$E$12+1,1))-AVERAGE(OFFSET($H$3,0,0,'Données projet'!$E$12+1,1))</f>
        <v>327.06866218660838</v>
      </c>
      <c r="CE67" s="59">
        <f t="shared" si="40"/>
        <v>202.18198935334908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1.5229543256485423</v>
      </c>
      <c r="CM67" s="21">
        <f>EXP(-LN(2)/2)*CM66+(1-EXP(-LN(2)/2))/(LN(2)/2)*CG67*CJ67*VLOOKUP('Données projet'!$B$12,Paramètres!$A$1:$I$89,3,0)*0.475*44/12</f>
        <v>5.943329822583379E-5</v>
      </c>
      <c r="CN67" s="22">
        <f t="shared" si="12"/>
        <v>1.523013758946768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4.9000000000000004</v>
      </c>
      <c r="CT67" s="12">
        <f>IF('Données projet'!$A$140&gt;35,CT66+CS67-DB66,IF(A67&lt;'Données projet'!$A$140,$CQ$205^A67,IF(A67='Données projet'!$A$140,'Données projet'!$B$140,CT66+CS67-DB66)))</f>
        <v>299.59999999999985</v>
      </c>
      <c r="CU67" s="17">
        <f>CT67*VLOOKUP('Données projet'!$B$13,Paramètres!$A$1:$I$89,3,0)*VLOOKUP('Données projet'!$B$13,Paramètres!$A$1:$I$89,5,0)</f>
        <v>243.03551999999988</v>
      </c>
      <c r="CV67" s="13">
        <f t="shared" si="41"/>
        <v>59.092158884332932</v>
      </c>
      <c r="CW67" s="20">
        <f t="shared" si="13"/>
        <v>526.20570739021298</v>
      </c>
      <c r="CX67" s="59">
        <f t="shared" si="14"/>
        <v>819.53904072354635</v>
      </c>
      <c r="CY67" s="59">
        <f ca="1">AVERAGE(OFFSET($CX$3,0,0,'Données projet'!$E$13+1,1))-AVERAGE(OFFSET($H$3,0,0,'Données projet'!$E$13+1,1))</f>
        <v>266.72672633301022</v>
      </c>
      <c r="CZ67" s="59">
        <f t="shared" si="42"/>
        <v>314.26991662544219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1.3766147206958526</v>
      </c>
      <c r="DG67" s="21">
        <f>EXP(-LN(2)/25)*DG66+(1-EXP(-LN(2)/25))/(LN(2)/25)*Calculateur!DB67*Calculateur!DD67*VLOOKUP('Données projet'!$B$13,Paramètres!$A$1:$I$89,3,0)*0.475*44/12</f>
        <v>6.6129297271280825</v>
      </c>
      <c r="DH67" s="21">
        <f>EXP(-LN(2)/2)*DH66+(1-EXP(-LN(2)/2))/(LN(2)/2)*DB67*DE67*VLOOKUP('Données projet'!$B$13,Paramètres!$A$1:$I$89,3,0)*0.475*44/12</f>
        <v>1.8699941914029284E-4</v>
      </c>
      <c r="DI67" s="22">
        <f t="shared" si="15"/>
        <v>7.9897314472430754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9.3000000000000007</v>
      </c>
      <c r="DO67" s="12">
        <f>IF('Données projet'!$A$166&gt;35,DO66+DN67-DW66,IF(A67&lt;'Données projet'!$A$166,$DL$205^A67,IF(A67='Données projet'!$A$166,'Données projet'!$B$166,DO66+DN67-DW66)))</f>
        <v>345.19999999999987</v>
      </c>
      <c r="DP67" s="17">
        <f>DO67*VLOOKUP('Données projet'!$B$14,Paramètres!$A$1:$I$89,3,0)*VLOOKUP('Données projet'!$B$14,Paramètres!$A$1:$I$89,5,0)</f>
        <v>371.57327999999984</v>
      </c>
      <c r="DQ67" s="13">
        <f t="shared" si="43"/>
        <v>85.98909218464442</v>
      </c>
      <c r="DR67" s="20">
        <f t="shared" si="16"/>
        <v>796.921131554922</v>
      </c>
      <c r="DS67" s="59">
        <f t="shared" si="17"/>
        <v>1090.2544648882554</v>
      </c>
      <c r="DT67" s="59">
        <f ca="1">AVERAGE(OFFSET($DS$3,0,0,'Données projet'!$E$14+1,1))-AVERAGE(OFFSET($H$3,0,0,'Données projet'!$E$14+1,1))</f>
        <v>442.54137223086991</v>
      </c>
      <c r="DU67" s="59">
        <f t="shared" si="44"/>
        <v>454.23406186660714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1.0177115970858628</v>
      </c>
      <c r="EB67" s="21">
        <f>EXP(-LN(2)/25)*EB66+(1-EXP(-LN(2)/25))/(LN(2)/25)*Calculateur!DW67*Calculateur!DY67*VLOOKUP('Données projet'!$B$14,Paramètres!$A$1:$I$89,3,0)*0.475*44/12</f>
        <v>4.5002976464586784</v>
      </c>
      <c r="EC67" s="21">
        <f>EXP(-LN(2)/2)*EC66+(1-EXP(-LN(2)/2))/(LN(2)/2)*DW67*DZ67*VLOOKUP('Données projet'!$B$14,Paramètres!$A$1:$I$89,3,0)*0.475*44/12</f>
        <v>1.3762075686224765E-4</v>
      </c>
      <c r="ED67" s="22">
        <f t="shared" si="18"/>
        <v>5.5181468643014036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201.49055911472067</v>
      </c>
      <c r="T68" s="59">
        <f t="shared" si="34"/>
        <v>403.37692064114719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37.26541317127495</v>
      </c>
      <c r="AA68" s="21">
        <f>EXP(-LN(2)/25)*AA67+(1-EXP(-LN(2)/25))/(LN(2)/25)*Calculateur!V68*Calculateur!X68*VLOOKUP('Données projet'!$B$9,Paramètres!$A$1:$I$89,3,0)*0.475*44/12</f>
        <v>25.594724721762269</v>
      </c>
      <c r="AB68" s="21">
        <f>EXP(-LN(2)/2)*AB67+(1-EXP(-LN(2)/2))/(LN(2)/2)*V68*Y68*VLOOKUP('Données projet'!$B$9,Paramètres!$A$1:$I$89,3,0)*0.475*44/12</f>
        <v>2.7682759144396505E-3</v>
      </c>
      <c r="AC68" s="22">
        <f t="shared" ref="AC68:AC131" si="57">SUM(Z68:AB68)</f>
        <v>62.86290616895166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39.000000000000057</v>
      </c>
      <c r="AJ68" s="13">
        <f>AI68*VLOOKUP('Données projet'!$B$10,Paramètres!$A$1:$I$89,3,0)*VLOOKUP('Données projet'!$B$10,Paramètres!$A$1:$I$89,5,0)</f>
        <v>34.070400000000056</v>
      </c>
      <c r="AK68" s="13">
        <f t="shared" si="35"/>
        <v>10.412633617059328</v>
      </c>
      <c r="AL68" s="20">
        <f t="shared" ref="AL68:AL131" si="58">(AJ68+AK68)*0.475*44/12</f>
        <v>77.474616883045101</v>
      </c>
      <c r="AM68" s="59">
        <f t="shared" ref="AM68:AM131" si="59">AL68+(AD68+AE68)*44/12</f>
        <v>370.8079502163784</v>
      </c>
      <c r="AN68" s="59">
        <f ca="1">AVERAGE(OFFSET($AM$3,0,0,'Données projet'!$E$10+1,1))-AVERAGE(OFFSET($H$3,0,0,'Données projet'!$E$10+1,1))</f>
        <v>260.53994021583316</v>
      </c>
      <c r="AO68" s="59">
        <f t="shared" si="36"/>
        <v>669.20238852709122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1.5989166387635097E-3</v>
      </c>
      <c r="AX68" s="21">
        <f t="shared" ref="AX68:AX131" si="60">SUM(AU68:AW68)</f>
        <v>1.5989166387635097E-3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228.00000000000017</v>
      </c>
      <c r="BE68" s="13">
        <f>BD68*VLOOKUP('Données projet'!$B$11,Paramètres!$A$1:$I$89,3,0)*VLOOKUP('Données projet'!$B$11,Paramètres!$A$1:$I$89,5,0)</f>
        <v>231.19200000000018</v>
      </c>
      <c r="BF68" s="13">
        <f t="shared" si="37"/>
        <v>56.540342208595277</v>
      </c>
      <c r="BG68" s="20">
        <f t="shared" ref="BG68:BG131" si="61">(BE68+BF68)*0.475*44/12</f>
        <v>501.13382934663713</v>
      </c>
      <c r="BH68" s="59">
        <f t="shared" ref="BH68:BH131" si="62">BG68+(AY68+AZ68)*44/12</f>
        <v>794.46716267997044</v>
      </c>
      <c r="BI68" s="59">
        <f ca="1">AVERAGE(OFFSET($BH$3,0,0,'Données projet'!$E$11+1,1))-AVERAGE(OFFSET($H$3,0,0,'Données projet'!$E$11+1,1))</f>
        <v>279.20364724206644</v>
      </c>
      <c r="BJ68" s="59">
        <f t="shared" si="38"/>
        <v>173.99850582760712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1.3189738201249965</v>
      </c>
      <c r="BR68" s="21">
        <f>EXP(-LN(2)/2)*BR67+(1-EXP(-LN(2)/2))/(LN(2)/2)*BL68*BO68*VLOOKUP('Données projet'!$B$11,Paramètres!$A$1:$I$89,3,0)*0.475*44/12</f>
        <v>3.7420133332123416E-5</v>
      </c>
      <c r="BS68" s="22">
        <f t="shared" ref="BS68:BS131" si="63">SUM(BP68:BR68)</f>
        <v>1.3190112402583287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228.00000000000017</v>
      </c>
      <c r="BZ68" s="13">
        <f>BY68*VLOOKUP('Données projet'!$B$12,Paramètres!$A$1:$I$89,3,0)*VLOOKUP('Données projet'!$B$12,Paramètres!$A$1:$I$89,5,0)</f>
        <v>259.6464000000002</v>
      </c>
      <c r="CA68" s="13">
        <f t="shared" si="39"/>
        <v>62.646998756498853</v>
      </c>
      <c r="CB68" s="20">
        <f t="shared" ref="CB68:CB131" si="64">(BZ68+CA68)*0.475*44/12</f>
        <v>561.32766950090252</v>
      </c>
      <c r="CC68" s="59">
        <f t="shared" ref="CC68:CC131" si="65">CB68+(BT68+BU68)*44/12</f>
        <v>854.66100283423589</v>
      </c>
      <c r="CD68" s="59">
        <f ca="1">AVERAGE(OFFSET($CC$3,0,0,'Données projet'!$E$12+1,1))-AVERAGE(OFFSET($H$3,0,0,'Données projet'!$E$12+1,1))</f>
        <v>327.06866218660838</v>
      </c>
      <c r="CE68" s="59">
        <f t="shared" si="40"/>
        <v>202.18198935334908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1.4813090595249956</v>
      </c>
      <c r="CM68" s="21">
        <f>EXP(-LN(2)/2)*CM67+(1-EXP(-LN(2)/2))/(LN(2)/2)*CG68*CJ68*VLOOKUP('Données projet'!$B$12,Paramètres!$A$1:$I$89,3,0)*0.475*44/12</f>
        <v>4.2025688203769483E-5</v>
      </c>
      <c r="CN68" s="22">
        <f t="shared" ref="CN68:CN131" si="66">SUM(CK68:CM68)</f>
        <v>1.4813510852131992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4.9000000000000004</v>
      </c>
      <c r="CT68" s="12">
        <f>IF('Données projet'!$A$140&gt;35,CT67+CS68-DB67,IF(A68&lt;'Données projet'!$A$140,$CQ$205^A68,IF(A68='Données projet'!$A$140,'Données projet'!$B$140,CT67+CS68-DB67)))</f>
        <v>304.49999999999983</v>
      </c>
      <c r="CU68" s="17">
        <f>CT68*VLOOKUP('Données projet'!$B$13,Paramètres!$A$1:$I$89,3,0)*VLOOKUP('Données projet'!$B$13,Paramètres!$A$1:$I$89,5,0)</f>
        <v>247.01039999999989</v>
      </c>
      <c r="CV68" s="13">
        <f t="shared" si="41"/>
        <v>59.945315462121812</v>
      </c>
      <c r="CW68" s="20">
        <f t="shared" ref="CW68:CW131" si="67">(CU68+CV68)*0.475*44/12</f>
        <v>534.61453776319524</v>
      </c>
      <c r="CX68" s="59">
        <f t="shared" ref="CX68:CX131" si="68">CW68+(CO68+CP68)*44/12</f>
        <v>827.94787109652862</v>
      </c>
      <c r="CY68" s="59">
        <f ca="1">AVERAGE(OFFSET($CX$3,0,0,'Données projet'!$E$13+1,1))-AVERAGE(OFFSET($H$3,0,0,'Données projet'!$E$13+1,1))</f>
        <v>266.72672633301022</v>
      </c>
      <c r="CZ68" s="59">
        <f t="shared" si="42"/>
        <v>314.26991662544219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1.3496201456750778</v>
      </c>
      <c r="DG68" s="21">
        <f>EXP(-LN(2)/25)*DG67+(1-EXP(-LN(2)/25))/(LN(2)/25)*Calculateur!DB68*Calculateur!DD68*VLOOKUP('Données projet'!$B$13,Paramètres!$A$1:$I$89,3,0)*0.475*44/12</f>
        <v>6.4320988159809049</v>
      </c>
      <c r="DH68" s="21">
        <f>EXP(-LN(2)/2)*DH67+(1-EXP(-LN(2)/2))/(LN(2)/2)*DB68*DE68*VLOOKUP('Données projet'!$B$13,Paramètres!$A$1:$I$89,3,0)*0.475*44/12</f>
        <v>1.3222855735204654E-4</v>
      </c>
      <c r="DI68" s="22">
        <f t="shared" ref="DI68:DI131" si="69">SUM(DF68:DH68)</f>
        <v>7.7818511902133354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9.3000000000000007</v>
      </c>
      <c r="DO68" s="12">
        <f>IF('Données projet'!$A$166&gt;35,DO67+DN68-DW67,IF(A68&lt;'Données projet'!$A$166,$DL$205^A68,IF(A68='Données projet'!$A$166,'Données projet'!$B$166,DO67+DN68-DW67)))</f>
        <v>354.49999999999989</v>
      </c>
      <c r="DP68" s="17">
        <f>DO68*VLOOKUP('Données projet'!$B$14,Paramètres!$A$1:$I$89,3,0)*VLOOKUP('Données projet'!$B$14,Paramètres!$A$1:$I$89,5,0)</f>
        <v>381.58379999999988</v>
      </c>
      <c r="DQ68" s="13">
        <f t="shared" si="43"/>
        <v>88.032883189742478</v>
      </c>
      <c r="DR68" s="20">
        <f t="shared" ref="DR68:DR131" si="70">(DP68+DQ68)*0.475*44/12</f>
        <v>817.9157232221346</v>
      </c>
      <c r="DS68" s="59">
        <f t="shared" ref="DS68:DS131" si="71">DR68+(DJ68+DK68)*44/12</f>
        <v>1111.2490565554679</v>
      </c>
      <c r="DT68" s="59">
        <f ca="1">AVERAGE(OFFSET($DS$3,0,0,'Données projet'!$E$14+1,1))-AVERAGE(OFFSET($H$3,0,0,'Données projet'!$E$14+1,1))</f>
        <v>442.54137223086991</v>
      </c>
      <c r="DU68" s="59">
        <f t="shared" si="44"/>
        <v>454.23406186660714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0.99775489340978996</v>
      </c>
      <c r="EB68" s="21">
        <f>EXP(-LN(2)/25)*EB67+(1-EXP(-LN(2)/25))/(LN(2)/25)*Calculateur!DW68*Calculateur!DY68*VLOOKUP('Données projet'!$B$14,Paramètres!$A$1:$I$89,3,0)*0.475*44/12</f>
        <v>4.3772367706558981</v>
      </c>
      <c r="EC68" s="21">
        <f>EXP(-LN(2)/2)*EC67+(1-EXP(-LN(2)/2))/(LN(2)/2)*DW68*DZ68*VLOOKUP('Données projet'!$B$14,Paramètres!$A$1:$I$89,3,0)*0.475*44/12</f>
        <v>9.731257040932041E-5</v>
      </c>
      <c r="ED68" s="22">
        <f t="shared" ref="ED68:ED131" si="72">SUM(EA68:EC68)</f>
        <v>5.3750889766360972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201.49055911472067</v>
      </c>
      <c r="T69" s="59">
        <f t="shared" ref="T69:T132" si="88">$T$3</f>
        <v>403.37692064114719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36.534661148643913</v>
      </c>
      <c r="AA69" s="21">
        <f>EXP(-LN(2)/25)*AA68+(1-EXP(-LN(2)/25))/(LN(2)/25)*Calculateur!V69*Calculateur!X69*VLOOKUP('Données projet'!$B$9,Paramètres!$A$1:$I$89,3,0)*0.475*44/12</f>
        <v>24.894835628277605</v>
      </c>
      <c r="AB69" s="21">
        <f>EXP(-LN(2)/2)*AB68+(1-EXP(-LN(2)/2))/(LN(2)/2)*V69*Y69*VLOOKUP('Données projet'!$B$9,Paramètres!$A$1:$I$89,3,0)*0.475*44/12</f>
        <v>1.9574666712956676E-3</v>
      </c>
      <c r="AC69" s="22">
        <f t="shared" si="57"/>
        <v>61.43145424359281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39.000000000000057</v>
      </c>
      <c r="AJ69" s="13">
        <f>AI69*VLOOKUP('Données projet'!$B$10,Paramètres!$A$1:$I$89,3,0)*VLOOKUP('Données projet'!$B$10,Paramètres!$A$1:$I$89,5,0)</f>
        <v>34.070400000000056</v>
      </c>
      <c r="AK69" s="13">
        <f t="shared" ref="AK69:AK132" si="89">EXP(-1.0587+0.8836*LN(AJ69)+0.284)</f>
        <v>10.412633617059328</v>
      </c>
      <c r="AL69" s="20">
        <f t="shared" si="58"/>
        <v>77.474616883045101</v>
      </c>
      <c r="AM69" s="59">
        <f t="shared" si="59"/>
        <v>370.8079502163784</v>
      </c>
      <c r="AN69" s="59">
        <f ca="1">AVERAGE(OFFSET($AM$3,0,0,'Données projet'!$E$10+1,1))-AVERAGE(OFFSET($H$3,0,0,'Données projet'!$E$10+1,1))</f>
        <v>260.53994021583316</v>
      </c>
      <c r="AO69" s="59">
        <f t="shared" ref="AO69:AO132" si="90">$AO$3</f>
        <v>669.20238852709122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1.1306047978216791E-3</v>
      </c>
      <c r="AX69" s="21">
        <f t="shared" si="60"/>
        <v>1.1306047978216791E-3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235.00000000000017</v>
      </c>
      <c r="BE69" s="13">
        <f>BD69*VLOOKUP('Données projet'!$B$11,Paramètres!$A$1:$I$89,3,0)*VLOOKUP('Données projet'!$B$11,Paramètres!$A$1:$I$89,5,0)</f>
        <v>238.29000000000019</v>
      </c>
      <c r="BF69" s="13">
        <f t="shared" ref="BF69:BF132" si="91">EXP(-1.0587+0.8836*LN(BE69)+0.284)</f>
        <v>58.071462681001563</v>
      </c>
      <c r="BG69" s="20">
        <f t="shared" si="61"/>
        <v>516.16288083607799</v>
      </c>
      <c r="BH69" s="59">
        <f t="shared" si="62"/>
        <v>809.49621416941136</v>
      </c>
      <c r="BI69" s="59">
        <f ca="1">AVERAGE(OFFSET($BH$3,0,0,'Données projet'!$E$11+1,1))-AVERAGE(OFFSET($H$3,0,0,'Données projet'!$E$11+1,1))</f>
        <v>279.20364724206644</v>
      </c>
      <c r="BJ69" s="59">
        <f t="shared" ref="BJ69:BJ132" si="92">$BJ$3</f>
        <v>173.99850582760712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1.2829064116518598</v>
      </c>
      <c r="BR69" s="21">
        <f>EXP(-LN(2)/2)*BR68+(1-EXP(-LN(2)/2))/(LN(2)/2)*BL69*BO69*VLOOKUP('Données projet'!$B$11,Paramètres!$A$1:$I$89,3,0)*0.475*44/12</f>
        <v>2.6460030032049226E-5</v>
      </c>
      <c r="BS69" s="22">
        <f t="shared" si="63"/>
        <v>1.282932871681892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235.00000000000017</v>
      </c>
      <c r="BZ69" s="13">
        <f>BY69*VLOOKUP('Données projet'!$B$12,Paramètres!$A$1:$I$89,3,0)*VLOOKUP('Données projet'!$B$12,Paramètres!$A$1:$I$89,5,0)</f>
        <v>267.61800000000022</v>
      </c>
      <c r="CA69" s="13">
        <f t="shared" ref="CA69:CA132" si="93">EXP(-1.0587+0.8836*LN(BZ69)+0.284)</f>
        <v>64.343488352847714</v>
      </c>
      <c r="CB69" s="20">
        <f t="shared" si="64"/>
        <v>578.16625888121018</v>
      </c>
      <c r="CC69" s="59">
        <f t="shared" si="65"/>
        <v>871.49959221454355</v>
      </c>
      <c r="CD69" s="59">
        <f ca="1">AVERAGE(OFFSET($CC$3,0,0,'Données projet'!$E$12+1,1))-AVERAGE(OFFSET($H$3,0,0,'Données projet'!$E$12+1,1))</f>
        <v>327.06866218660838</v>
      </c>
      <c r="CE69" s="59">
        <f t="shared" ref="CE69:CE132" si="94">$CE$3</f>
        <v>202.18198935334908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1.4408025853936268</v>
      </c>
      <c r="CM69" s="21">
        <f>EXP(-LN(2)/2)*CM68+(1-EXP(-LN(2)/2))/(LN(2)/2)*CG69*CJ69*VLOOKUP('Données projet'!$B$12,Paramètres!$A$1:$I$89,3,0)*0.475*44/12</f>
        <v>2.9716649112916902E-5</v>
      </c>
      <c r="CN69" s="22">
        <f t="shared" si="66"/>
        <v>1.4408323020427398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4.9000000000000004</v>
      </c>
      <c r="CT69" s="12">
        <f>IF('Données projet'!$A$140&gt;35,CT68+CS69-DB68,IF(A69&lt;'Données projet'!$A$140,$CQ$205^A69,IF(A69='Données projet'!$A$140,'Données projet'!$B$140,CT68+CS69-DB68)))</f>
        <v>309.39999999999981</v>
      </c>
      <c r="CU69" s="17">
        <f>CT69*VLOOKUP('Données projet'!$B$13,Paramètres!$A$1:$I$89,3,0)*VLOOKUP('Données projet'!$B$13,Paramètres!$A$1:$I$89,5,0)</f>
        <v>250.98527999999985</v>
      </c>
      <c r="CV69" s="13">
        <f t="shared" ref="CV69:CV132" si="95">EXP(-1.0587+0.8836*LN(CU69)+0.284)</f>
        <v>60.796875412251005</v>
      </c>
      <c r="CW69" s="20">
        <f t="shared" si="67"/>
        <v>543.02058734300351</v>
      </c>
      <c r="CX69" s="59">
        <f t="shared" si="68"/>
        <v>836.35392067633688</v>
      </c>
      <c r="CY69" s="59">
        <f ca="1">AVERAGE(OFFSET($CX$3,0,0,'Données projet'!$E$13+1,1))-AVERAGE(OFFSET($H$3,0,0,'Données projet'!$E$13+1,1))</f>
        <v>266.72672633301022</v>
      </c>
      <c r="CZ69" s="59">
        <f t="shared" ref="CZ69:CZ132" si="96">$CZ$3</f>
        <v>314.26991662544219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1.3231549178053954</v>
      </c>
      <c r="DG69" s="21">
        <f>EXP(-LN(2)/25)*DG68+(1-EXP(-LN(2)/25))/(LN(2)/25)*Calculateur!DB69*Calculateur!DD69*VLOOKUP('Données projet'!$B$13,Paramètres!$A$1:$I$89,3,0)*0.475*44/12</f>
        <v>6.2562127356085311</v>
      </c>
      <c r="DH69" s="21">
        <f>EXP(-LN(2)/2)*DH68+(1-EXP(-LN(2)/2))/(LN(2)/2)*DB69*DE69*VLOOKUP('Données projet'!$B$13,Paramètres!$A$1:$I$89,3,0)*0.475*44/12</f>
        <v>9.3499709570146422E-5</v>
      </c>
      <c r="DI69" s="22">
        <f t="shared" si="69"/>
        <v>7.5794611531234972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9.3000000000000007</v>
      </c>
      <c r="DO69" s="12">
        <f>IF('Données projet'!$A$166&gt;35,DO68+DN69-DW68,IF(A69&lt;'Données projet'!$A$166,$DL$205^A69,IF(A69='Données projet'!$A$166,'Données projet'!$B$166,DO68+DN69-DW68)))</f>
        <v>363.7999999999999</v>
      </c>
      <c r="DP69" s="17">
        <f>DO69*VLOOKUP('Données projet'!$B$14,Paramètres!$A$1:$I$89,3,0)*VLOOKUP('Données projet'!$B$14,Paramètres!$A$1:$I$89,5,0)</f>
        <v>391.59431999999987</v>
      </c>
      <c r="DQ69" s="13">
        <f t="shared" ref="DQ69:DQ132" si="97">EXP(-1.0587+0.8836*LN(DP69)+0.284)</f>
        <v>90.070441930067403</v>
      </c>
      <c r="DR69" s="20">
        <f t="shared" si="70"/>
        <v>838.89946036153367</v>
      </c>
      <c r="DS69" s="59">
        <f t="shared" si="71"/>
        <v>1132.232793694867</v>
      </c>
      <c r="DT69" s="59">
        <f ca="1">AVERAGE(OFFSET($DS$3,0,0,'Données projet'!$E$14+1,1))-AVERAGE(OFFSET($H$3,0,0,'Données projet'!$E$14+1,1))</f>
        <v>442.54137223086991</v>
      </c>
      <c r="DU69" s="59">
        <f t="shared" ref="DU69:DU132" si="98">$DU$3</f>
        <v>454.23406186660714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0.97818952852041763</v>
      </c>
      <c r="EB69" s="21">
        <f>EXP(-LN(2)/25)*EB68+(1-EXP(-LN(2)/25))/(LN(2)/25)*Calculateur!DW69*Calculateur!DY69*VLOOKUP('Données projet'!$B$14,Paramètres!$A$1:$I$89,3,0)*0.475*44/12</f>
        <v>4.2575410009734354</v>
      </c>
      <c r="EC69" s="21">
        <f>EXP(-LN(2)/2)*EC68+(1-EXP(-LN(2)/2))/(LN(2)/2)*DW69*DZ69*VLOOKUP('Données projet'!$B$14,Paramètres!$A$1:$I$89,3,0)*0.475*44/12</f>
        <v>6.8810378431123826E-5</v>
      </c>
      <c r="ED69" s="22">
        <f t="shared" si="72"/>
        <v>5.2357993398722842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201.49055911472067</v>
      </c>
      <c r="T70" s="59">
        <f t="shared" si="88"/>
        <v>403.37692064114719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35.818238727461953</v>
      </c>
      <c r="AA70" s="21">
        <f>EXP(-LN(2)/25)*AA69+(1-EXP(-LN(2)/25))/(LN(2)/25)*Calculateur!V70*Calculateur!X70*VLOOKUP('Données projet'!$B$9,Paramètres!$A$1:$I$89,3,0)*0.475*44/12</f>
        <v>24.214085038859846</v>
      </c>
      <c r="AB70" s="21">
        <f>EXP(-LN(2)/2)*AB69+(1-EXP(-LN(2)/2))/(LN(2)/2)*V70*Y70*VLOOKUP('Données projet'!$B$9,Paramètres!$A$1:$I$89,3,0)*0.475*44/12</f>
        <v>1.3841379572198252E-3</v>
      </c>
      <c r="AC70" s="22">
        <f t="shared" si="57"/>
        <v>60.033707904279012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39.000000000000057</v>
      </c>
      <c r="AJ70" s="13">
        <f>AI70*VLOOKUP('Données projet'!$B$10,Paramètres!$A$1:$I$89,3,0)*VLOOKUP('Données projet'!$B$10,Paramètres!$A$1:$I$89,5,0)</f>
        <v>34.070400000000056</v>
      </c>
      <c r="AK70" s="13">
        <f t="shared" si="89"/>
        <v>10.412633617059328</v>
      </c>
      <c r="AL70" s="20">
        <f t="shared" si="58"/>
        <v>77.474616883045101</v>
      </c>
      <c r="AM70" s="59">
        <f t="shared" si="59"/>
        <v>370.8079502163784</v>
      </c>
      <c r="AN70" s="59">
        <f ca="1">AVERAGE(OFFSET($AM$3,0,0,'Données projet'!$E$10+1,1))-AVERAGE(OFFSET($H$3,0,0,'Données projet'!$E$10+1,1))</f>
        <v>260.53994021583316</v>
      </c>
      <c r="AO70" s="59">
        <f t="shared" si="90"/>
        <v>669.20238852709122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7.9945831938175484E-4</v>
      </c>
      <c r="AX70" s="21">
        <f t="shared" si="60"/>
        <v>7.9945831938175484E-4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242.00000000000017</v>
      </c>
      <c r="BE70" s="13">
        <f>BD70*VLOOKUP('Données projet'!$B$11,Paramètres!$A$1:$I$89,3,0)*VLOOKUP('Données projet'!$B$11,Paramètres!$A$1:$I$89,5,0)</f>
        <v>245.3880000000002</v>
      </c>
      <c r="BF70" s="13">
        <f t="shared" si="91"/>
        <v>59.597282764919626</v>
      </c>
      <c r="BG70" s="20">
        <f t="shared" si="61"/>
        <v>531.18270081556864</v>
      </c>
      <c r="BH70" s="59">
        <f t="shared" si="62"/>
        <v>824.51603414890201</v>
      </c>
      <c r="BI70" s="59">
        <f ca="1">AVERAGE(OFFSET($BH$3,0,0,'Données projet'!$E$11+1,1))-AVERAGE(OFFSET($H$3,0,0,'Données projet'!$E$11+1,1))</f>
        <v>279.20364724206644</v>
      </c>
      <c r="BJ70" s="59">
        <f t="shared" si="92"/>
        <v>173.99850582760712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1.2478252683601236</v>
      </c>
      <c r="BR70" s="21">
        <f>EXP(-LN(2)/2)*BR69+(1-EXP(-LN(2)/2))/(LN(2)/2)*BL70*BO70*VLOOKUP('Données projet'!$B$11,Paramètres!$A$1:$I$89,3,0)*0.475*44/12</f>
        <v>1.8710066666061708E-5</v>
      </c>
      <c r="BS70" s="22">
        <f t="shared" si="63"/>
        <v>1.2478439784267896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242.00000000000017</v>
      </c>
      <c r="BZ70" s="13">
        <f>BY70*VLOOKUP('Données projet'!$B$12,Paramètres!$A$1:$I$89,3,0)*VLOOKUP('Données projet'!$B$12,Paramètres!$A$1:$I$89,5,0)</f>
        <v>275.58960000000019</v>
      </c>
      <c r="CA70" s="13">
        <f t="shared" si="93"/>
        <v>66.034105090666543</v>
      </c>
      <c r="CB70" s="20">
        <f t="shared" si="64"/>
        <v>594.99461969957781</v>
      </c>
      <c r="CC70" s="59">
        <f t="shared" si="65"/>
        <v>888.32795303291118</v>
      </c>
      <c r="CD70" s="59">
        <f ca="1">AVERAGE(OFFSET($CC$3,0,0,'Données projet'!$E$12+1,1))-AVERAGE(OFFSET($H$3,0,0,'Données projet'!$E$12+1,1))</f>
        <v>327.06866218660838</v>
      </c>
      <c r="CE70" s="59">
        <f t="shared" si="94"/>
        <v>202.18198935334908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1.4014037629275231</v>
      </c>
      <c r="CM70" s="21">
        <f>EXP(-LN(2)/2)*CM69+(1-EXP(-LN(2)/2))/(LN(2)/2)*CG70*CJ70*VLOOKUP('Données projet'!$B$12,Paramètres!$A$1:$I$89,3,0)*0.475*44/12</f>
        <v>2.1012844101884745E-5</v>
      </c>
      <c r="CN70" s="22">
        <f t="shared" si="66"/>
        <v>1.4014247757716249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4.9000000000000004</v>
      </c>
      <c r="CT70" s="12">
        <f>IF('Données projet'!$A$140&gt;35,CT69+CS70-DB69,IF(A70&lt;'Données projet'!$A$140,$CQ$205^A70,IF(A70='Données projet'!$A$140,'Données projet'!$B$140,CT69+CS70-DB69)))</f>
        <v>314.29999999999978</v>
      </c>
      <c r="CU70" s="17">
        <f>CT70*VLOOKUP('Données projet'!$B$13,Paramètres!$A$1:$I$89,3,0)*VLOOKUP('Données projet'!$B$13,Paramètres!$A$1:$I$89,5,0)</f>
        <v>254.96015999999983</v>
      </c>
      <c r="CV70" s="13">
        <f t="shared" si="95"/>
        <v>61.646866940336174</v>
      </c>
      <c r="CW70" s="20">
        <f t="shared" si="67"/>
        <v>551.42390525441863</v>
      </c>
      <c r="CX70" s="59">
        <f t="shared" si="68"/>
        <v>844.757238587752</v>
      </c>
      <c r="CY70" s="59">
        <f ca="1">AVERAGE(OFFSET($CX$3,0,0,'Données projet'!$E$13+1,1))-AVERAGE(OFFSET($H$3,0,0,'Données projet'!$E$13+1,1))</f>
        <v>266.72672633301022</v>
      </c>
      <c r="CZ70" s="59">
        <f t="shared" si="96"/>
        <v>314.26991662544219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1.2972086569120425</v>
      </c>
      <c r="DG70" s="21">
        <f>EXP(-LN(2)/25)*DG69+(1-EXP(-LN(2)/25))/(LN(2)/25)*Calculateur!DB70*Calculateur!DD70*VLOOKUP('Données projet'!$B$13,Paramètres!$A$1:$I$89,3,0)*0.475*44/12</f>
        <v>6.085136269353387</v>
      </c>
      <c r="DH70" s="21">
        <f>EXP(-LN(2)/2)*DH69+(1-EXP(-LN(2)/2))/(LN(2)/2)*DB70*DE70*VLOOKUP('Données projet'!$B$13,Paramètres!$A$1:$I$89,3,0)*0.475*44/12</f>
        <v>6.6114278676023268E-5</v>
      </c>
      <c r="DI70" s="22">
        <f t="shared" si="69"/>
        <v>7.3824110405441052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9.3000000000000007</v>
      </c>
      <c r="DO70" s="12">
        <f>IF('Données projet'!$A$166&gt;35,DO69+DN70-DW69,IF(A70&lt;'Données projet'!$A$166,$DL$205^A70,IF(A70='Données projet'!$A$166,'Données projet'!$B$166,DO69+DN70-DW69)))</f>
        <v>373.09999999999991</v>
      </c>
      <c r="DP70" s="17">
        <f>DO70*VLOOKUP('Données projet'!$B$14,Paramètres!$A$1:$I$89,3,0)*VLOOKUP('Données projet'!$B$14,Paramètres!$A$1:$I$89,5,0)</f>
        <v>401.60483999999985</v>
      </c>
      <c r="DQ70" s="13">
        <f t="shared" si="97"/>
        <v>92.101946043557291</v>
      </c>
      <c r="DR70" s="20">
        <f t="shared" si="70"/>
        <v>859.8726523591954</v>
      </c>
      <c r="DS70" s="59">
        <f t="shared" si="71"/>
        <v>1153.2059856925287</v>
      </c>
      <c r="DT70" s="59">
        <f ca="1">AVERAGE(OFFSET($DS$3,0,0,'Données projet'!$E$14+1,1))-AVERAGE(OFFSET($H$3,0,0,'Données projet'!$E$14+1,1))</f>
        <v>442.54137223086991</v>
      </c>
      <c r="DU70" s="59">
        <f t="shared" si="98"/>
        <v>454.23406186660714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0.95900782850283162</v>
      </c>
      <c r="EB70" s="21">
        <f>EXP(-LN(2)/25)*EB69+(1-EXP(-LN(2)/25))/(LN(2)/25)*Calculateur!DW70*Calculateur!DY70*VLOOKUP('Données projet'!$B$14,Paramètres!$A$1:$I$89,3,0)*0.475*44/12</f>
        <v>4.1411183184074662</v>
      </c>
      <c r="EC70" s="21">
        <f>EXP(-LN(2)/2)*EC69+(1-EXP(-LN(2)/2))/(LN(2)/2)*DW70*DZ70*VLOOKUP('Données projet'!$B$14,Paramètres!$A$1:$I$89,3,0)*0.475*44/12</f>
        <v>4.8656285204660205E-5</v>
      </c>
      <c r="ED70" s="22">
        <f t="shared" si="72"/>
        <v>5.1001748031955021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201.49055911472067</v>
      </c>
      <c r="T71" s="59">
        <f t="shared" si="88"/>
        <v>403.37692064114719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35.11586491298484</v>
      </c>
      <c r="AA71" s="21">
        <f>EXP(-LN(2)/25)*AA70+(1-EXP(-LN(2)/25))/(LN(2)/25)*Calculateur!V71*Calculateur!X71*VLOOKUP('Données projet'!$B$9,Paramètres!$A$1:$I$89,3,0)*0.475*44/12</f>
        <v>23.551949610108831</v>
      </c>
      <c r="AB71" s="21">
        <f>EXP(-LN(2)/2)*AB70+(1-EXP(-LN(2)/2))/(LN(2)/2)*V71*Y71*VLOOKUP('Données projet'!$B$9,Paramètres!$A$1:$I$89,3,0)*0.475*44/12</f>
        <v>9.7873333564783382E-4</v>
      </c>
      <c r="AC71" s="22">
        <f t="shared" si="57"/>
        <v>58.668793256429318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39.000000000000057</v>
      </c>
      <c r="AJ71" s="13">
        <f>AI71*VLOOKUP('Données projet'!$B$10,Paramètres!$A$1:$I$89,3,0)*VLOOKUP('Données projet'!$B$10,Paramètres!$A$1:$I$89,5,0)</f>
        <v>34.070400000000056</v>
      </c>
      <c r="AK71" s="13">
        <f t="shared" si="89"/>
        <v>10.412633617059328</v>
      </c>
      <c r="AL71" s="20">
        <f t="shared" si="58"/>
        <v>77.474616883045101</v>
      </c>
      <c r="AM71" s="59">
        <f t="shared" si="59"/>
        <v>370.8079502163784</v>
      </c>
      <c r="AN71" s="59">
        <f ca="1">AVERAGE(OFFSET($AM$3,0,0,'Données projet'!$E$10+1,1))-AVERAGE(OFFSET($H$3,0,0,'Données projet'!$E$10+1,1))</f>
        <v>260.53994021583316</v>
      </c>
      <c r="AO71" s="59">
        <f t="shared" si="90"/>
        <v>669.20238852709122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5.6530239891083953E-4</v>
      </c>
      <c r="AX71" s="21">
        <f t="shared" si="60"/>
        <v>5.6530239891083953E-4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249.00000000000017</v>
      </c>
      <c r="BE71" s="13">
        <f>BD71*VLOOKUP('Données projet'!$B$11,Paramètres!$A$1:$I$89,3,0)*VLOOKUP('Données projet'!$B$11,Paramètres!$A$1:$I$89,5,0)</f>
        <v>252.48600000000019</v>
      </c>
      <c r="BF71" s="13">
        <f t="shared" si="91"/>
        <v>61.117973383957434</v>
      </c>
      <c r="BG71" s="20">
        <f t="shared" si="61"/>
        <v>546.19358697705945</v>
      </c>
      <c r="BH71" s="59">
        <f t="shared" si="62"/>
        <v>839.52692031039282</v>
      </c>
      <c r="BI71" s="59">
        <f ca="1">AVERAGE(OFFSET($BH$3,0,0,'Données projet'!$E$11+1,1))-AVERAGE(OFFSET($H$3,0,0,'Données projet'!$E$11+1,1))</f>
        <v>279.20364724206644</v>
      </c>
      <c r="BJ71" s="59">
        <f t="shared" si="92"/>
        <v>173.99850582760712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1.2137034207765371</v>
      </c>
      <c r="BR71" s="21">
        <f>EXP(-LN(2)/2)*BR70+(1-EXP(-LN(2)/2))/(LN(2)/2)*BL71*BO71*VLOOKUP('Données projet'!$B$11,Paramètres!$A$1:$I$89,3,0)*0.475*44/12</f>
        <v>1.3230015016024613E-5</v>
      </c>
      <c r="BS71" s="22">
        <f t="shared" si="63"/>
        <v>1.2137166507915531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249.00000000000017</v>
      </c>
      <c r="BZ71" s="13">
        <f>BY71*VLOOKUP('Données projet'!$B$12,Paramètres!$A$1:$I$89,3,0)*VLOOKUP('Données projet'!$B$12,Paramètres!$A$1:$I$89,5,0)</f>
        <v>283.56120000000021</v>
      </c>
      <c r="CA71" s="13">
        <f t="shared" si="93"/>
        <v>67.719038354218654</v>
      </c>
      <c r="CB71" s="20">
        <f t="shared" si="64"/>
        <v>611.81308180026451</v>
      </c>
      <c r="CC71" s="59">
        <f t="shared" si="65"/>
        <v>905.14641513359788</v>
      </c>
      <c r="CD71" s="59">
        <f ca="1">AVERAGE(OFFSET($CC$3,0,0,'Données projet'!$E$12+1,1))-AVERAGE(OFFSET($H$3,0,0,'Données projet'!$E$12+1,1))</f>
        <v>327.06866218660838</v>
      </c>
      <c r="CE71" s="59">
        <f t="shared" si="94"/>
        <v>202.18198935334908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1.363082303333649</v>
      </c>
      <c r="CM71" s="21">
        <f>EXP(-LN(2)/2)*CM70+(1-EXP(-LN(2)/2))/(LN(2)/2)*CG71*CJ71*VLOOKUP('Données projet'!$B$12,Paramètres!$A$1:$I$89,3,0)*0.475*44/12</f>
        <v>1.4858324556458453E-5</v>
      </c>
      <c r="CN71" s="22">
        <f t="shared" si="66"/>
        <v>1.3630971616582055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4.9000000000000004</v>
      </c>
      <c r="CT71" s="12">
        <f>IF('Données projet'!$A$140&gt;35,CT70+CS71-DB70,IF(A71&lt;'Données projet'!$A$140,$CQ$205^A71,IF(A71='Données projet'!$A$140,'Données projet'!$B$140,CT70+CS71-DB70)))</f>
        <v>319.19999999999976</v>
      </c>
      <c r="CU71" s="17">
        <f>CT71*VLOOKUP('Données projet'!$B$13,Paramètres!$A$1:$I$89,3,0)*VLOOKUP('Données projet'!$B$13,Paramètres!$A$1:$I$89,5,0)</f>
        <v>258.93503999999984</v>
      </c>
      <c r="CV71" s="13">
        <f t="shared" si="95"/>
        <v>62.495317322077085</v>
      </c>
      <c r="CW71" s="20">
        <f t="shared" si="67"/>
        <v>559.82453900261726</v>
      </c>
      <c r="CX71" s="59">
        <f t="shared" si="68"/>
        <v>853.15787233595051</v>
      </c>
      <c r="CY71" s="59">
        <f ca="1">AVERAGE(OFFSET($CX$3,0,0,'Données projet'!$E$13+1,1))-AVERAGE(OFFSET($H$3,0,0,'Données projet'!$E$13+1,1))</f>
        <v>266.72672633301022</v>
      </c>
      <c r="CZ71" s="59">
        <f t="shared" si="96"/>
        <v>314.26991662544219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1.2717711863691517</v>
      </c>
      <c r="DG71" s="21">
        <f>EXP(-LN(2)/25)*DG70+(1-EXP(-LN(2)/25))/(LN(2)/25)*Calculateur!DB71*Calculateur!DD71*VLOOKUP('Données projet'!$B$13,Paramètres!$A$1:$I$89,3,0)*0.475*44/12</f>
        <v>5.91873789806451</v>
      </c>
      <c r="DH71" s="21">
        <f>EXP(-LN(2)/2)*DH70+(1-EXP(-LN(2)/2))/(LN(2)/2)*DB71*DE71*VLOOKUP('Données projet'!$B$13,Paramètres!$A$1:$I$89,3,0)*0.475*44/12</f>
        <v>4.6749854785073211E-5</v>
      </c>
      <c r="DI71" s="22">
        <f t="shared" si="69"/>
        <v>7.1905558342884461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9.3000000000000007</v>
      </c>
      <c r="DO71" s="12">
        <f>IF('Données projet'!$A$166&gt;35,DO70+DN71-DW70,IF(A71&lt;'Données projet'!$A$166,$DL$205^A71,IF(A71='Données projet'!$A$166,'Données projet'!$B$166,DO70+DN71-DW70)))</f>
        <v>382.39999999999992</v>
      </c>
      <c r="DP71" s="17">
        <f>DO71*VLOOKUP('Données projet'!$B$14,Paramètres!$A$1:$I$89,3,0)*VLOOKUP('Données projet'!$B$14,Paramètres!$A$1:$I$89,5,0)</f>
        <v>411.6153599999999</v>
      </c>
      <c r="DQ71" s="13">
        <f t="shared" si="97"/>
        <v>94.127563807697129</v>
      </c>
      <c r="DR71" s="20">
        <f t="shared" si="70"/>
        <v>880.83559229840557</v>
      </c>
      <c r="DS71" s="59">
        <f t="shared" si="71"/>
        <v>1174.1689256317388</v>
      </c>
      <c r="DT71" s="59">
        <f ca="1">AVERAGE(OFFSET($DS$3,0,0,'Données projet'!$E$14+1,1))-AVERAGE(OFFSET($H$3,0,0,'Données projet'!$E$14+1,1))</f>
        <v>442.54137223086991</v>
      </c>
      <c r="DU71" s="59">
        <f t="shared" si="98"/>
        <v>454.23406186660714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0.94020226992290878</v>
      </c>
      <c r="EB71" s="21">
        <f>EXP(-LN(2)/25)*EB70+(1-EXP(-LN(2)/25))/(LN(2)/25)*Calculateur!DW71*Calculateur!DY71*VLOOKUP('Données projet'!$B$14,Paramètres!$A$1:$I$89,3,0)*0.475*44/12</f>
        <v>4.027879220218666</v>
      </c>
      <c r="EC71" s="21">
        <f>EXP(-LN(2)/2)*EC70+(1-EXP(-LN(2)/2))/(LN(2)/2)*DW71*DZ71*VLOOKUP('Données projet'!$B$14,Paramètres!$A$1:$I$89,3,0)*0.475*44/12</f>
        <v>3.4405189215561913E-5</v>
      </c>
      <c r="ED71" s="22">
        <f t="shared" si="72"/>
        <v>4.9681158953307909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201.49055911472067</v>
      </c>
      <c r="T72" s="59">
        <f t="shared" si="88"/>
        <v>403.37692064114719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34.427264220603895</v>
      </c>
      <c r="AA72" s="21">
        <f>EXP(-LN(2)/25)*AA71+(1-EXP(-LN(2)/25))/(LN(2)/25)*Calculateur!V72*Calculateur!X72*VLOOKUP('Données projet'!$B$9,Paramètres!$A$1:$I$89,3,0)*0.475*44/12</f>
        <v>22.907920309477205</v>
      </c>
      <c r="AB72" s="21">
        <f>EXP(-LN(2)/2)*AB71+(1-EXP(-LN(2)/2))/(LN(2)/2)*V72*Y72*VLOOKUP('Données projet'!$B$9,Paramètres!$A$1:$I$89,3,0)*0.475*44/12</f>
        <v>6.9206897860991262E-4</v>
      </c>
      <c r="AC72" s="22">
        <f t="shared" si="57"/>
        <v>57.335876599059709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39.000000000000057</v>
      </c>
      <c r="AJ72" s="13">
        <f>AI72*VLOOKUP('Données projet'!$B$10,Paramètres!$A$1:$I$89,3,0)*VLOOKUP('Données projet'!$B$10,Paramètres!$A$1:$I$89,5,0)</f>
        <v>34.070400000000056</v>
      </c>
      <c r="AK72" s="13">
        <f t="shared" si="89"/>
        <v>10.412633617059328</v>
      </c>
      <c r="AL72" s="20">
        <f t="shared" si="58"/>
        <v>77.474616883045101</v>
      </c>
      <c r="AM72" s="59">
        <f t="shared" si="59"/>
        <v>370.8079502163784</v>
      </c>
      <c r="AN72" s="59">
        <f ca="1">AVERAGE(OFFSET($AM$3,0,0,'Données projet'!$E$10+1,1))-AVERAGE(OFFSET($H$3,0,0,'Données projet'!$E$10+1,1))</f>
        <v>260.53994021583316</v>
      </c>
      <c r="AO72" s="59">
        <f t="shared" si="90"/>
        <v>669.20238852709122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3.9972915969087742E-4</v>
      </c>
      <c r="AX72" s="21">
        <f t="shared" si="60"/>
        <v>3.9972915969087742E-4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256.00000000000017</v>
      </c>
      <c r="BE72" s="13">
        <f>BD72*VLOOKUP('Données projet'!$B$11,Paramètres!$A$1:$I$89,3,0)*VLOOKUP('Données projet'!$B$11,Paramètres!$A$1:$I$89,5,0)</f>
        <v>259.58400000000017</v>
      </c>
      <c r="BF72" s="13">
        <f t="shared" si="91"/>
        <v>62.63369530482359</v>
      </c>
      <c r="BG72" s="20">
        <f t="shared" si="61"/>
        <v>561.19581932256801</v>
      </c>
      <c r="BH72" s="59">
        <f t="shared" si="62"/>
        <v>854.52915265590127</v>
      </c>
      <c r="BI72" s="59">
        <f ca="1">AVERAGE(OFFSET($BH$3,0,0,'Données projet'!$E$11+1,1))-AVERAGE(OFFSET($H$3,0,0,'Données projet'!$E$11+1,1))</f>
        <v>279.20364724206644</v>
      </c>
      <c r="BJ72" s="59">
        <f t="shared" si="92"/>
        <v>173.99850582760712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1.1805146369095139</v>
      </c>
      <c r="BR72" s="21">
        <f>EXP(-LN(2)/2)*BR71+(1-EXP(-LN(2)/2))/(LN(2)/2)*BL72*BO72*VLOOKUP('Données projet'!$B$11,Paramètres!$A$1:$I$89,3,0)*0.475*44/12</f>
        <v>9.3550333330308539E-6</v>
      </c>
      <c r="BS72" s="22">
        <f t="shared" si="63"/>
        <v>1.180523991942847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256.00000000000017</v>
      </c>
      <c r="BZ72" s="13">
        <f>BY72*VLOOKUP('Données projet'!$B$12,Paramètres!$A$1:$I$89,3,0)*VLOOKUP('Données projet'!$B$12,Paramètres!$A$1:$I$89,5,0)</f>
        <v>291.53280000000018</v>
      </c>
      <c r="CA72" s="13">
        <f t="shared" si="93"/>
        <v>69.398466273869005</v>
      </c>
      <c r="CB72" s="20">
        <f t="shared" si="64"/>
        <v>628.62195542698885</v>
      </c>
      <c r="CC72" s="59">
        <f t="shared" si="65"/>
        <v>921.95528876032222</v>
      </c>
      <c r="CD72" s="59">
        <f ca="1">AVERAGE(OFFSET($CC$3,0,0,'Données projet'!$E$12+1,1))-AVERAGE(OFFSET($H$3,0,0,'Données projet'!$E$12+1,1))</f>
        <v>327.06866218660838</v>
      </c>
      <c r="CE72" s="59">
        <f t="shared" si="94"/>
        <v>202.18198935334908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1.3258087460676073</v>
      </c>
      <c r="CM72" s="21">
        <f>EXP(-LN(2)/2)*CM71+(1-EXP(-LN(2)/2))/(LN(2)/2)*CG72*CJ72*VLOOKUP('Données projet'!$B$12,Paramètres!$A$1:$I$89,3,0)*0.475*44/12</f>
        <v>1.0506422050942374E-5</v>
      </c>
      <c r="CN72" s="22">
        <f t="shared" si="66"/>
        <v>1.3258192524896584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4.9000000000000004</v>
      </c>
      <c r="CT72" s="12">
        <f>IF('Données projet'!$A$140&gt;35,CT71+CS72-DB71,IF(A72&lt;'Données projet'!$A$140,$CQ$205^A72,IF(A72='Données projet'!$A$140,'Données projet'!$B$140,CT71+CS72-DB71)))</f>
        <v>324.09999999999974</v>
      </c>
      <c r="CU72" s="17">
        <f>CT72*VLOOKUP('Données projet'!$B$13,Paramètres!$A$1:$I$89,3,0)*VLOOKUP('Données projet'!$B$13,Paramètres!$A$1:$I$89,5,0)</f>
        <v>262.90991999999983</v>
      </c>
      <c r="CV72" s="13">
        <f t="shared" si="95"/>
        <v>63.342252947711806</v>
      </c>
      <c r="CW72" s="20">
        <f t="shared" si="67"/>
        <v>568.22253455059774</v>
      </c>
      <c r="CX72" s="59">
        <f t="shared" si="68"/>
        <v>861.55586788393111</v>
      </c>
      <c r="CY72" s="59">
        <f ca="1">AVERAGE(OFFSET($CX$3,0,0,'Données projet'!$E$13+1,1))-AVERAGE(OFFSET($H$3,0,0,'Données projet'!$E$13+1,1))</f>
        <v>266.72672633301022</v>
      </c>
      <c r="CZ72" s="59">
        <f t="shared" si="96"/>
        <v>314.26991662544219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1.2468325291082818</v>
      </c>
      <c r="DG72" s="21">
        <f>EXP(-LN(2)/25)*DG71+(1-EXP(-LN(2)/25))/(LN(2)/25)*Calculateur!DB72*Calculateur!DD72*VLOOKUP('Données projet'!$B$13,Paramètres!$A$1:$I$89,3,0)*0.475*44/12</f>
        <v>5.7568896989890375</v>
      </c>
      <c r="DH72" s="21">
        <f>EXP(-LN(2)/2)*DH71+(1-EXP(-LN(2)/2))/(LN(2)/2)*DB72*DE72*VLOOKUP('Données projet'!$B$13,Paramètres!$A$1:$I$89,3,0)*0.475*44/12</f>
        <v>3.3057139338011634E-5</v>
      </c>
      <c r="DI72" s="22">
        <f t="shared" si="69"/>
        <v>7.0037552852366574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9.3000000000000007</v>
      </c>
      <c r="DO72" s="12">
        <f>IF('Données projet'!$A$166&gt;35,DO71+DN72-DW71,IF(A72&lt;'Données projet'!$A$166,$DL$205^A72,IF(A72='Données projet'!$A$166,'Données projet'!$B$166,DO71+DN72-DW71)))</f>
        <v>391.69999999999993</v>
      </c>
      <c r="DP72" s="17">
        <f>DO72*VLOOKUP('Données projet'!$B$14,Paramètres!$A$1:$I$89,3,0)*VLOOKUP('Données projet'!$B$14,Paramètres!$A$1:$I$89,5,0)</f>
        <v>421.62587999999988</v>
      </c>
      <c r="DQ72" s="13">
        <f t="shared" si="97"/>
        <v>96.147454848235981</v>
      </c>
      <c r="DR72" s="20">
        <f t="shared" si="70"/>
        <v>901.78855819401076</v>
      </c>
      <c r="DS72" s="59">
        <f t="shared" si="71"/>
        <v>1195.1218915273441</v>
      </c>
      <c r="DT72" s="59">
        <f ca="1">AVERAGE(OFFSET($DS$3,0,0,'Données projet'!$E$14+1,1))-AVERAGE(OFFSET($H$3,0,0,'Données projet'!$E$14+1,1))</f>
        <v>442.54137223086991</v>
      </c>
      <c r="DU72" s="59">
        <f t="shared" si="98"/>
        <v>454.23406186660714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0.92176547687648003</v>
      </c>
      <c r="EB72" s="21">
        <f>EXP(-LN(2)/25)*EB71+(1-EXP(-LN(2)/25))/(LN(2)/25)*Calculateur!DW72*Calculateur!DY72*VLOOKUP('Données projet'!$B$14,Paramètres!$A$1:$I$89,3,0)*0.475*44/12</f>
        <v>3.9177366511248244</v>
      </c>
      <c r="EC72" s="21">
        <f>EXP(-LN(2)/2)*EC71+(1-EXP(-LN(2)/2))/(LN(2)/2)*DW72*DZ72*VLOOKUP('Données projet'!$B$14,Paramètres!$A$1:$I$89,3,0)*0.475*44/12</f>
        <v>2.4328142602330103E-5</v>
      </c>
      <c r="ED72" s="22">
        <f t="shared" si="72"/>
        <v>4.8395264561439069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201.49055911472067</v>
      </c>
      <c r="T73" s="59">
        <f t="shared" si="88"/>
        <v>403.37692064114719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33.752166567795591</v>
      </c>
      <c r="AA73" s="21">
        <f>EXP(-LN(2)/25)*AA72+(1-EXP(-LN(2)/25))/(LN(2)/25)*Calculateur!V73*Calculateur!X73*VLOOKUP('Données projet'!$B$9,Paramètres!$A$1:$I$89,3,0)*0.475*44/12</f>
        <v>22.281502023939378</v>
      </c>
      <c r="AB73" s="21">
        <f>EXP(-LN(2)/2)*AB72+(1-EXP(-LN(2)/2))/(LN(2)/2)*V73*Y73*VLOOKUP('Données projet'!$B$9,Paramètres!$A$1:$I$89,3,0)*0.475*44/12</f>
        <v>4.8936666782391691E-4</v>
      </c>
      <c r="AC73" s="22">
        <f t="shared" si="57"/>
        <v>56.034157958402787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39.000000000000057</v>
      </c>
      <c r="AJ73" s="13">
        <f>AI73*VLOOKUP('Données projet'!$B$10,Paramètres!$A$1:$I$89,3,0)*VLOOKUP('Données projet'!$B$10,Paramètres!$A$1:$I$89,5,0)</f>
        <v>34.070400000000056</v>
      </c>
      <c r="AK73" s="13">
        <f t="shared" si="89"/>
        <v>10.412633617059328</v>
      </c>
      <c r="AL73" s="20">
        <f t="shared" si="58"/>
        <v>77.474616883045101</v>
      </c>
      <c r="AM73" s="59">
        <f t="shared" si="59"/>
        <v>370.8079502163784</v>
      </c>
      <c r="AN73" s="59">
        <f ca="1">AVERAGE(OFFSET($AM$3,0,0,'Données projet'!$E$10+1,1))-AVERAGE(OFFSET($H$3,0,0,'Données projet'!$E$10+1,1))</f>
        <v>260.53994021583316</v>
      </c>
      <c r="AO73" s="59">
        <f t="shared" si="90"/>
        <v>669.20238852709122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2.8265119945541977E-4</v>
      </c>
      <c r="AX73" s="21">
        <f t="shared" si="60"/>
        <v>2.8265119945541977E-4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263.00000000000017</v>
      </c>
      <c r="BE73" s="13">
        <f>BD73*VLOOKUP('Données projet'!$B$11,Paramètres!$A$1:$I$89,3,0)*VLOOKUP('Données projet'!$B$11,Paramètres!$A$1:$I$89,5,0)</f>
        <v>266.68200000000019</v>
      </c>
      <c r="BF73" s="13">
        <f t="shared" si="91"/>
        <v>64.144600001897828</v>
      </c>
      <c r="BG73" s="20">
        <f t="shared" si="61"/>
        <v>576.18966166997234</v>
      </c>
      <c r="BH73" s="59">
        <f t="shared" si="62"/>
        <v>869.5229950033056</v>
      </c>
      <c r="BI73" s="59">
        <f ca="1">AVERAGE(OFFSET($BH$3,0,0,'Données projet'!$E$11+1,1))-AVERAGE(OFFSET($H$3,0,0,'Données projet'!$E$11+1,1))</f>
        <v>279.20364724206644</v>
      </c>
      <c r="BJ73" s="59">
        <f t="shared" si="92"/>
        <v>173.99850582760712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1.1482334020826566</v>
      </c>
      <c r="BR73" s="21">
        <f>EXP(-LN(2)/2)*BR72+(1-EXP(-LN(2)/2))/(LN(2)/2)*BL73*BO73*VLOOKUP('Données projet'!$B$11,Paramètres!$A$1:$I$89,3,0)*0.475*44/12</f>
        <v>6.6150075080123064E-6</v>
      </c>
      <c r="BS73" s="22">
        <f t="shared" si="63"/>
        <v>1.1482400170901645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263.00000000000017</v>
      </c>
      <c r="BZ73" s="13">
        <f>BY73*VLOOKUP('Données projet'!$B$12,Paramètres!$A$1:$I$89,3,0)*VLOOKUP('Données projet'!$B$12,Paramètres!$A$1:$I$89,5,0)</f>
        <v>299.5044000000002</v>
      </c>
      <c r="CA73" s="13">
        <f t="shared" si="93"/>
        <v>71.072556684032961</v>
      </c>
      <c r="CB73" s="20">
        <f t="shared" si="64"/>
        <v>645.42153289135774</v>
      </c>
      <c r="CC73" s="59">
        <f t="shared" si="65"/>
        <v>938.75486622469111</v>
      </c>
      <c r="CD73" s="59">
        <f ca="1">AVERAGE(OFFSET($CC$3,0,0,'Données projet'!$E$12+1,1))-AVERAGE(OFFSET($H$3,0,0,'Données projet'!$E$12+1,1))</f>
        <v>327.06866218660838</v>
      </c>
      <c r="CE73" s="59">
        <f t="shared" si="94"/>
        <v>202.18198935334908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1.2895544361851368</v>
      </c>
      <c r="CM73" s="21">
        <f>EXP(-LN(2)/2)*CM72+(1-EXP(-LN(2)/2))/(LN(2)/2)*CG73*CJ73*VLOOKUP('Données projet'!$B$12,Paramètres!$A$1:$I$89,3,0)*0.475*44/12</f>
        <v>7.429162278229228E-6</v>
      </c>
      <c r="CN73" s="22">
        <f t="shared" si="66"/>
        <v>1.289561865347415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329</v>
      </c>
      <c r="CR73" s="12">
        <f>VLOOKUP(A73,'Données projet'!$A$139:$I$159,9,0)</f>
        <v>4.9000000000000004</v>
      </c>
      <c r="CS73" s="12">
        <f t="array" ref="CS73">INDEX(CR:CR,MIN(IF(ISNUMBER(CR73:CR269),ROW(CR73:CR269),"")))</f>
        <v>4.9000000000000004</v>
      </c>
      <c r="CT73" s="12">
        <f>IF('Données projet'!$A$140&gt;35,CT72+CS73-DB72,IF(A73&lt;'Données projet'!$A$140,$CQ$205^A73,IF(A73='Données projet'!$A$140,'Données projet'!$B$140,CT72+CS73-DB72)))</f>
        <v>328.99999999999972</v>
      </c>
      <c r="CU73" s="17">
        <f>CT73*VLOOKUP('Données projet'!$B$13,Paramètres!$A$1:$I$89,3,0)*VLOOKUP('Données projet'!$B$13,Paramètres!$A$1:$I$89,5,0)</f>
        <v>266.88479999999981</v>
      </c>
      <c r="CV73" s="13">
        <f t="shared" si="95"/>
        <v>64.187699363705633</v>
      </c>
      <c r="CW73" s="20">
        <f t="shared" si="67"/>
        <v>576.617936391787</v>
      </c>
      <c r="CX73" s="59">
        <f t="shared" si="68"/>
        <v>869.95126972512026</v>
      </c>
      <c r="CY73" s="59">
        <f ca="1">AVERAGE(OFFSET($CX$3,0,0,'Données projet'!$E$13+1,1))-AVERAGE(OFFSET($H$3,0,0,'Données projet'!$E$13+1,1))</f>
        <v>266.72672633301022</v>
      </c>
      <c r="CZ73" s="59">
        <f t="shared" si="96"/>
        <v>314.26991662544219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26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1.2223829037052187</v>
      </c>
      <c r="DG73" s="21">
        <f>EXP(-LN(2)/25)*DG72+(1-EXP(-LN(2)/25))/(LN(2)/25)*Calculateur!DB73*Calculateur!DD73*VLOOKUP('Données projet'!$B$13,Paramètres!$A$1:$I$89,3,0)*0.475*44/12</f>
        <v>5.5994672474285103</v>
      </c>
      <c r="DH73" s="21">
        <f>EXP(-LN(2)/2)*DH72+(1-EXP(-LN(2)/2))/(LN(2)/2)*DB73*DE73*VLOOKUP('Données projet'!$B$13,Paramètres!$A$1:$I$89,3,0)*0.475*44/12</f>
        <v>2.3374927392536605E-5</v>
      </c>
      <c r="DI73" s="22">
        <f t="shared" si="69"/>
        <v>6.8218735260611219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401</v>
      </c>
      <c r="DM73" s="12">
        <f>VLOOKUP(A73,'Données projet'!$A$165:$I$185,9,0)</f>
        <v>9.3000000000000007</v>
      </c>
      <c r="DN73" s="12">
        <f t="array" ref="DN73">INDEX(DM:DM,MIN(IF(ISNUMBER(DM73:DM269),ROW(DM73:DM269),"")))</f>
        <v>9.3000000000000007</v>
      </c>
      <c r="DO73" s="12">
        <f>IF('Données projet'!$A$166&gt;35,DO72+DN73-DW72,IF(A73&lt;'Données projet'!$A$166,$DL$205^A73,IF(A73='Données projet'!$A$166,'Données projet'!$B$166,DO72+DN73-DW72)))</f>
        <v>400.99999999999994</v>
      </c>
      <c r="DP73" s="17">
        <f>DO73*VLOOKUP('Données projet'!$B$14,Paramètres!$A$1:$I$89,3,0)*VLOOKUP('Données projet'!$B$14,Paramètres!$A$1:$I$89,5,0)</f>
        <v>431.63639999999992</v>
      </c>
      <c r="DQ73" s="13">
        <f t="shared" si="97"/>
        <v>98.16177077870087</v>
      </c>
      <c r="DR73" s="20">
        <f t="shared" si="70"/>
        <v>922.73181410623704</v>
      </c>
      <c r="DS73" s="59">
        <f t="shared" si="71"/>
        <v>1216.0651474395704</v>
      </c>
      <c r="DT73" s="59">
        <f ca="1">AVERAGE(OFFSET($DS$3,0,0,'Données projet'!$E$14+1,1))-AVERAGE(OFFSET($H$3,0,0,'Données projet'!$E$14+1,1))</f>
        <v>442.54137223086991</v>
      </c>
      <c r="DU73" s="59">
        <f t="shared" si="98"/>
        <v>454.23406186660714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69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0.90369021809635841</v>
      </c>
      <c r="EB73" s="21">
        <f>EXP(-LN(2)/25)*EB72+(1-EXP(-LN(2)/25))/(LN(2)/25)*Calculateur!DW73*Calculateur!DY73*VLOOKUP('Données projet'!$B$14,Paramètres!$A$1:$I$89,3,0)*0.475*44/12</f>
        <v>3.8106059363749996</v>
      </c>
      <c r="EC73" s="21">
        <f>EXP(-LN(2)/2)*EC72+(1-EXP(-LN(2)/2))/(LN(2)/2)*DW73*DZ73*VLOOKUP('Données projet'!$B$14,Paramètres!$A$1:$I$89,3,0)*0.475*44/12</f>
        <v>1.7202594607780957E-5</v>
      </c>
      <c r="ED73" s="22">
        <f t="shared" si="72"/>
        <v>4.714313357065965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201.49055911472067</v>
      </c>
      <c r="T74" s="59">
        <f t="shared" si="88"/>
        <v>403.37692064114719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33.090307168189952</v>
      </c>
      <c r="AA74" s="21">
        <f>EXP(-LN(2)/25)*AA73+(1-EXP(-LN(2)/25))/(LN(2)/25)*Calculateur!V74*Calculateur!X74*VLOOKUP('Données projet'!$B$9,Paramètres!$A$1:$I$89,3,0)*0.475*44/12</f>
        <v>21.672213179361488</v>
      </c>
      <c r="AB74" s="21">
        <f>EXP(-LN(2)/2)*AB73+(1-EXP(-LN(2)/2))/(LN(2)/2)*V74*Y74*VLOOKUP('Données projet'!$B$9,Paramètres!$A$1:$I$89,3,0)*0.475*44/12</f>
        <v>3.4603448930495631E-4</v>
      </c>
      <c r="AC74" s="22">
        <f t="shared" si="57"/>
        <v>54.762866382040748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39.000000000000057</v>
      </c>
      <c r="AJ74" s="13">
        <f>AI74*VLOOKUP('Données projet'!$B$10,Paramètres!$A$1:$I$89,3,0)*VLOOKUP('Données projet'!$B$10,Paramètres!$A$1:$I$89,5,0)</f>
        <v>34.070400000000056</v>
      </c>
      <c r="AK74" s="13">
        <f t="shared" si="89"/>
        <v>10.412633617059328</v>
      </c>
      <c r="AL74" s="20">
        <f t="shared" si="58"/>
        <v>77.474616883045101</v>
      </c>
      <c r="AM74" s="59">
        <f t="shared" si="59"/>
        <v>370.8079502163784</v>
      </c>
      <c r="AN74" s="59">
        <f ca="1">AVERAGE(OFFSET($AM$3,0,0,'Données projet'!$E$10+1,1))-AVERAGE(OFFSET($H$3,0,0,'Données projet'!$E$10+1,1))</f>
        <v>260.53994021583316</v>
      </c>
      <c r="AO74" s="59">
        <f t="shared" si="90"/>
        <v>669.20238852709122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1.9986457984543871E-4</v>
      </c>
      <c r="AX74" s="21">
        <f t="shared" si="60"/>
        <v>1.9986457984543871E-4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6.1</v>
      </c>
      <c r="BD74" s="12">
        <f>IF('Données projet'!$A$88&gt;35,BD73+BC74-BL73,IF(A74&lt;'Données projet'!$A$88,$BA$205^A74,IF(A74='Données projet'!$A$88,'Données projet'!$B$88,BD73+BC74-BL73)))</f>
        <v>227.10000000000019</v>
      </c>
      <c r="BE74" s="13">
        <f>BD74*VLOOKUP('Données projet'!$B$11,Paramètres!$A$1:$I$89,3,0)*VLOOKUP('Données projet'!$B$11,Paramètres!$A$1:$I$89,5,0)</f>
        <v>230.27940000000021</v>
      </c>
      <c r="BF74" s="13">
        <f t="shared" si="91"/>
        <v>56.34309007423694</v>
      </c>
      <c r="BG74" s="20">
        <f t="shared" si="61"/>
        <v>499.20083687929633</v>
      </c>
      <c r="BH74" s="59">
        <f t="shared" si="62"/>
        <v>792.53417021262965</v>
      </c>
      <c r="BI74" s="59">
        <f ca="1">AVERAGE(OFFSET($BH$3,0,0,'Données projet'!$E$11+1,1))-AVERAGE(OFFSET($H$3,0,0,'Données projet'!$E$11+1,1))</f>
        <v>279.20364724206644</v>
      </c>
      <c r="BJ74" s="59">
        <f t="shared" si="92"/>
        <v>173.99850582760712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1.1168348993197361</v>
      </c>
      <c r="BR74" s="21">
        <f>EXP(-LN(2)/2)*BR73+(1-EXP(-LN(2)/2))/(LN(2)/2)*BL74*BO74*VLOOKUP('Données projet'!$B$11,Paramètres!$A$1:$I$89,3,0)*0.475*44/12</f>
        <v>4.677516666515427E-6</v>
      </c>
      <c r="BS74" s="22">
        <f t="shared" si="63"/>
        <v>1.1168395768364026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227.10000000000019</v>
      </c>
      <c r="BZ74" s="13">
        <f>BY74*VLOOKUP('Données projet'!$B$12,Paramètres!$A$1:$I$89,3,0)*VLOOKUP('Données projet'!$B$12,Paramètres!$A$1:$I$89,5,0)</f>
        <v>258.62148000000019</v>
      </c>
      <c r="CA74" s="13">
        <f t="shared" si="93"/>
        <v>62.428442346453139</v>
      </c>
      <c r="CB74" s="20">
        <f t="shared" si="64"/>
        <v>559.16194808673959</v>
      </c>
      <c r="CC74" s="59">
        <f t="shared" si="65"/>
        <v>852.49528142007284</v>
      </c>
      <c r="CD74" s="59">
        <f ca="1">AVERAGE(OFFSET($CC$3,0,0,'Données projet'!$E$12+1,1))-AVERAGE(OFFSET($H$3,0,0,'Données projet'!$E$12+1,1))</f>
        <v>327.06866218660838</v>
      </c>
      <c r="CE74" s="59">
        <f t="shared" si="94"/>
        <v>202.18198935334908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1.2542915023129337</v>
      </c>
      <c r="CM74" s="21">
        <f>EXP(-LN(2)/2)*CM73+(1-EXP(-LN(2)/2))/(LN(2)/2)*CG74*CJ74*VLOOKUP('Données projet'!$B$12,Paramètres!$A$1:$I$89,3,0)*0.475*44/12</f>
        <v>5.2532110254711879E-6</v>
      </c>
      <c r="CN74" s="22">
        <f t="shared" si="66"/>
        <v>1.2542967555239593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3.9</v>
      </c>
      <c r="CT74" s="12">
        <f>IF('Données projet'!$A$140&gt;35,CT73+CS74-DB73,IF(A74&lt;'Données projet'!$A$140,$CQ$205^A74,IF(A74='Données projet'!$A$140,'Données projet'!$B$140,CT73+CS74-DB73)))</f>
        <v>306.89999999999969</v>
      </c>
      <c r="CU74" s="17">
        <f>CT74*VLOOKUP('Données projet'!$B$13,Paramètres!$A$1:$I$89,3,0)*VLOOKUP('Données projet'!$B$13,Paramètres!$A$1:$I$89,5,0)</f>
        <v>248.95727999999977</v>
      </c>
      <c r="CV74" s="13">
        <f t="shared" si="95"/>
        <v>60.362603772817359</v>
      </c>
      <c r="CW74" s="20">
        <f t="shared" si="67"/>
        <v>538.73213090432318</v>
      </c>
      <c r="CX74" s="59">
        <f t="shared" si="68"/>
        <v>832.06546423765644</v>
      </c>
      <c r="CY74" s="59">
        <f ca="1">AVERAGE(OFFSET($CX$3,0,0,'Données projet'!$E$13+1,1))-AVERAGE(OFFSET($H$3,0,0,'Données projet'!$E$13+1,1))</f>
        <v>266.72672633301022</v>
      </c>
      <c r="CZ74" s="59">
        <f t="shared" si="96"/>
        <v>314.26991662544219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1.1984127205435107</v>
      </c>
      <c r="DG74" s="21">
        <f>EXP(-LN(2)/25)*DG73+(1-EXP(-LN(2)/25))/(LN(2)/25)*Calculateur!DB74*Calculateur!DD74*VLOOKUP('Données projet'!$B$13,Paramètres!$A$1:$I$89,3,0)*0.475*44/12</f>
        <v>5.4463495210843931</v>
      </c>
      <c r="DH74" s="21">
        <f>EXP(-LN(2)/2)*DH73+(1-EXP(-LN(2)/2))/(LN(2)/2)*DB74*DE74*VLOOKUP('Données projet'!$B$13,Paramètres!$A$1:$I$89,3,0)*0.475*44/12</f>
        <v>1.6528569669005817E-5</v>
      </c>
      <c r="DI74" s="22">
        <f t="shared" si="69"/>
        <v>6.6447787701975729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</v>
      </c>
      <c r="DO74" s="12">
        <f>IF('Données projet'!$A$166&gt;35,DO73+DN74-DW73,IF(A74&lt;'Données projet'!$A$166,$DL$205^A74,IF(A74='Données projet'!$A$166,'Données projet'!$B$166,DO73+DN74-DW73)))</f>
        <v>339.99999999999994</v>
      </c>
      <c r="DP74" s="17">
        <f>DO74*VLOOKUP('Données projet'!$B$14,Paramètres!$A$1:$I$89,3,0)*VLOOKUP('Données projet'!$B$14,Paramètres!$A$1:$I$89,5,0)</f>
        <v>365.97599999999994</v>
      </c>
      <c r="DQ74" s="13">
        <f t="shared" si="97"/>
        <v>84.843541364532598</v>
      </c>
      <c r="DR74" s="20">
        <f t="shared" si="70"/>
        <v>785.17736787656077</v>
      </c>
      <c r="DS74" s="59">
        <f t="shared" si="71"/>
        <v>1078.510701209894</v>
      </c>
      <c r="DT74" s="59">
        <f ca="1">AVERAGE(OFFSET($DS$3,0,0,'Données projet'!$E$14+1,1))-AVERAGE(OFFSET($H$3,0,0,'Données projet'!$E$14+1,1))</f>
        <v>442.54137223086991</v>
      </c>
      <c r="DU74" s="59">
        <f t="shared" si="98"/>
        <v>454.23406186660714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0.8859694041160957</v>
      </c>
      <c r="EB74" s="21">
        <f>EXP(-LN(2)/25)*EB73+(1-EXP(-LN(2)/25))/(LN(2)/25)*Calculateur!DW74*Calculateur!DY74*VLOOKUP('Données projet'!$B$14,Paramètres!$A$1:$I$89,3,0)*0.475*44/12</f>
        <v>3.7064047166537684</v>
      </c>
      <c r="EC74" s="21">
        <f>EXP(-LN(2)/2)*EC73+(1-EXP(-LN(2)/2))/(LN(2)/2)*DW74*DZ74*VLOOKUP('Données projet'!$B$14,Paramètres!$A$1:$I$89,3,0)*0.475*44/12</f>
        <v>1.2164071301165051E-5</v>
      </c>
      <c r="ED74" s="22">
        <f t="shared" si="72"/>
        <v>4.5923862848411652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201.49055911472067</v>
      </c>
      <c r="T75" s="59">
        <f t="shared" si="88"/>
        <v>403.37692064114719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32.441426427716202</v>
      </c>
      <c r="AA75" s="21">
        <f>EXP(-LN(2)/25)*AA74+(1-EXP(-LN(2)/25))/(LN(2)/25)*Calculateur!V75*Calculateur!X75*VLOOKUP('Données projet'!$B$9,Paramètres!$A$1:$I$89,3,0)*0.475*44/12</f>
        <v>21.079585370279691</v>
      </c>
      <c r="AB75" s="21">
        <f>EXP(-LN(2)/2)*AB74+(1-EXP(-LN(2)/2))/(LN(2)/2)*V75*Y75*VLOOKUP('Données projet'!$B$9,Paramètres!$A$1:$I$89,3,0)*0.475*44/12</f>
        <v>2.4468333391195846E-4</v>
      </c>
      <c r="AC75" s="22">
        <f t="shared" si="57"/>
        <v>53.521256481329807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39.000000000000057</v>
      </c>
      <c r="AJ75" s="13">
        <f>AI75*VLOOKUP('Données projet'!$B$10,Paramètres!$A$1:$I$89,3,0)*VLOOKUP('Données projet'!$B$10,Paramètres!$A$1:$I$89,5,0)</f>
        <v>34.070400000000056</v>
      </c>
      <c r="AK75" s="13">
        <f t="shared" si="89"/>
        <v>10.412633617059328</v>
      </c>
      <c r="AL75" s="20">
        <f t="shared" si="58"/>
        <v>77.474616883045101</v>
      </c>
      <c r="AM75" s="59">
        <f t="shared" si="59"/>
        <v>370.8079502163784</v>
      </c>
      <c r="AN75" s="59">
        <f ca="1">AVERAGE(OFFSET($AM$3,0,0,'Données projet'!$E$10+1,1))-AVERAGE(OFFSET($H$3,0,0,'Données projet'!$E$10+1,1))</f>
        <v>260.53994021583316</v>
      </c>
      <c r="AO75" s="59">
        <f t="shared" si="90"/>
        <v>669.20238852709122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1.4132559972770988E-4</v>
      </c>
      <c r="AX75" s="21">
        <f t="shared" si="60"/>
        <v>1.4132559972770988E-4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6.1</v>
      </c>
      <c r="BD75" s="12">
        <f>IF('Données projet'!$A$88&gt;35,BD74+BC75-BL74,IF(A75&lt;'Données projet'!$A$88,$BA$205^A75,IF(A75='Données projet'!$A$88,'Données projet'!$B$88,BD74+BC75-BL74)))</f>
        <v>233.20000000000019</v>
      </c>
      <c r="BE75" s="13">
        <f>BD75*VLOOKUP('Données projet'!$B$11,Paramètres!$A$1:$I$89,3,0)*VLOOKUP('Données projet'!$B$11,Paramètres!$A$1:$I$89,5,0)</f>
        <v>236.4648000000002</v>
      </c>
      <c r="BF75" s="13">
        <f t="shared" si="91"/>
        <v>57.678259313423474</v>
      </c>
      <c r="BG75" s="20">
        <f t="shared" si="61"/>
        <v>512.29916163754626</v>
      </c>
      <c r="BH75" s="59">
        <f t="shared" si="62"/>
        <v>805.63249497087963</v>
      </c>
      <c r="BI75" s="59">
        <f ca="1">AVERAGE(OFFSET($BH$3,0,0,'Données projet'!$E$11+1,1))-AVERAGE(OFFSET($H$3,0,0,'Données projet'!$E$11+1,1))</f>
        <v>279.20364724206644</v>
      </c>
      <c r="BJ75" s="59">
        <f t="shared" si="92"/>
        <v>173.99850582760712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1.086294990266043</v>
      </c>
      <c r="BR75" s="21">
        <f>EXP(-LN(2)/2)*BR74+(1-EXP(-LN(2)/2))/(LN(2)/2)*BL75*BO75*VLOOKUP('Données projet'!$B$11,Paramètres!$A$1:$I$89,3,0)*0.475*44/12</f>
        <v>3.3075037540061532E-6</v>
      </c>
      <c r="BS75" s="22">
        <f t="shared" si="63"/>
        <v>1.086298297769797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233.20000000000019</v>
      </c>
      <c r="BZ75" s="13">
        <f>BY75*VLOOKUP('Données projet'!$B$12,Paramètres!$A$1:$I$89,3,0)*VLOOKUP('Données projet'!$B$12,Paramètres!$A$1:$I$89,5,0)</f>
        <v>265.5681600000002</v>
      </c>
      <c r="CA75" s="13">
        <f t="shared" si="93"/>
        <v>63.907816938111026</v>
      </c>
      <c r="CB75" s="20">
        <f t="shared" si="64"/>
        <v>573.83732650054367</v>
      </c>
      <c r="CC75" s="59">
        <f t="shared" si="65"/>
        <v>867.17065983387693</v>
      </c>
      <c r="CD75" s="59">
        <f ca="1">AVERAGE(OFFSET($CC$3,0,0,'Données projet'!$E$12+1,1))-AVERAGE(OFFSET($H$3,0,0,'Données projet'!$E$12+1,1))</f>
        <v>327.06866218660838</v>
      </c>
      <c r="CE75" s="59">
        <f t="shared" si="94"/>
        <v>202.18198935334908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1.2199928352218632</v>
      </c>
      <c r="CM75" s="21">
        <f>EXP(-LN(2)/2)*CM74+(1-EXP(-LN(2)/2))/(LN(2)/2)*CG75*CJ75*VLOOKUP('Données projet'!$B$12,Paramètres!$A$1:$I$89,3,0)*0.475*44/12</f>
        <v>3.7145811391146144E-6</v>
      </c>
      <c r="CN75" s="22">
        <f t="shared" si="66"/>
        <v>1.2199965498030023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3.9</v>
      </c>
      <c r="CT75" s="12">
        <f>IF('Données projet'!$A$140&gt;35,CT74+CS75-DB74,IF(A75&lt;'Données projet'!$A$140,$CQ$205^A75,IF(A75='Données projet'!$A$140,'Données projet'!$B$140,CT74+CS75-DB74)))</f>
        <v>310.79999999999967</v>
      </c>
      <c r="CU75" s="17">
        <f>CT75*VLOOKUP('Données projet'!$B$13,Paramètres!$A$1:$I$89,3,0)*VLOOKUP('Données projet'!$B$13,Paramètres!$A$1:$I$89,5,0)</f>
        <v>252.12095999999977</v>
      </c>
      <c r="CV75" s="13">
        <f t="shared" si="95"/>
        <v>61.039888967775269</v>
      </c>
      <c r="CW75" s="20">
        <f t="shared" si="67"/>
        <v>545.42181195220826</v>
      </c>
      <c r="CX75" s="59">
        <f t="shared" si="68"/>
        <v>838.75514528554163</v>
      </c>
      <c r="CY75" s="59">
        <f ca="1">AVERAGE(OFFSET($CX$3,0,0,'Données projet'!$E$13+1,1))-AVERAGE(OFFSET($H$3,0,0,'Données projet'!$E$13+1,1))</f>
        <v>266.72672633301022</v>
      </c>
      <c r="CZ75" s="59">
        <f t="shared" si="96"/>
        <v>314.26991662544219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1.1749125780532357</v>
      </c>
      <c r="DG75" s="21">
        <f>EXP(-LN(2)/25)*DG74+(1-EXP(-LN(2)/25))/(LN(2)/25)*Calculateur!DB75*Calculateur!DD75*VLOOKUP('Données projet'!$B$13,Paramètres!$A$1:$I$89,3,0)*0.475*44/12</f>
        <v>5.2974188070192669</v>
      </c>
      <c r="DH75" s="21">
        <f>EXP(-LN(2)/2)*DH74+(1-EXP(-LN(2)/2))/(LN(2)/2)*DB75*DE75*VLOOKUP('Données projet'!$B$13,Paramètres!$A$1:$I$89,3,0)*0.475*44/12</f>
        <v>1.1687463696268303E-5</v>
      </c>
      <c r="DI75" s="22">
        <f t="shared" si="69"/>
        <v>6.4723430725361988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</v>
      </c>
      <c r="DO75" s="12">
        <f>IF('Données projet'!$A$166&gt;35,DO74+DN75-DW74,IF(A75&lt;'Données projet'!$A$166,$DL$205^A75,IF(A75='Données projet'!$A$166,'Données projet'!$B$166,DO74+DN75-DW74)))</f>
        <v>347.99999999999994</v>
      </c>
      <c r="DP75" s="17">
        <f>DO75*VLOOKUP('Données projet'!$B$14,Paramètres!$A$1:$I$89,3,0)*VLOOKUP('Données projet'!$B$14,Paramètres!$A$1:$I$89,5,0)</f>
        <v>374.58719999999994</v>
      </c>
      <c r="DQ75" s="13">
        <f t="shared" si="97"/>
        <v>86.605093818914398</v>
      </c>
      <c r="DR75" s="20">
        <f t="shared" si="70"/>
        <v>803.24324506794244</v>
      </c>
      <c r="DS75" s="59">
        <f t="shared" si="71"/>
        <v>1096.5765784012758</v>
      </c>
      <c r="DT75" s="59">
        <f ca="1">AVERAGE(OFFSET($DS$3,0,0,'Données projet'!$E$14+1,1))-AVERAGE(OFFSET($H$3,0,0,'Données projet'!$E$14+1,1))</f>
        <v>442.54137223086991</v>
      </c>
      <c r="DU75" s="59">
        <f t="shared" si="98"/>
        <v>454.23406186660714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0.86859608448935666</v>
      </c>
      <c r="EB75" s="21">
        <f>EXP(-LN(2)/25)*EB74+(1-EXP(-LN(2)/25))/(LN(2)/25)*Calculateur!DW75*Calculateur!DY75*VLOOKUP('Données projet'!$B$14,Paramètres!$A$1:$I$89,3,0)*0.475*44/12</f>
        <v>3.6050528847655183</v>
      </c>
      <c r="EC75" s="21">
        <f>EXP(-LN(2)/2)*EC74+(1-EXP(-LN(2)/2))/(LN(2)/2)*DW75*DZ75*VLOOKUP('Données projet'!$B$14,Paramètres!$A$1:$I$89,3,0)*0.475*44/12</f>
        <v>8.6012973038904783E-6</v>
      </c>
      <c r="ED75" s="22">
        <f t="shared" si="72"/>
        <v>4.4736575705521791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201.49055911472067</v>
      </c>
      <c r="T76" s="59">
        <f t="shared" si="88"/>
        <v>403.37692064114719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31.805269842784973</v>
      </c>
      <c r="AA76" s="21">
        <f>EXP(-LN(2)/25)*AA75+(1-EXP(-LN(2)/25))/(LN(2)/25)*Calculateur!V76*Calculateur!X76*VLOOKUP('Données projet'!$B$9,Paramètres!$A$1:$I$89,3,0)*0.475*44/12</f>
        <v>20.503162999802175</v>
      </c>
      <c r="AB76" s="21">
        <f>EXP(-LN(2)/2)*AB75+(1-EXP(-LN(2)/2))/(LN(2)/2)*V76*Y76*VLOOKUP('Données projet'!$B$9,Paramètres!$A$1:$I$89,3,0)*0.475*44/12</f>
        <v>1.7301724465247815E-4</v>
      </c>
      <c r="AC76" s="22">
        <f t="shared" si="57"/>
        <v>52.308605859831808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39.000000000000057</v>
      </c>
      <c r="AJ76" s="13">
        <f>AI76*VLOOKUP('Données projet'!$B$10,Paramètres!$A$1:$I$89,3,0)*VLOOKUP('Données projet'!$B$10,Paramètres!$A$1:$I$89,5,0)</f>
        <v>34.070400000000056</v>
      </c>
      <c r="AK76" s="13">
        <f t="shared" si="89"/>
        <v>10.412633617059328</v>
      </c>
      <c r="AL76" s="20">
        <f t="shared" si="58"/>
        <v>77.474616883045101</v>
      </c>
      <c r="AM76" s="59">
        <f t="shared" si="59"/>
        <v>370.8079502163784</v>
      </c>
      <c r="AN76" s="59">
        <f ca="1">AVERAGE(OFFSET($AM$3,0,0,'Données projet'!$E$10+1,1))-AVERAGE(OFFSET($H$3,0,0,'Données projet'!$E$10+1,1))</f>
        <v>260.53994021583316</v>
      </c>
      <c r="AO76" s="59">
        <f t="shared" si="90"/>
        <v>669.20238852709122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9.9932289922719355E-5</v>
      </c>
      <c r="AX76" s="21">
        <f t="shared" si="60"/>
        <v>9.9932289922719355E-5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6.1</v>
      </c>
      <c r="BD76" s="12">
        <f>IF('Données projet'!$A$88&gt;35,BD75+BC76-BL75,IF(A76&lt;'Données projet'!$A$88,$BA$205^A76,IF(A76='Données projet'!$A$88,'Données projet'!$B$88,BD75+BC76-BL75)))</f>
        <v>239.30000000000018</v>
      </c>
      <c r="BE76" s="13">
        <f>BD76*VLOOKUP('Données projet'!$B$11,Paramètres!$A$1:$I$89,3,0)*VLOOKUP('Données projet'!$B$11,Paramètres!$A$1:$I$89,5,0)</f>
        <v>242.65020000000021</v>
      </c>
      <c r="BF76" s="13">
        <f t="shared" si="91"/>
        <v>59.009368964864635</v>
      </c>
      <c r="BG76" s="20">
        <f t="shared" si="61"/>
        <v>525.39041594713956</v>
      </c>
      <c r="BH76" s="59">
        <f t="shared" si="62"/>
        <v>818.72374928047293</v>
      </c>
      <c r="BI76" s="59">
        <f ca="1">AVERAGE(OFFSET($BH$3,0,0,'Données projet'!$E$11+1,1))-AVERAGE(OFFSET($H$3,0,0,'Données projet'!$E$11+1,1))</f>
        <v>279.20364724206644</v>
      </c>
      <c r="BJ76" s="59">
        <f t="shared" si="92"/>
        <v>173.99850582760712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1.0565901966314473</v>
      </c>
      <c r="BR76" s="21">
        <f>EXP(-LN(2)/2)*BR75+(1-EXP(-LN(2)/2))/(LN(2)/2)*BL76*BO76*VLOOKUP('Données projet'!$B$11,Paramètres!$A$1:$I$89,3,0)*0.475*44/12</f>
        <v>2.3387583332577135E-6</v>
      </c>
      <c r="BS76" s="22">
        <f t="shared" si="63"/>
        <v>1.0565925353897805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239.30000000000018</v>
      </c>
      <c r="BZ76" s="13">
        <f>BY76*VLOOKUP('Données projet'!$B$12,Paramètres!$A$1:$I$89,3,0)*VLOOKUP('Données projet'!$B$12,Paramètres!$A$1:$I$89,5,0)</f>
        <v>272.51484000000022</v>
      </c>
      <c r="CA76" s="13">
        <f t="shared" si="93"/>
        <v>65.382693485036498</v>
      </c>
      <c r="CB76" s="20">
        <f t="shared" si="64"/>
        <v>588.50487081977224</v>
      </c>
      <c r="CC76" s="59">
        <f t="shared" si="65"/>
        <v>881.83820415310561</v>
      </c>
      <c r="CD76" s="59">
        <f ca="1">AVERAGE(OFFSET($CC$3,0,0,'Données projet'!$E$12+1,1))-AVERAGE(OFFSET($H$3,0,0,'Données projet'!$E$12+1,1))</f>
        <v>327.06866218660838</v>
      </c>
      <c r="CE76" s="59">
        <f t="shared" si="94"/>
        <v>202.18198935334908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1.1866320669860864</v>
      </c>
      <c r="CM76" s="21">
        <f>EXP(-LN(2)/2)*CM75+(1-EXP(-LN(2)/2))/(LN(2)/2)*CG76*CJ76*VLOOKUP('Données projet'!$B$12,Paramètres!$A$1:$I$89,3,0)*0.475*44/12</f>
        <v>2.6266055127355944E-6</v>
      </c>
      <c r="CN76" s="22">
        <f t="shared" si="66"/>
        <v>1.186634693591599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3.9</v>
      </c>
      <c r="CT76" s="12">
        <f>IF('Données projet'!$A$140&gt;35,CT75+CS76-DB75,IF(A76&lt;'Données projet'!$A$140,$CQ$205^A76,IF(A76='Données projet'!$A$140,'Données projet'!$B$140,CT75+CS76-DB75)))</f>
        <v>314.69999999999965</v>
      </c>
      <c r="CU76" s="17">
        <f>CT76*VLOOKUP('Données projet'!$B$13,Paramètres!$A$1:$I$89,3,0)*VLOOKUP('Données projet'!$B$13,Paramètres!$A$1:$I$89,5,0)</f>
        <v>255.28463999999974</v>
      </c>
      <c r="CV76" s="13">
        <f t="shared" si="95"/>
        <v>61.71618560262462</v>
      </c>
      <c r="CW76" s="20">
        <f t="shared" si="67"/>
        <v>552.10977125790407</v>
      </c>
      <c r="CX76" s="59">
        <f t="shared" si="68"/>
        <v>845.44310459123744</v>
      </c>
      <c r="CY76" s="59">
        <f ca="1">AVERAGE(OFFSET($CX$3,0,0,'Données projet'!$E$13+1,1))-AVERAGE(OFFSET($H$3,0,0,'Données projet'!$E$13+1,1))</f>
        <v>266.72672633301022</v>
      </c>
      <c r="CZ76" s="59">
        <f t="shared" si="96"/>
        <v>314.26991662544219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1.1518732590235234</v>
      </c>
      <c r="DG76" s="21">
        <f>EXP(-LN(2)/25)*DG75+(1-EXP(-LN(2)/25))/(LN(2)/25)*Calculateur!DB76*Calculateur!DD76*VLOOKUP('Données projet'!$B$13,Paramètres!$A$1:$I$89,3,0)*0.475*44/12</f>
        <v>5.1525606111621771</v>
      </c>
      <c r="DH76" s="21">
        <f>EXP(-LN(2)/2)*DH75+(1-EXP(-LN(2)/2))/(LN(2)/2)*DB76*DE76*VLOOKUP('Données projet'!$B$13,Paramètres!$A$1:$I$89,3,0)*0.475*44/12</f>
        <v>8.2642848345029085E-6</v>
      </c>
      <c r="DI76" s="22">
        <f t="shared" si="69"/>
        <v>6.304442134470535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</v>
      </c>
      <c r="DO76" s="12">
        <f>IF('Données projet'!$A$166&gt;35,DO75+DN76-DW75,IF(A76&lt;'Données projet'!$A$166,$DL$205^A76,IF(A76='Données projet'!$A$166,'Données projet'!$B$166,DO75+DN76-DW75)))</f>
        <v>355.99999999999994</v>
      </c>
      <c r="DP76" s="17">
        <f>DO76*VLOOKUP('Données projet'!$B$14,Paramètres!$A$1:$I$89,3,0)*VLOOKUP('Données projet'!$B$14,Paramètres!$A$1:$I$89,5,0)</f>
        <v>383.19839999999988</v>
      </c>
      <c r="DQ76" s="13">
        <f t="shared" si="97"/>
        <v>88.361938464587496</v>
      </c>
      <c r="DR76" s="20">
        <f t="shared" si="70"/>
        <v>821.30092282582302</v>
      </c>
      <c r="DS76" s="59">
        <f t="shared" si="71"/>
        <v>1114.6342561591564</v>
      </c>
      <c r="DT76" s="59">
        <f ca="1">AVERAGE(OFFSET($DS$3,0,0,'Données projet'!$E$14+1,1))-AVERAGE(OFFSET($H$3,0,0,'Données projet'!$E$14+1,1))</f>
        <v>442.54137223086991</v>
      </c>
      <c r="DU76" s="59">
        <f t="shared" si="98"/>
        <v>454.23406186660714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0.85156344506381931</v>
      </c>
      <c r="EB76" s="21">
        <f>EXP(-LN(2)/25)*EB75+(1-EXP(-LN(2)/25))/(LN(2)/25)*Calculateur!DW76*Calculateur!DY76*VLOOKUP('Données projet'!$B$14,Paramètres!$A$1:$I$89,3,0)*0.475*44/12</f>
        <v>3.5064725240501136</v>
      </c>
      <c r="EC76" s="21">
        <f>EXP(-LN(2)/2)*EC75+(1-EXP(-LN(2)/2))/(LN(2)/2)*DW76*DZ76*VLOOKUP('Données projet'!$B$14,Paramètres!$A$1:$I$89,3,0)*0.475*44/12</f>
        <v>6.0820356505825256E-6</v>
      </c>
      <c r="ED76" s="22">
        <f t="shared" si="72"/>
        <v>4.3580420511495834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201.49055911472067</v>
      </c>
      <c r="T77" s="59">
        <f t="shared" si="88"/>
        <v>403.37692064114719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31.181587900467044</v>
      </c>
      <c r="AA77" s="21">
        <f>EXP(-LN(2)/25)*AA76+(1-EXP(-LN(2)/25))/(LN(2)/25)*Calculateur!V77*Calculateur!X77*VLOOKUP('Données projet'!$B$9,Paramètres!$A$1:$I$89,3,0)*0.475*44/12</f>
        <v>19.942502929358103</v>
      </c>
      <c r="AB77" s="21">
        <f>EXP(-LN(2)/2)*AB76+(1-EXP(-LN(2)/2))/(LN(2)/2)*V77*Y77*VLOOKUP('Données projet'!$B$9,Paramètres!$A$1:$I$89,3,0)*0.475*44/12</f>
        <v>1.2234166695597923E-4</v>
      </c>
      <c r="AC77" s="22">
        <f t="shared" si="57"/>
        <v>51.124213171492109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39.000000000000057</v>
      </c>
      <c r="AJ77" s="13">
        <f>AI77*VLOOKUP('Données projet'!$B$10,Paramètres!$A$1:$I$89,3,0)*VLOOKUP('Données projet'!$B$10,Paramètres!$A$1:$I$89,5,0)</f>
        <v>34.070400000000056</v>
      </c>
      <c r="AK77" s="13">
        <f t="shared" si="89"/>
        <v>10.412633617059328</v>
      </c>
      <c r="AL77" s="20">
        <f t="shared" si="58"/>
        <v>77.474616883045101</v>
      </c>
      <c r="AM77" s="59">
        <f t="shared" si="59"/>
        <v>370.8079502163784</v>
      </c>
      <c r="AN77" s="59">
        <f ca="1">AVERAGE(OFFSET($AM$3,0,0,'Données projet'!$E$10+1,1))-AVERAGE(OFFSET($H$3,0,0,'Données projet'!$E$10+1,1))</f>
        <v>260.53994021583316</v>
      </c>
      <c r="AO77" s="59">
        <f t="shared" si="90"/>
        <v>669.20238852709122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7.0662799863854941E-5</v>
      </c>
      <c r="AX77" s="21">
        <f t="shared" si="60"/>
        <v>7.0662799863854941E-5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6.1</v>
      </c>
      <c r="BD77" s="12">
        <f>IF('Données projet'!$A$88&gt;35,BD76+BC77-BL76,IF(A77&lt;'Données projet'!$A$88,$BA$205^A77,IF(A77='Données projet'!$A$88,'Données projet'!$B$88,BD76+BC77-BL76)))</f>
        <v>245.40000000000018</v>
      </c>
      <c r="BE77" s="13">
        <f>BD77*VLOOKUP('Données projet'!$B$11,Paramètres!$A$1:$I$89,3,0)*VLOOKUP('Données projet'!$B$11,Paramètres!$A$1:$I$89,5,0)</f>
        <v>248.83560000000023</v>
      </c>
      <c r="BF77" s="13">
        <f t="shared" si="91"/>
        <v>60.336534411056299</v>
      </c>
      <c r="BG77" s="20">
        <f t="shared" si="61"/>
        <v>538.47480076592342</v>
      </c>
      <c r="BH77" s="59">
        <f t="shared" si="62"/>
        <v>831.80813409925668</v>
      </c>
      <c r="BI77" s="59">
        <f ca="1">AVERAGE(OFFSET($BH$3,0,0,'Données projet'!$E$11+1,1))-AVERAGE(OFFSET($H$3,0,0,'Données projet'!$E$11+1,1))</f>
        <v>279.20364724206644</v>
      </c>
      <c r="BJ77" s="59">
        <f t="shared" si="92"/>
        <v>173.99850582760712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1.0276976821408967</v>
      </c>
      <c r="BR77" s="21">
        <f>EXP(-LN(2)/2)*BR76+(1-EXP(-LN(2)/2))/(LN(2)/2)*BL77*BO77*VLOOKUP('Données projet'!$B$11,Paramètres!$A$1:$I$89,3,0)*0.475*44/12</f>
        <v>1.6537518770030766E-6</v>
      </c>
      <c r="BS77" s="22">
        <f t="shared" si="63"/>
        <v>1.0276993358927737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245.40000000000018</v>
      </c>
      <c r="BZ77" s="13">
        <f>BY77*VLOOKUP('Données projet'!$B$12,Paramètres!$A$1:$I$89,3,0)*VLOOKUP('Données projet'!$B$12,Paramètres!$A$1:$I$89,5,0)</f>
        <v>279.46152000000023</v>
      </c>
      <c r="CA77" s="13">
        <f t="shared" si="93"/>
        <v>66.853199831646393</v>
      </c>
      <c r="CB77" s="20">
        <f t="shared" si="64"/>
        <v>603.16480370678448</v>
      </c>
      <c r="CC77" s="59">
        <f t="shared" si="65"/>
        <v>896.49813704011785</v>
      </c>
      <c r="CD77" s="59">
        <f ca="1">AVERAGE(OFFSET($CC$3,0,0,'Données projet'!$E$12+1,1))-AVERAGE(OFFSET($H$3,0,0,'Données projet'!$E$12+1,1))</f>
        <v>327.06866218660838</v>
      </c>
      <c r="CE77" s="59">
        <f t="shared" si="94"/>
        <v>202.18198935334908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1.1541835507120835</v>
      </c>
      <c r="CM77" s="21">
        <f>EXP(-LN(2)/2)*CM76+(1-EXP(-LN(2)/2))/(LN(2)/2)*CG77*CJ77*VLOOKUP('Données projet'!$B$12,Paramètres!$A$1:$I$89,3,0)*0.475*44/12</f>
        <v>1.8572905695573076E-6</v>
      </c>
      <c r="CN77" s="22">
        <f t="shared" si="66"/>
        <v>1.154185408002653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3.9</v>
      </c>
      <c r="CT77" s="12">
        <f>IF('Données projet'!$A$140&gt;35,CT76+CS77-DB76,IF(A77&lt;'Données projet'!$A$140,$CQ$205^A77,IF(A77='Données projet'!$A$140,'Données projet'!$B$140,CT76+CS77-DB76)))</f>
        <v>318.59999999999962</v>
      </c>
      <c r="CU77" s="17">
        <f>CT77*VLOOKUP('Données projet'!$B$13,Paramètres!$A$1:$I$89,3,0)*VLOOKUP('Données projet'!$B$13,Paramètres!$A$1:$I$89,5,0)</f>
        <v>258.44831999999968</v>
      </c>
      <c r="CV77" s="13">
        <f t="shared" si="95"/>
        <v>62.391507345206676</v>
      </c>
      <c r="CW77" s="20">
        <f t="shared" si="67"/>
        <v>558.79603262623436</v>
      </c>
      <c r="CX77" s="59">
        <f t="shared" si="68"/>
        <v>852.12936595956762</v>
      </c>
      <c r="CY77" s="59">
        <f ca="1">AVERAGE(OFFSET($CX$3,0,0,'Données projet'!$E$13+1,1))-AVERAGE(OFFSET($H$3,0,0,'Données projet'!$E$13+1,1))</f>
        <v>266.72672633301022</v>
      </c>
      <c r="CZ77" s="59">
        <f t="shared" si="96"/>
        <v>314.26991662544219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1.1292857269873868</v>
      </c>
      <c r="DG77" s="21">
        <f>EXP(-LN(2)/25)*DG76+(1-EXP(-LN(2)/25))/(LN(2)/25)*Calculateur!DB77*Calculateur!DD77*VLOOKUP('Données projet'!$B$13,Paramètres!$A$1:$I$89,3,0)*0.475*44/12</f>
        <v>5.0116635702885608</v>
      </c>
      <c r="DH77" s="21">
        <f>EXP(-LN(2)/2)*DH76+(1-EXP(-LN(2)/2))/(LN(2)/2)*DB77*DE77*VLOOKUP('Données projet'!$B$13,Paramètres!$A$1:$I$89,3,0)*0.475*44/12</f>
        <v>5.8437318481341513E-6</v>
      </c>
      <c r="DI77" s="22">
        <f t="shared" si="69"/>
        <v>6.1409551410077956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</v>
      </c>
      <c r="DO77" s="12">
        <f>IF('Données projet'!$A$166&gt;35,DO76+DN77-DW76,IF(A77&lt;'Données projet'!$A$166,$DL$205^A77,IF(A77='Données projet'!$A$166,'Données projet'!$B$166,DO76+DN77-DW76)))</f>
        <v>363.99999999999994</v>
      </c>
      <c r="DP77" s="17">
        <f>DO77*VLOOKUP('Données projet'!$B$14,Paramètres!$A$1:$I$89,3,0)*VLOOKUP('Données projet'!$B$14,Paramètres!$A$1:$I$89,5,0)</f>
        <v>391.80959999999993</v>
      </c>
      <c r="DQ77" s="13">
        <f t="shared" si="97"/>
        <v>90.11419327509239</v>
      </c>
      <c r="DR77" s="20">
        <f t="shared" si="70"/>
        <v>839.3506066207857</v>
      </c>
      <c r="DS77" s="59">
        <f t="shared" si="71"/>
        <v>1132.6839399541191</v>
      </c>
      <c r="DT77" s="59">
        <f ca="1">AVERAGE(OFFSET($DS$3,0,0,'Données projet'!$E$14+1,1))-AVERAGE(OFFSET($H$3,0,0,'Données projet'!$E$14+1,1))</f>
        <v>442.54137223086991</v>
      </c>
      <c r="DU77" s="59">
        <f t="shared" si="98"/>
        <v>454.23406186660714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0.83486480530853258</v>
      </c>
      <c r="EB77" s="21">
        <f>EXP(-LN(2)/25)*EB76+(1-EXP(-LN(2)/25))/(LN(2)/25)*Calculateur!DW77*Calculateur!DY77*VLOOKUP('Données projet'!$B$14,Paramètres!$A$1:$I$89,3,0)*0.475*44/12</f>
        <v>3.4105878484825873</v>
      </c>
      <c r="EC77" s="21">
        <f>EXP(-LN(2)/2)*EC76+(1-EXP(-LN(2)/2))/(LN(2)/2)*DW77*DZ77*VLOOKUP('Données projet'!$B$14,Paramètres!$A$1:$I$89,3,0)*0.475*44/12</f>
        <v>4.3006486519452392E-6</v>
      </c>
      <c r="ED77" s="22">
        <f t="shared" si="72"/>
        <v>4.2454569544397724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201.49055911472067</v>
      </c>
      <c r="T78" s="59">
        <f t="shared" si="88"/>
        <v>403.37692064114719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30.570135980629544</v>
      </c>
      <c r="AA78" s="21">
        <f>EXP(-LN(2)/25)*AA77+(1-EXP(-LN(2)/25))/(LN(2)/25)*Calculateur!V78*Calculateur!X78*VLOOKUP('Données projet'!$B$9,Paramètres!$A$1:$I$89,3,0)*0.475*44/12</f>
        <v>19.397174138024155</v>
      </c>
      <c r="AB78" s="21">
        <f>EXP(-LN(2)/2)*AB77+(1-EXP(-LN(2)/2))/(LN(2)/2)*V78*Y78*VLOOKUP('Données projet'!$B$9,Paramètres!$A$1:$I$89,3,0)*0.475*44/12</f>
        <v>8.6508622326239077E-5</v>
      </c>
      <c r="AC78" s="22">
        <f t="shared" si="57"/>
        <v>49.967396627276024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39.000000000000057</v>
      </c>
      <c r="AJ78" s="13">
        <f>AI78*VLOOKUP('Données projet'!$B$10,Paramètres!$A$1:$I$89,3,0)*VLOOKUP('Données projet'!$B$10,Paramètres!$A$1:$I$89,5,0)</f>
        <v>34.070400000000056</v>
      </c>
      <c r="AK78" s="13">
        <f t="shared" si="89"/>
        <v>10.412633617059328</v>
      </c>
      <c r="AL78" s="20">
        <f t="shared" si="58"/>
        <v>77.474616883045101</v>
      </c>
      <c r="AM78" s="59">
        <f t="shared" si="59"/>
        <v>370.8079502163784</v>
      </c>
      <c r="AN78" s="59">
        <f ca="1">AVERAGE(OFFSET($AM$3,0,0,'Données projet'!$E$10+1,1))-AVERAGE(OFFSET($H$3,0,0,'Données projet'!$E$10+1,1))</f>
        <v>260.53994021583316</v>
      </c>
      <c r="AO78" s="59">
        <f t="shared" si="90"/>
        <v>669.20238852709122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4.9966144961359677E-5</v>
      </c>
      <c r="AX78" s="21">
        <f t="shared" si="60"/>
        <v>4.9966144961359677E-5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6.1</v>
      </c>
      <c r="BD78" s="12">
        <f>IF('Données projet'!$A$88&gt;35,BD77+BC78-BL77,IF(A78&lt;'Données projet'!$A$88,$BA$205^A78,IF(A78='Données projet'!$A$88,'Données projet'!$B$88,BD77+BC78-BL77)))</f>
        <v>251.50000000000017</v>
      </c>
      <c r="BE78" s="13">
        <f>BD78*VLOOKUP('Données projet'!$B$11,Paramètres!$A$1:$I$89,3,0)*VLOOKUP('Données projet'!$B$11,Paramètres!$A$1:$I$89,5,0)</f>
        <v>255.02100000000019</v>
      </c>
      <c r="BF78" s="13">
        <f t="shared" si="91"/>
        <v>61.659864971325668</v>
      </c>
      <c r="BG78" s="20">
        <f t="shared" si="61"/>
        <v>551.55250649172569</v>
      </c>
      <c r="BH78" s="59">
        <f t="shared" si="62"/>
        <v>844.88583982505907</v>
      </c>
      <c r="BI78" s="59">
        <f ca="1">AVERAGE(OFFSET($BH$3,0,0,'Données projet'!$E$11+1,1))-AVERAGE(OFFSET($H$3,0,0,'Données projet'!$E$11+1,1))</f>
        <v>279.20364724206644</v>
      </c>
      <c r="BJ78" s="59">
        <f t="shared" si="92"/>
        <v>173.99850582760712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0.99959523497848168</v>
      </c>
      <c r="BR78" s="21">
        <f>EXP(-LN(2)/2)*BR77+(1-EXP(-LN(2)/2))/(LN(2)/2)*BL78*BO78*VLOOKUP('Données projet'!$B$11,Paramètres!$A$1:$I$89,3,0)*0.475*44/12</f>
        <v>1.1693791666288567E-6</v>
      </c>
      <c r="BS78" s="22">
        <f t="shared" si="63"/>
        <v>0.99959640435764829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251.50000000000017</v>
      </c>
      <c r="BZ78" s="13">
        <f>BY78*VLOOKUP('Données projet'!$B$12,Paramètres!$A$1:$I$89,3,0)*VLOOKUP('Données projet'!$B$12,Paramètres!$A$1:$I$89,5,0)</f>
        <v>286.40820000000019</v>
      </c>
      <c r="CA78" s="13">
        <f t="shared" si="93"/>
        <v>68.319457104334646</v>
      </c>
      <c r="CB78" s="20">
        <f t="shared" si="64"/>
        <v>617.81733612338326</v>
      </c>
      <c r="CC78" s="59">
        <f t="shared" si="65"/>
        <v>911.15066945671651</v>
      </c>
      <c r="CD78" s="59">
        <f ca="1">AVERAGE(OFFSET($CC$3,0,0,'Données projet'!$E$12+1,1))-AVERAGE(OFFSET($H$3,0,0,'Données projet'!$E$12+1,1))</f>
        <v>327.06866218660838</v>
      </c>
      <c r="CE78" s="59">
        <f t="shared" si="94"/>
        <v>202.18198935334908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1.1226223408219864</v>
      </c>
      <c r="CM78" s="21">
        <f>EXP(-LN(2)/2)*CM77+(1-EXP(-LN(2)/2))/(LN(2)/2)*CG78*CJ78*VLOOKUP('Données projet'!$B$12,Paramètres!$A$1:$I$89,3,0)*0.475*44/12</f>
        <v>1.3133027563677974E-6</v>
      </c>
      <c r="CN78" s="22">
        <f t="shared" si="66"/>
        <v>1.1226236541247427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3.9</v>
      </c>
      <c r="CT78" s="12">
        <f>IF('Données projet'!$A$140&gt;35,CT77+CS78-DB77,IF(A78&lt;'Données projet'!$A$140,$CQ$205^A78,IF(A78='Données projet'!$A$140,'Données projet'!$B$140,CT77+CS78-DB77)))</f>
        <v>322.4999999999996</v>
      </c>
      <c r="CU78" s="17">
        <f>CT78*VLOOKUP('Données projet'!$B$13,Paramètres!$A$1:$I$89,3,0)*VLOOKUP('Données projet'!$B$13,Paramètres!$A$1:$I$89,5,0)</f>
        <v>261.61199999999968</v>
      </c>
      <c r="CV78" s="13">
        <f t="shared" si="95"/>
        <v>63.065867509496385</v>
      </c>
      <c r="CW78" s="20">
        <f t="shared" si="67"/>
        <v>565.48061924570573</v>
      </c>
      <c r="CX78" s="59">
        <f t="shared" si="68"/>
        <v>858.8139525790391</v>
      </c>
      <c r="CY78" s="59">
        <f ca="1">AVERAGE(OFFSET($CX$3,0,0,'Données projet'!$E$13+1,1))-AVERAGE(OFFSET($H$3,0,0,'Données projet'!$E$13+1,1))</f>
        <v>266.72672633301022</v>
      </c>
      <c r="CZ78" s="59">
        <f t="shared" si="96"/>
        <v>314.26991662544219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1.1071411226774446</v>
      </c>
      <c r="DG78" s="21">
        <f>EXP(-LN(2)/25)*DG77+(1-EXP(-LN(2)/25))/(LN(2)/25)*Calculateur!DB78*Calculateur!DD78*VLOOKUP('Données projet'!$B$13,Paramètres!$A$1:$I$89,3,0)*0.475*44/12</f>
        <v>4.8746193664070869</v>
      </c>
      <c r="DH78" s="21">
        <f>EXP(-LN(2)/2)*DH77+(1-EXP(-LN(2)/2))/(LN(2)/2)*DB78*DE78*VLOOKUP('Données projet'!$B$13,Paramètres!$A$1:$I$89,3,0)*0.475*44/12</f>
        <v>4.1321424172514543E-6</v>
      </c>
      <c r="DI78" s="22">
        <f t="shared" si="69"/>
        <v>5.9817646212269491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</v>
      </c>
      <c r="DO78" s="12">
        <f>IF('Données projet'!$A$166&gt;35,DO77+DN78-DW77,IF(A78&lt;'Données projet'!$A$166,$DL$205^A78,IF(A78='Données projet'!$A$166,'Données projet'!$B$166,DO77+DN78-DW77)))</f>
        <v>371.99999999999994</v>
      </c>
      <c r="DP78" s="17">
        <f>DO78*VLOOKUP('Données projet'!$B$14,Paramètres!$A$1:$I$89,3,0)*VLOOKUP('Données projet'!$B$14,Paramètres!$A$1:$I$89,5,0)</f>
        <v>400.42079999999993</v>
      </c>
      <c r="DQ78" s="13">
        <f t="shared" si="97"/>
        <v>91.861970742201422</v>
      </c>
      <c r="DR78" s="20">
        <f t="shared" si="70"/>
        <v>857.39249237600063</v>
      </c>
      <c r="DS78" s="59">
        <f t="shared" si="71"/>
        <v>1150.725825709334</v>
      </c>
      <c r="DT78" s="59">
        <f ca="1">AVERAGE(OFFSET($DS$3,0,0,'Données projet'!$E$14+1,1))-AVERAGE(OFFSET($H$3,0,0,'Données projet'!$E$14+1,1))</f>
        <v>442.54137223086991</v>
      </c>
      <c r="DU78" s="59">
        <f t="shared" si="98"/>
        <v>454.23406186660714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0.81849361569368251</v>
      </c>
      <c r="EB78" s="21">
        <f>EXP(-LN(2)/25)*EB77+(1-EXP(-LN(2)/25))/(LN(2)/25)*Calculateur!DW78*Calculateur!DY78*VLOOKUP('Données projet'!$B$14,Paramètres!$A$1:$I$89,3,0)*0.475*44/12</f>
        <v>3.3173251444108112</v>
      </c>
      <c r="EC78" s="21">
        <f>EXP(-LN(2)/2)*EC77+(1-EXP(-LN(2)/2))/(LN(2)/2)*DW78*DZ78*VLOOKUP('Données projet'!$B$14,Paramètres!$A$1:$I$89,3,0)*0.475*44/12</f>
        <v>3.0410178252912628E-6</v>
      </c>
      <c r="ED78" s="22">
        <f t="shared" si="72"/>
        <v>4.1358218011223187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201.49055911472067</v>
      </c>
      <c r="T79" s="59">
        <f t="shared" si="88"/>
        <v>403.37692064114719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29.970674259991213</v>
      </c>
      <c r="AA79" s="21">
        <f>EXP(-LN(2)/25)*AA78+(1-EXP(-LN(2)/25))/(LN(2)/25)*Calculateur!V79*Calculateur!X79*VLOOKUP('Données projet'!$B$9,Paramètres!$A$1:$I$89,3,0)*0.475*44/12</f>
        <v>18.866757391166828</v>
      </c>
      <c r="AB79" s="21">
        <f>EXP(-LN(2)/2)*AB78+(1-EXP(-LN(2)/2))/(LN(2)/2)*V79*Y79*VLOOKUP('Données projet'!$B$9,Paramètres!$A$1:$I$89,3,0)*0.475*44/12</f>
        <v>6.1170833477989614E-5</v>
      </c>
      <c r="AC79" s="22">
        <f t="shared" si="57"/>
        <v>48.837492821991518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39.000000000000057</v>
      </c>
      <c r="AJ79" s="13">
        <f>AI79*VLOOKUP('Données projet'!$B$10,Paramètres!$A$1:$I$89,3,0)*VLOOKUP('Données projet'!$B$10,Paramètres!$A$1:$I$89,5,0)</f>
        <v>34.070400000000056</v>
      </c>
      <c r="AK79" s="13">
        <f t="shared" si="89"/>
        <v>10.412633617059328</v>
      </c>
      <c r="AL79" s="20">
        <f t="shared" si="58"/>
        <v>77.474616883045101</v>
      </c>
      <c r="AM79" s="59">
        <f t="shared" si="59"/>
        <v>370.8079502163784</v>
      </c>
      <c r="AN79" s="59">
        <f ca="1">AVERAGE(OFFSET($AM$3,0,0,'Données projet'!$E$10+1,1))-AVERAGE(OFFSET($H$3,0,0,'Données projet'!$E$10+1,1))</f>
        <v>260.53994021583316</v>
      </c>
      <c r="AO79" s="59">
        <f t="shared" si="90"/>
        <v>669.20238852709122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3.5331399931927471E-5</v>
      </c>
      <c r="AX79" s="21">
        <f t="shared" si="60"/>
        <v>3.5331399931927471E-5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6.1</v>
      </c>
      <c r="BD79" s="12">
        <f>IF('Données projet'!$A$88&gt;35,BD78+BC79-BL78,IF(A79&lt;'Données projet'!$A$88,$BA$205^A79,IF(A79='Données projet'!$A$88,'Données projet'!$B$88,BD78+BC79-BL78)))</f>
        <v>257.60000000000019</v>
      </c>
      <c r="BE79" s="13">
        <f>BD79*VLOOKUP('Données projet'!$B$11,Paramètres!$A$1:$I$89,3,0)*VLOOKUP('Données projet'!$B$11,Paramètres!$A$1:$I$89,5,0)</f>
        <v>261.2064000000002</v>
      </c>
      <c r="BF79" s="13">
        <f t="shared" si="91"/>
        <v>62.979464359660597</v>
      </c>
      <c r="BG79" s="20">
        <f t="shared" si="61"/>
        <v>564.6237137597426</v>
      </c>
      <c r="BH79" s="59">
        <f t="shared" si="62"/>
        <v>857.95704709307597</v>
      </c>
      <c r="BI79" s="59">
        <f ca="1">AVERAGE(OFFSET($BH$3,0,0,'Données projet'!$E$11+1,1))-AVERAGE(OFFSET($H$3,0,0,'Données projet'!$E$11+1,1))</f>
        <v>279.20364724206644</v>
      </c>
      <c r="BJ79" s="59">
        <f t="shared" si="92"/>
        <v>173.99850582760712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0.97226125071156633</v>
      </c>
      <c r="BR79" s="21">
        <f>EXP(-LN(2)/2)*BR78+(1-EXP(-LN(2)/2))/(LN(2)/2)*BL79*BO79*VLOOKUP('Données projet'!$B$11,Paramètres!$A$1:$I$89,3,0)*0.475*44/12</f>
        <v>8.2687593850153831E-7</v>
      </c>
      <c r="BS79" s="22">
        <f t="shared" si="63"/>
        <v>0.97226207758750482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257.60000000000019</v>
      </c>
      <c r="BZ79" s="13">
        <f>BY79*VLOOKUP('Données projet'!$B$12,Paramètres!$A$1:$I$89,3,0)*VLOOKUP('Données projet'!$B$12,Paramètres!$A$1:$I$89,5,0)</f>
        <v>293.35488000000021</v>
      </c>
      <c r="CA79" s="13">
        <f t="shared" si="93"/>
        <v>69.781580218749184</v>
      </c>
      <c r="CB79" s="20">
        <f t="shared" si="64"/>
        <v>632.46266821432175</v>
      </c>
      <c r="CC79" s="59">
        <f t="shared" si="65"/>
        <v>925.79600154765512</v>
      </c>
      <c r="CD79" s="59">
        <f ca="1">AVERAGE(OFFSET($CC$3,0,0,'Données projet'!$E$12+1,1))-AVERAGE(OFFSET($H$3,0,0,'Données projet'!$E$12+1,1))</f>
        <v>327.06866218660838</v>
      </c>
      <c r="CE79" s="59">
        <f t="shared" si="94"/>
        <v>202.18198935334908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1.0919241738760661</v>
      </c>
      <c r="CM79" s="21">
        <f>EXP(-LN(2)/2)*CM78+(1-EXP(-LN(2)/2))/(LN(2)/2)*CG79*CJ79*VLOOKUP('Données projet'!$B$12,Paramètres!$A$1:$I$89,3,0)*0.475*44/12</f>
        <v>9.2864528477865392E-7</v>
      </c>
      <c r="CN79" s="22">
        <f t="shared" si="66"/>
        <v>1.0919251025213508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3.9</v>
      </c>
      <c r="CT79" s="12">
        <f>IF('Données projet'!$A$140&gt;35,CT78+CS79-DB78,IF(A79&lt;'Données projet'!$A$140,$CQ$205^A79,IF(A79='Données projet'!$A$140,'Données projet'!$B$140,CT78+CS79-DB78)))</f>
        <v>326.39999999999958</v>
      </c>
      <c r="CU79" s="17">
        <f>CT79*VLOOKUP('Données projet'!$B$13,Paramètres!$A$1:$I$89,3,0)*VLOOKUP('Données projet'!$B$13,Paramètres!$A$1:$I$89,5,0)</f>
        <v>264.77567999999968</v>
      </c>
      <c r="CV79" s="13">
        <f t="shared" si="95"/>
        <v>63.739279068930102</v>
      </c>
      <c r="CW79" s="20">
        <f t="shared" si="67"/>
        <v>572.16355371171937</v>
      </c>
      <c r="CX79" s="59">
        <f t="shared" si="68"/>
        <v>865.49688704505274</v>
      </c>
      <c r="CY79" s="59">
        <f ca="1">AVERAGE(OFFSET($CX$3,0,0,'Données projet'!$E$13+1,1))-AVERAGE(OFFSET($H$3,0,0,'Données projet'!$E$13+1,1))</f>
        <v>266.72672633301022</v>
      </c>
      <c r="CZ79" s="59">
        <f t="shared" si="96"/>
        <v>314.26991662544219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1.0854307605511455</v>
      </c>
      <c r="DG79" s="21">
        <f>EXP(-LN(2)/25)*DG78+(1-EXP(-LN(2)/25))/(LN(2)/25)*Calculateur!DB79*Calculateur!DD79*VLOOKUP('Données projet'!$B$13,Paramètres!$A$1:$I$89,3,0)*0.475*44/12</f>
        <v>4.7413226434875941</v>
      </c>
      <c r="DH79" s="21">
        <f>EXP(-LN(2)/2)*DH78+(1-EXP(-LN(2)/2))/(LN(2)/2)*DB79*DE79*VLOOKUP('Données projet'!$B$13,Paramètres!$A$1:$I$89,3,0)*0.475*44/12</f>
        <v>2.9218659240670757E-6</v>
      </c>
      <c r="DI79" s="22">
        <f t="shared" si="69"/>
        <v>5.8267563259046637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</v>
      </c>
      <c r="DO79" s="12">
        <f>IF('Données projet'!$A$166&gt;35,DO78+DN79-DW78,IF(A79&lt;'Données projet'!$A$166,$DL$205^A79,IF(A79='Données projet'!$A$166,'Données projet'!$B$166,DO78+DN79-DW78)))</f>
        <v>379.99999999999994</v>
      </c>
      <c r="DP79" s="17">
        <f>DO79*VLOOKUP('Données projet'!$B$14,Paramètres!$A$1:$I$89,3,0)*VLOOKUP('Données projet'!$B$14,Paramètres!$A$1:$I$89,5,0)</f>
        <v>409.03199999999993</v>
      </c>
      <c r="DQ79" s="13">
        <f t="shared" si="97"/>
        <v>93.605378242957386</v>
      </c>
      <c r="DR79" s="20">
        <f t="shared" si="70"/>
        <v>875.42676710648402</v>
      </c>
      <c r="DS79" s="59">
        <f t="shared" si="71"/>
        <v>1168.7601004398173</v>
      </c>
      <c r="DT79" s="59">
        <f ca="1">AVERAGE(OFFSET($DS$3,0,0,'Données projet'!$E$14+1,1))-AVERAGE(OFFSET($H$3,0,0,'Données projet'!$E$14+1,1))</f>
        <v>442.54137223086991</v>
      </c>
      <c r="DU79" s="59">
        <f t="shared" si="98"/>
        <v>454.23406186660714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0.80244345512173987</v>
      </c>
      <c r="EB79" s="21">
        <f>EXP(-LN(2)/25)*EB78+(1-EXP(-LN(2)/25))/(LN(2)/25)*Calculateur!DW79*Calculateur!DY79*VLOOKUP('Données projet'!$B$14,Paramètres!$A$1:$I$89,3,0)*0.475*44/12</f>
        <v>3.2266127138863498</v>
      </c>
      <c r="EC79" s="21">
        <f>EXP(-LN(2)/2)*EC78+(1-EXP(-LN(2)/2))/(LN(2)/2)*DW79*DZ79*VLOOKUP('Données projet'!$B$14,Paramètres!$A$1:$I$89,3,0)*0.475*44/12</f>
        <v>2.1503243259726196E-6</v>
      </c>
      <c r="ED79" s="22">
        <f t="shared" si="72"/>
        <v>4.0290583193324156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201.49055911472067</v>
      </c>
      <c r="T80" s="59">
        <f t="shared" si="88"/>
        <v>403.37692064114719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29.382967618059055</v>
      </c>
      <c r="AA80" s="21">
        <f>EXP(-LN(2)/25)*AA79+(1-EXP(-LN(2)/25))/(LN(2)/25)*Calculateur!V80*Calculateur!X80*VLOOKUP('Données projet'!$B$9,Paramètres!$A$1:$I$89,3,0)*0.475*44/12</f>
        <v>18.350844918145722</v>
      </c>
      <c r="AB80" s="21">
        <f>EXP(-LN(2)/2)*AB79+(1-EXP(-LN(2)/2))/(LN(2)/2)*V80*Y80*VLOOKUP('Données projet'!$B$9,Paramètres!$A$1:$I$89,3,0)*0.475*44/12</f>
        <v>4.3254311163119539E-5</v>
      </c>
      <c r="AC80" s="22">
        <f t="shared" si="57"/>
        <v>47.733855790515946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39.000000000000057</v>
      </c>
      <c r="AJ80" s="13">
        <f>AI80*VLOOKUP('Données projet'!$B$10,Paramètres!$A$1:$I$89,3,0)*VLOOKUP('Données projet'!$B$10,Paramètres!$A$1:$I$89,5,0)</f>
        <v>34.070400000000056</v>
      </c>
      <c r="AK80" s="13">
        <f t="shared" si="89"/>
        <v>10.412633617059328</v>
      </c>
      <c r="AL80" s="20">
        <f t="shared" si="58"/>
        <v>77.474616883045101</v>
      </c>
      <c r="AM80" s="59">
        <f t="shared" si="59"/>
        <v>370.8079502163784</v>
      </c>
      <c r="AN80" s="59">
        <f ca="1">AVERAGE(OFFSET($AM$3,0,0,'Données projet'!$E$10+1,1))-AVERAGE(OFFSET($H$3,0,0,'Données projet'!$E$10+1,1))</f>
        <v>260.53994021583316</v>
      </c>
      <c r="AO80" s="59">
        <f t="shared" si="90"/>
        <v>669.20238852709122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2.4983072480679839E-5</v>
      </c>
      <c r="AX80" s="21">
        <f t="shared" si="60"/>
        <v>2.4983072480679839E-5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6.1</v>
      </c>
      <c r="BD80" s="12">
        <f>IF('Données projet'!$A$88&gt;35,BD79+BC80-BL79,IF(A80&lt;'Données projet'!$A$88,$BA$205^A80,IF(A80='Données projet'!$A$88,'Données projet'!$B$88,BD79+BC80-BL79)))</f>
        <v>263.70000000000022</v>
      </c>
      <c r="BE80" s="13">
        <f>BD80*VLOOKUP('Données projet'!$B$11,Paramètres!$A$1:$I$89,3,0)*VLOOKUP('Données projet'!$B$11,Paramètres!$A$1:$I$89,5,0)</f>
        <v>267.39180000000022</v>
      </c>
      <c r="BF80" s="13">
        <f t="shared" si="91"/>
        <v>64.29543109795074</v>
      </c>
      <c r="BG80" s="20">
        <f t="shared" si="61"/>
        <v>577.68859416226462</v>
      </c>
      <c r="BH80" s="59">
        <f t="shared" si="62"/>
        <v>871.02192749559799</v>
      </c>
      <c r="BI80" s="59">
        <f ca="1">AVERAGE(OFFSET($BH$3,0,0,'Données projet'!$E$11+1,1))-AVERAGE(OFFSET($H$3,0,0,'Données projet'!$E$11+1,1))</f>
        <v>279.20364724206644</v>
      </c>
      <c r="BJ80" s="59">
        <f t="shared" si="92"/>
        <v>173.99850582760712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0.94567471568186146</v>
      </c>
      <c r="BR80" s="21">
        <f>EXP(-LN(2)/2)*BR79+(1-EXP(-LN(2)/2))/(LN(2)/2)*BL80*BO80*VLOOKUP('Données projet'!$B$11,Paramètres!$A$1:$I$89,3,0)*0.475*44/12</f>
        <v>5.8468958331442837E-7</v>
      </c>
      <c r="BS80" s="22">
        <f t="shared" si="63"/>
        <v>0.94567530037144476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263.70000000000022</v>
      </c>
      <c r="BZ80" s="13">
        <f>BY80*VLOOKUP('Données projet'!$B$12,Paramètres!$A$1:$I$89,3,0)*VLOOKUP('Données projet'!$B$12,Paramètres!$A$1:$I$89,5,0)</f>
        <v>300.30156000000022</v>
      </c>
      <c r="CA80" s="13">
        <f t="shared" si="93"/>
        <v>71.239678337665822</v>
      </c>
      <c r="CB80" s="20">
        <f t="shared" si="64"/>
        <v>647.10099010476836</v>
      </c>
      <c r="CC80" s="59">
        <f t="shared" si="65"/>
        <v>940.43432343810173</v>
      </c>
      <c r="CD80" s="59">
        <f ca="1">AVERAGE(OFFSET($CC$3,0,0,'Données projet'!$E$12+1,1))-AVERAGE(OFFSET($H$3,0,0,'Données projet'!$E$12+1,1))</f>
        <v>327.06866218660838</v>
      </c>
      <c r="CE80" s="59">
        <f t="shared" si="94"/>
        <v>202.18198935334908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1.0620654499196285</v>
      </c>
      <c r="CM80" s="21">
        <f>EXP(-LN(2)/2)*CM79+(1-EXP(-LN(2)/2))/(LN(2)/2)*CG80*CJ80*VLOOKUP('Données projet'!$B$12,Paramètres!$A$1:$I$89,3,0)*0.475*44/12</f>
        <v>6.5665137818389881E-7</v>
      </c>
      <c r="CN80" s="22">
        <f t="shared" si="66"/>
        <v>1.0620661065710066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3.9</v>
      </c>
      <c r="CT80" s="12">
        <f>IF('Données projet'!$A$140&gt;35,CT79+CS80-DB79,IF(A80&lt;'Données projet'!$A$140,$CQ$205^A80,IF(A80='Données projet'!$A$140,'Données projet'!$B$140,CT79+CS80-DB79)))</f>
        <v>330.29999999999956</v>
      </c>
      <c r="CU80" s="17">
        <f>CT80*VLOOKUP('Données projet'!$B$13,Paramètres!$A$1:$I$89,3,0)*VLOOKUP('Données projet'!$B$13,Paramètres!$A$1:$I$89,5,0)</f>
        <v>267.93935999999968</v>
      </c>
      <c r="CV80" s="13">
        <f t="shared" si="95"/>
        <v>64.411754669078491</v>
      </c>
      <c r="CW80" s="20">
        <f t="shared" si="67"/>
        <v>578.84485804864448</v>
      </c>
      <c r="CX80" s="59">
        <f t="shared" si="68"/>
        <v>872.17819138197774</v>
      </c>
      <c r="CY80" s="59">
        <f ca="1">AVERAGE(OFFSET($CX$3,0,0,'Données projet'!$E$13+1,1))-AVERAGE(OFFSET($H$3,0,0,'Données projet'!$E$13+1,1))</f>
        <v>266.72672633301022</v>
      </c>
      <c r="CZ80" s="59">
        <f t="shared" si="96"/>
        <v>314.26991662544219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1.0641461253841298</v>
      </c>
      <c r="DG80" s="21">
        <f>EXP(-LN(2)/25)*DG79+(1-EXP(-LN(2)/25))/(LN(2)/25)*Calculateur!DB80*Calculateur!DD80*VLOOKUP('Données projet'!$B$13,Paramètres!$A$1:$I$89,3,0)*0.475*44/12</f>
        <v>4.6116709264661049</v>
      </c>
      <c r="DH80" s="21">
        <f>EXP(-LN(2)/2)*DH79+(1-EXP(-LN(2)/2))/(LN(2)/2)*DB80*DE80*VLOOKUP('Données projet'!$B$13,Paramètres!$A$1:$I$89,3,0)*0.475*44/12</f>
        <v>2.0660712086257271E-6</v>
      </c>
      <c r="DI80" s="22">
        <f t="shared" si="69"/>
        <v>5.675819117921443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</v>
      </c>
      <c r="DO80" s="12">
        <f>IF('Données projet'!$A$166&gt;35,DO79+DN80-DW79,IF(A80&lt;'Données projet'!$A$166,$DL$205^A80,IF(A80='Données projet'!$A$166,'Données projet'!$B$166,DO79+DN80-DW79)))</f>
        <v>387.99999999999994</v>
      </c>
      <c r="DP80" s="17">
        <f>DO80*VLOOKUP('Données projet'!$B$14,Paramètres!$A$1:$I$89,3,0)*VLOOKUP('Données projet'!$B$14,Paramètres!$A$1:$I$89,5,0)</f>
        <v>417.64319999999987</v>
      </c>
      <c r="DQ80" s="13">
        <f t="shared" si="97"/>
        <v>95.344518374931226</v>
      </c>
      <c r="DR80" s="20">
        <f t="shared" si="70"/>
        <v>893.45360950300494</v>
      </c>
      <c r="DS80" s="59">
        <f t="shared" si="71"/>
        <v>1186.7869428363383</v>
      </c>
      <c r="DT80" s="59">
        <f ca="1">AVERAGE(OFFSET($DS$3,0,0,'Données projet'!$E$14+1,1))-AVERAGE(OFFSET($H$3,0,0,'Données projet'!$E$14+1,1))</f>
        <v>442.54137223086991</v>
      </c>
      <c r="DU80" s="59">
        <f t="shared" si="98"/>
        <v>454.23406186660714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0.7867080284089818</v>
      </c>
      <c r="EB80" s="21">
        <f>EXP(-LN(2)/25)*EB79+(1-EXP(-LN(2)/25))/(LN(2)/25)*Calculateur!DW80*Calculateur!DY80*VLOOKUP('Données projet'!$B$14,Paramètres!$A$1:$I$89,3,0)*0.475*44/12</f>
        <v>3.1383808195449396</v>
      </c>
      <c r="EC80" s="21">
        <f>EXP(-LN(2)/2)*EC79+(1-EXP(-LN(2)/2))/(LN(2)/2)*DW80*DZ80*VLOOKUP('Données projet'!$B$14,Paramètres!$A$1:$I$89,3,0)*0.475*44/12</f>
        <v>1.5205089126456314E-6</v>
      </c>
      <c r="ED80" s="22">
        <f t="shared" si="72"/>
        <v>3.925090368462834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201.49055911472067</v>
      </c>
      <c r="T81" s="59">
        <f t="shared" si="88"/>
        <v>403.37692064114719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28.80678554490953</v>
      </c>
      <c r="AA81" s="21">
        <f>EXP(-LN(2)/25)*AA80+(1-EXP(-LN(2)/25))/(LN(2)/25)*Calculateur!V81*Calculateur!X81*VLOOKUP('Données projet'!$B$9,Paramètres!$A$1:$I$89,3,0)*0.475*44/12</f>
        <v>17.849040098830034</v>
      </c>
      <c r="AB81" s="21">
        <f>EXP(-LN(2)/2)*AB80+(1-EXP(-LN(2)/2))/(LN(2)/2)*V81*Y81*VLOOKUP('Données projet'!$B$9,Paramètres!$A$1:$I$89,3,0)*0.475*44/12</f>
        <v>3.0585416738994807E-5</v>
      </c>
      <c r="AC81" s="22">
        <f t="shared" si="57"/>
        <v>46.655856229156299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39.000000000000057</v>
      </c>
      <c r="AJ81" s="13">
        <f>AI81*VLOOKUP('Données projet'!$B$10,Paramètres!$A$1:$I$89,3,0)*VLOOKUP('Données projet'!$B$10,Paramètres!$A$1:$I$89,5,0)</f>
        <v>34.070400000000056</v>
      </c>
      <c r="AK81" s="13">
        <f t="shared" si="89"/>
        <v>10.412633617059328</v>
      </c>
      <c r="AL81" s="20">
        <f t="shared" si="58"/>
        <v>77.474616883045101</v>
      </c>
      <c r="AM81" s="59">
        <f t="shared" si="59"/>
        <v>370.8079502163784</v>
      </c>
      <c r="AN81" s="59">
        <f ca="1">AVERAGE(OFFSET($AM$3,0,0,'Données projet'!$E$10+1,1))-AVERAGE(OFFSET($H$3,0,0,'Données projet'!$E$10+1,1))</f>
        <v>260.53994021583316</v>
      </c>
      <c r="AO81" s="59">
        <f t="shared" si="90"/>
        <v>669.20238852709122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1.7665699965963735E-5</v>
      </c>
      <c r="AX81" s="21">
        <f t="shared" si="60"/>
        <v>1.7665699965963735E-5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6.1</v>
      </c>
      <c r="BD81" s="12">
        <f>IF('Données projet'!$A$88&gt;35,BD80+BC81-BL80,IF(A81&lt;'Données projet'!$A$88,$BA$205^A81,IF(A81='Données projet'!$A$88,'Données projet'!$B$88,BD80+BC81-BL80)))</f>
        <v>269.80000000000024</v>
      </c>
      <c r="BE81" s="13">
        <f>BD81*VLOOKUP('Données projet'!$B$11,Paramètres!$A$1:$I$89,3,0)*VLOOKUP('Données projet'!$B$11,Paramètres!$A$1:$I$89,5,0)</f>
        <v>273.57720000000029</v>
      </c>
      <c r="BF81" s="13">
        <f t="shared" si="91"/>
        <v>65.607858889915164</v>
      </c>
      <c r="BG81" s="20">
        <f t="shared" si="61"/>
        <v>590.747310899936</v>
      </c>
      <c r="BH81" s="59">
        <f t="shared" si="62"/>
        <v>884.08064423326937</v>
      </c>
      <c r="BI81" s="59">
        <f ca="1">AVERAGE(OFFSET($BH$3,0,0,'Données projet'!$E$11+1,1))-AVERAGE(OFFSET($H$3,0,0,'Données projet'!$E$11+1,1))</f>
        <v>279.20364724206644</v>
      </c>
      <c r="BJ81" s="59">
        <f t="shared" si="92"/>
        <v>173.99850582760712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0.91981519085066898</v>
      </c>
      <c r="BR81" s="21">
        <f>EXP(-LN(2)/2)*BR80+(1-EXP(-LN(2)/2))/(LN(2)/2)*BL81*BO81*VLOOKUP('Données projet'!$B$11,Paramètres!$A$1:$I$89,3,0)*0.475*44/12</f>
        <v>4.1343796925076915E-7</v>
      </c>
      <c r="BS81" s="22">
        <f t="shared" si="63"/>
        <v>0.91981560428863829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269.80000000000024</v>
      </c>
      <c r="BZ81" s="13">
        <f>BY81*VLOOKUP('Données projet'!$B$12,Paramètres!$A$1:$I$89,3,0)*VLOOKUP('Données projet'!$B$12,Paramètres!$A$1:$I$89,5,0)</f>
        <v>307.24824000000029</v>
      </c>
      <c r="CA81" s="13">
        <f t="shared" si="93"/>
        <v>72.693855285301822</v>
      </c>
      <c r="CB81" s="20">
        <f t="shared" si="64"/>
        <v>661.73248262190111</v>
      </c>
      <c r="CC81" s="59">
        <f t="shared" si="65"/>
        <v>955.06581595523448</v>
      </c>
      <c r="CD81" s="59">
        <f ca="1">AVERAGE(OFFSET($CC$3,0,0,'Données projet'!$E$12+1,1))-AVERAGE(OFFSET($H$3,0,0,'Données projet'!$E$12+1,1))</f>
        <v>327.06866218660838</v>
      </c>
      <c r="CE81" s="59">
        <f t="shared" si="94"/>
        <v>202.18198935334908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1.0330232143399816</v>
      </c>
      <c r="CM81" s="21">
        <f>EXP(-LN(2)/2)*CM80+(1-EXP(-LN(2)/2))/(LN(2)/2)*CG81*CJ81*VLOOKUP('Données projet'!$B$12,Paramètres!$A$1:$I$89,3,0)*0.475*44/12</f>
        <v>4.6432264238932701E-7</v>
      </c>
      <c r="CN81" s="22">
        <f t="shared" si="66"/>
        <v>1.0330236786626239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3.9</v>
      </c>
      <c r="CT81" s="12">
        <f>IF('Données projet'!$A$140&gt;35,CT80+CS81-DB80,IF(A81&lt;'Données projet'!$A$140,$CQ$205^A81,IF(A81='Données projet'!$A$140,'Données projet'!$B$140,CT80+CS81-DB80)))</f>
        <v>334.19999999999953</v>
      </c>
      <c r="CU81" s="17">
        <f>CT81*VLOOKUP('Données projet'!$B$13,Paramètres!$A$1:$I$89,3,0)*VLOOKUP('Données projet'!$B$13,Paramètres!$A$1:$I$89,5,0)</f>
        <v>271.10303999999962</v>
      </c>
      <c r="CV81" s="13">
        <f t="shared" si="95"/>
        <v>65.083306639703608</v>
      </c>
      <c r="CW81" s="20">
        <f t="shared" si="67"/>
        <v>585.52455373081636</v>
      </c>
      <c r="CX81" s="59">
        <f t="shared" si="68"/>
        <v>878.85788706414974</v>
      </c>
      <c r="CY81" s="59">
        <f ca="1">AVERAGE(OFFSET($CX$3,0,0,'Données projet'!$E$13+1,1))-AVERAGE(OFFSET($H$3,0,0,'Données projet'!$E$13+1,1))</f>
        <v>266.72672633301022</v>
      </c>
      <c r="CZ81" s="59">
        <f t="shared" si="96"/>
        <v>314.26991662544219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1.0432788689303936</v>
      </c>
      <c r="DG81" s="21">
        <f>EXP(-LN(2)/25)*DG80+(1-EXP(-LN(2)/25))/(LN(2)/25)*Calculateur!DB81*Calculateur!DD81*VLOOKUP('Données projet'!$B$13,Paramètres!$A$1:$I$89,3,0)*0.475*44/12</f>
        <v>4.4855645424646555</v>
      </c>
      <c r="DH81" s="21">
        <f>EXP(-LN(2)/2)*DH80+(1-EXP(-LN(2)/2))/(LN(2)/2)*DB81*DE81*VLOOKUP('Données projet'!$B$13,Paramètres!$A$1:$I$89,3,0)*0.475*44/12</f>
        <v>1.4609329620335378E-6</v>
      </c>
      <c r="DI81" s="22">
        <f t="shared" si="69"/>
        <v>5.528844872328011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</v>
      </c>
      <c r="DO81" s="12">
        <f>IF('Données projet'!$A$166&gt;35,DO80+DN81-DW80,IF(A81&lt;'Données projet'!$A$166,$DL$205^A81,IF(A81='Données projet'!$A$166,'Données projet'!$B$166,DO80+DN81-DW80)))</f>
        <v>395.99999999999994</v>
      </c>
      <c r="DP81" s="17">
        <f>DO81*VLOOKUP('Données projet'!$B$14,Paramètres!$A$1:$I$89,3,0)*VLOOKUP('Données projet'!$B$14,Paramètres!$A$1:$I$89,5,0)</f>
        <v>426.25439999999992</v>
      </c>
      <c r="DQ81" s="13">
        <f t="shared" si="97"/>
        <v>97.079489263049226</v>
      </c>
      <c r="DR81" s="20">
        <f t="shared" si="70"/>
        <v>911.47319046647726</v>
      </c>
      <c r="DS81" s="59">
        <f t="shared" si="71"/>
        <v>1204.8065237998105</v>
      </c>
      <c r="DT81" s="59">
        <f ca="1">AVERAGE(OFFSET($DS$3,0,0,'Données projet'!$E$14+1,1))-AVERAGE(OFFSET($H$3,0,0,'Données projet'!$E$14+1,1))</f>
        <v>442.54137223086991</v>
      </c>
      <c r="DU81" s="59">
        <f t="shared" si="98"/>
        <v>454.23406186660714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0.77128116381639833</v>
      </c>
      <c r="EB81" s="21">
        <f>EXP(-LN(2)/25)*EB80+(1-EXP(-LN(2)/25))/(LN(2)/25)*Calculateur!DW81*Calculateur!DY81*VLOOKUP('Données projet'!$B$14,Paramètres!$A$1:$I$89,3,0)*0.475*44/12</f>
        <v>3.0525616309942087</v>
      </c>
      <c r="EC81" s="21">
        <f>EXP(-LN(2)/2)*EC80+(1-EXP(-LN(2)/2))/(LN(2)/2)*DW81*DZ81*VLOOKUP('Données projet'!$B$14,Paramètres!$A$1:$I$89,3,0)*0.475*44/12</f>
        <v>1.0751621629863098E-6</v>
      </c>
      <c r="ED81" s="22">
        <f t="shared" si="72"/>
        <v>3.8238438699727699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201.49055911472067</v>
      </c>
      <c r="T82" s="59">
        <f t="shared" si="88"/>
        <v>403.37692064114719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28.241902050778105</v>
      </c>
      <c r="AA82" s="21">
        <f>EXP(-LN(2)/25)*AA81+(1-EXP(-LN(2)/25))/(LN(2)/25)*Calculateur!V82*Calculateur!X82*VLOOKUP('Données projet'!$B$9,Paramètres!$A$1:$I$89,3,0)*0.475*44/12</f>
        <v>17.360957158687302</v>
      </c>
      <c r="AB82" s="21">
        <f>EXP(-LN(2)/2)*AB81+(1-EXP(-LN(2)/2))/(LN(2)/2)*V82*Y82*VLOOKUP('Données projet'!$B$9,Paramètres!$A$1:$I$89,3,0)*0.475*44/12</f>
        <v>2.1627155581559769E-5</v>
      </c>
      <c r="AC82" s="22">
        <f t="shared" si="57"/>
        <v>45.60288083662099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39.000000000000057</v>
      </c>
      <c r="AJ82" s="13">
        <f>AI82*VLOOKUP('Données projet'!$B$10,Paramètres!$A$1:$I$89,3,0)*VLOOKUP('Données projet'!$B$10,Paramètres!$A$1:$I$89,5,0)</f>
        <v>34.070400000000056</v>
      </c>
      <c r="AK82" s="13">
        <f t="shared" si="89"/>
        <v>10.412633617059328</v>
      </c>
      <c r="AL82" s="20">
        <f t="shared" si="58"/>
        <v>77.474616883045101</v>
      </c>
      <c r="AM82" s="59">
        <f t="shared" si="59"/>
        <v>370.8079502163784</v>
      </c>
      <c r="AN82" s="59">
        <f ca="1">AVERAGE(OFFSET($AM$3,0,0,'Données projet'!$E$10+1,1))-AVERAGE(OFFSET($H$3,0,0,'Données projet'!$E$10+1,1))</f>
        <v>260.53994021583316</v>
      </c>
      <c r="AO82" s="59">
        <f t="shared" si="90"/>
        <v>669.20238852709122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1.2491536240339919E-5</v>
      </c>
      <c r="AX82" s="21">
        <f t="shared" si="60"/>
        <v>1.2491536240339919E-5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6.1</v>
      </c>
      <c r="BD82" s="12">
        <f>IF('Données projet'!$A$88&gt;35,BD81+BC82-BL81,IF(A82&lt;'Données projet'!$A$88,$BA$205^A82,IF(A82='Données projet'!$A$88,'Données projet'!$B$88,BD81+BC82-BL81)))</f>
        <v>275.90000000000026</v>
      </c>
      <c r="BE82" s="13">
        <f>BD82*VLOOKUP('Données projet'!$B$11,Paramètres!$A$1:$I$89,3,0)*VLOOKUP('Données projet'!$B$11,Paramètres!$A$1:$I$89,5,0)</f>
        <v>279.7626000000003</v>
      </c>
      <c r="BF82" s="13">
        <f t="shared" si="91"/>
        <v>66.916836960258763</v>
      </c>
      <c r="BG82" s="20">
        <f t="shared" si="61"/>
        <v>603.80001937245117</v>
      </c>
      <c r="BH82" s="59">
        <f t="shared" si="62"/>
        <v>897.13335270578455</v>
      </c>
      <c r="BI82" s="59">
        <f ca="1">AVERAGE(OFFSET($BH$3,0,0,'Données projet'!$E$11+1,1))-AVERAGE(OFFSET($H$3,0,0,'Données projet'!$E$11+1,1))</f>
        <v>279.20364724206644</v>
      </c>
      <c r="BJ82" s="59">
        <f t="shared" si="92"/>
        <v>173.99850582760712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0.89466279608587884</v>
      </c>
      <c r="BR82" s="21">
        <f>EXP(-LN(2)/2)*BR81+(1-EXP(-LN(2)/2))/(LN(2)/2)*BL82*BO82*VLOOKUP('Données projet'!$B$11,Paramètres!$A$1:$I$89,3,0)*0.475*44/12</f>
        <v>2.9234479165721419E-7</v>
      </c>
      <c r="BS82" s="22">
        <f t="shared" si="63"/>
        <v>0.89466308843067055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275.90000000000026</v>
      </c>
      <c r="BZ82" s="13">
        <f>BY82*VLOOKUP('Données projet'!$B$12,Paramètres!$A$1:$I$89,3,0)*VLOOKUP('Données projet'!$B$12,Paramètres!$A$1:$I$89,5,0)</f>
        <v>314.19492000000031</v>
      </c>
      <c r="CA82" s="13">
        <f t="shared" si="93"/>
        <v>74.144209923102963</v>
      </c>
      <c r="CB82" s="20">
        <f t="shared" si="64"/>
        <v>676.35731794940477</v>
      </c>
      <c r="CC82" s="59">
        <f t="shared" si="65"/>
        <v>969.69065128273814</v>
      </c>
      <c r="CD82" s="59">
        <f ca="1">AVERAGE(OFFSET($CC$3,0,0,'Données projet'!$E$12+1,1))-AVERAGE(OFFSET($H$3,0,0,'Données projet'!$E$12+1,1))</f>
        <v>327.06866218660838</v>
      </c>
      <c r="CE82" s="59">
        <f t="shared" si="94"/>
        <v>202.18198935334908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1.0047751402195249</v>
      </c>
      <c r="CM82" s="21">
        <f>EXP(-LN(2)/2)*CM81+(1-EXP(-LN(2)/2))/(LN(2)/2)*CG82*CJ82*VLOOKUP('Données projet'!$B$12,Paramètres!$A$1:$I$89,3,0)*0.475*44/12</f>
        <v>3.2832568909194946E-7</v>
      </c>
      <c r="CN82" s="22">
        <f t="shared" si="66"/>
        <v>1.0047754685452139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3.9</v>
      </c>
      <c r="CT82" s="12">
        <f>IF('Données projet'!$A$140&gt;35,CT81+CS82-DB81,IF(A82&lt;'Données projet'!$A$140,$CQ$205^A82,IF(A82='Données projet'!$A$140,'Données projet'!$B$140,CT81+CS82-DB81)))</f>
        <v>338.09999999999951</v>
      </c>
      <c r="CU82" s="17">
        <f>CT82*VLOOKUP('Données projet'!$B$13,Paramètres!$A$1:$I$89,3,0)*VLOOKUP('Données projet'!$B$13,Paramètres!$A$1:$I$89,5,0)</f>
        <v>274.26671999999962</v>
      </c>
      <c r="CV82" s="13">
        <f t="shared" si="95"/>
        <v>65.753947006237524</v>
      </c>
      <c r="CW82" s="20">
        <f t="shared" si="67"/>
        <v>592.20266170252955</v>
      </c>
      <c r="CX82" s="59">
        <f t="shared" si="68"/>
        <v>885.53599503586292</v>
      </c>
      <c r="CY82" s="59">
        <f ca="1">AVERAGE(OFFSET($CX$3,0,0,'Données projet'!$E$13+1,1))-AVERAGE(OFFSET($H$3,0,0,'Données projet'!$E$13+1,1))</f>
        <v>266.72672633301022</v>
      </c>
      <c r="CZ82" s="59">
        <f t="shared" si="96"/>
        <v>314.26991662544219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1.0228208066479456</v>
      </c>
      <c r="DG82" s="21">
        <f>EXP(-LN(2)/25)*DG81+(1-EXP(-LN(2)/25))/(LN(2)/25)*Calculateur!DB82*Calculateur!DD82*VLOOKUP('Données projet'!$B$13,Paramètres!$A$1:$I$89,3,0)*0.475*44/12</f>
        <v>4.362906544165372</v>
      </c>
      <c r="DH82" s="21">
        <f>EXP(-LN(2)/2)*DH81+(1-EXP(-LN(2)/2))/(LN(2)/2)*DB82*DE82*VLOOKUP('Données projet'!$B$13,Paramètres!$A$1:$I$89,3,0)*0.475*44/12</f>
        <v>1.0330356043128636E-6</v>
      </c>
      <c r="DI82" s="22">
        <f t="shared" si="69"/>
        <v>5.3857283838489218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</v>
      </c>
      <c r="DO82" s="12">
        <f>IF('Données projet'!$A$166&gt;35,DO81+DN82-DW81,IF(A82&lt;'Données projet'!$A$166,$DL$205^A82,IF(A82='Données projet'!$A$166,'Données projet'!$B$166,DO81+DN82-DW81)))</f>
        <v>403.99999999999994</v>
      </c>
      <c r="DP82" s="17">
        <f>DO82*VLOOKUP('Données projet'!$B$14,Paramètres!$A$1:$I$89,3,0)*VLOOKUP('Données projet'!$B$14,Paramètres!$A$1:$I$89,5,0)</f>
        <v>434.86559999999992</v>
      </c>
      <c r="DQ82" s="13">
        <f t="shared" si="97"/>
        <v>98.810384840925337</v>
      </c>
      <c r="DR82" s="20">
        <f t="shared" si="70"/>
        <v>929.4856735979447</v>
      </c>
      <c r="DS82" s="59">
        <f t="shared" si="71"/>
        <v>1222.819006931278</v>
      </c>
      <c r="DT82" s="59">
        <f ca="1">AVERAGE(OFFSET($DS$3,0,0,'Données projet'!$E$14+1,1))-AVERAGE(OFFSET($H$3,0,0,'Données projet'!$E$14+1,1))</f>
        <v>442.54137223086991</v>
      </c>
      <c r="DU82" s="59">
        <f t="shared" si="98"/>
        <v>454.23406186660714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0.75615681062901707</v>
      </c>
      <c r="EB82" s="21">
        <f>EXP(-LN(2)/25)*EB81+(1-EXP(-LN(2)/25))/(LN(2)/25)*Calculateur!DW82*Calculateur!DY82*VLOOKUP('Données projet'!$B$14,Paramètres!$A$1:$I$89,3,0)*0.475*44/12</f>
        <v>2.9690891726674327</v>
      </c>
      <c r="EC82" s="21">
        <f>EXP(-LN(2)/2)*EC81+(1-EXP(-LN(2)/2))/(LN(2)/2)*DW82*DZ82*VLOOKUP('Données projet'!$B$14,Paramètres!$A$1:$I$89,3,0)*0.475*44/12</f>
        <v>7.602544563228157E-7</v>
      </c>
      <c r="ED82" s="22">
        <f t="shared" si="72"/>
        <v>3.725246743550906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201.49055911472067</v>
      </c>
      <c r="T83" s="59">
        <f t="shared" si="88"/>
        <v>403.37692064114719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27.688095577421684</v>
      </c>
      <c r="AA83" s="21">
        <f>EXP(-LN(2)/25)*AA82+(1-EXP(-LN(2)/25))/(LN(2)/25)*Calculateur!V83*Calculateur!X83*VLOOKUP('Données projet'!$B$9,Paramètres!$A$1:$I$89,3,0)*0.475*44/12</f>
        <v>16.88622087220994</v>
      </c>
      <c r="AB83" s="21">
        <f>EXP(-LN(2)/2)*AB82+(1-EXP(-LN(2)/2))/(LN(2)/2)*V83*Y83*VLOOKUP('Données projet'!$B$9,Paramètres!$A$1:$I$89,3,0)*0.475*44/12</f>
        <v>1.5292708369497403E-5</v>
      </c>
      <c r="AC83" s="22">
        <f t="shared" si="57"/>
        <v>44.574331742339993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39.000000000000057</v>
      </c>
      <c r="AJ83" s="13">
        <f>AI83*VLOOKUP('Données projet'!$B$10,Paramètres!$A$1:$I$89,3,0)*VLOOKUP('Données projet'!$B$10,Paramètres!$A$1:$I$89,5,0)</f>
        <v>34.070400000000056</v>
      </c>
      <c r="AK83" s="13">
        <f t="shared" si="89"/>
        <v>10.412633617059328</v>
      </c>
      <c r="AL83" s="20">
        <f t="shared" si="58"/>
        <v>77.474616883045101</v>
      </c>
      <c r="AM83" s="59">
        <f t="shared" si="59"/>
        <v>370.8079502163784</v>
      </c>
      <c r="AN83" s="59">
        <f ca="1">AVERAGE(OFFSET($AM$3,0,0,'Données projet'!$E$10+1,1))-AVERAGE(OFFSET($H$3,0,0,'Données projet'!$E$10+1,1))</f>
        <v>260.53994021583316</v>
      </c>
      <c r="AO83" s="59">
        <f t="shared" si="90"/>
        <v>669.20238852709122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8.8328499829818677E-6</v>
      </c>
      <c r="AX83" s="21">
        <f t="shared" si="60"/>
        <v>8.8328499829818677E-6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282</v>
      </c>
      <c r="BB83" s="12">
        <f>VLOOKUP(A83,'Données projet'!$A$87:$I$107,9,0)</f>
        <v>6.1</v>
      </c>
      <c r="BC83" s="12">
        <f t="array" ref="BC83">INDEX(BB:BB,MIN(IF(ISNUMBER(BB83:BB279),ROW(BB83:BB279),"")))</f>
        <v>6.1</v>
      </c>
      <c r="BD83" s="12">
        <f>IF('Données projet'!$A$88&gt;35,BD82+BC83-BL82,IF(A83&lt;'Données projet'!$A$88,$BA$205^A83,IF(A83='Données projet'!$A$88,'Données projet'!$B$88,BD82+BC83-BL82)))</f>
        <v>282.00000000000028</v>
      </c>
      <c r="BE83" s="13">
        <f>BD83*VLOOKUP('Données projet'!$B$11,Paramètres!$A$1:$I$89,3,0)*VLOOKUP('Données projet'!$B$11,Paramètres!$A$1:$I$89,5,0)</f>
        <v>285.94800000000032</v>
      </c>
      <c r="BF83" s="13">
        <f t="shared" si="91"/>
        <v>68.222450362989434</v>
      </c>
      <c r="BG83" s="20">
        <f t="shared" si="61"/>
        <v>616.8468677155405</v>
      </c>
      <c r="BH83" s="59">
        <f t="shared" si="62"/>
        <v>910.18020104887387</v>
      </c>
      <c r="BI83" s="59">
        <f ca="1">AVERAGE(OFFSET($BH$3,0,0,'Données projet'!$E$11+1,1))-AVERAGE(OFFSET($H$3,0,0,'Données projet'!$E$11+1,1))</f>
        <v>279.20364724206644</v>
      </c>
      <c r="BJ83" s="59">
        <f t="shared" si="92"/>
        <v>173.99850582760712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0.87019819487863881</v>
      </c>
      <c r="BR83" s="21">
        <f>EXP(-LN(2)/2)*BR82+(1-EXP(-LN(2)/2))/(LN(2)/2)*BL83*BO83*VLOOKUP('Données projet'!$B$11,Paramètres!$A$1:$I$89,3,0)*0.475*44/12</f>
        <v>2.0671898462538458E-7</v>
      </c>
      <c r="BS83" s="22">
        <f t="shared" si="63"/>
        <v>0.87019840159762341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282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282.00000000000028</v>
      </c>
      <c r="BZ83" s="13">
        <f>BY83*VLOOKUP('Données projet'!$B$12,Paramètres!$A$1:$I$89,3,0)*VLOOKUP('Données projet'!$B$12,Paramètres!$A$1:$I$89,5,0)</f>
        <v>321.14160000000032</v>
      </c>
      <c r="CA83" s="13">
        <f t="shared" si="93"/>
        <v>75.590836491360662</v>
      </c>
      <c r="CB83" s="20">
        <f t="shared" si="64"/>
        <v>690.97566022245371</v>
      </c>
      <c r="CC83" s="59">
        <f t="shared" si="65"/>
        <v>984.30899355578708</v>
      </c>
      <c r="CD83" s="59">
        <f ca="1">AVERAGE(OFFSET($CC$3,0,0,'Données projet'!$E$12+1,1))-AVERAGE(OFFSET($H$3,0,0,'Données projet'!$E$12+1,1))</f>
        <v>327.06866218660838</v>
      </c>
      <c r="CE83" s="59">
        <f t="shared" si="94"/>
        <v>202.18198935334908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0.9772995111713938</v>
      </c>
      <c r="CM83" s="21">
        <f>EXP(-LN(2)/2)*CM82+(1-EXP(-LN(2)/2))/(LN(2)/2)*CG83*CJ83*VLOOKUP('Données projet'!$B$12,Paramètres!$A$1:$I$89,3,0)*0.475*44/12</f>
        <v>2.3216132119466356E-7</v>
      </c>
      <c r="CN83" s="22">
        <f t="shared" si="66"/>
        <v>0.97729974333271497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342</v>
      </c>
      <c r="CR83" s="12">
        <f>VLOOKUP(A83,'Données projet'!$A$139:$I$159,9,0)</f>
        <v>3.9</v>
      </c>
      <c r="CS83" s="12">
        <f t="array" ref="CS83">INDEX(CR:CR,MIN(IF(ISNUMBER(CR83:CR279),ROW(CR83:CR279),"")))</f>
        <v>3.9</v>
      </c>
      <c r="CT83" s="12">
        <f>IF('Données projet'!$A$140&gt;35,CT82+CS83-DB82,IF(A83&lt;'Données projet'!$A$140,$CQ$205^A83,IF(A83='Données projet'!$A$140,'Données projet'!$B$140,CT82+CS83-DB82)))</f>
        <v>341.99999999999949</v>
      </c>
      <c r="CU83" s="17">
        <f>CT83*VLOOKUP('Données projet'!$B$13,Paramètres!$A$1:$I$89,3,0)*VLOOKUP('Données projet'!$B$13,Paramètres!$A$1:$I$89,5,0)</f>
        <v>277.43039999999962</v>
      </c>
      <c r="CV83" s="13">
        <f t="shared" si="95"/>
        <v>66.423687500715616</v>
      </c>
      <c r="CW83" s="20">
        <f t="shared" si="67"/>
        <v>598.8792023970791</v>
      </c>
      <c r="CX83" s="59">
        <f t="shared" si="68"/>
        <v>892.21253573041236</v>
      </c>
      <c r="CY83" s="59">
        <f ca="1">AVERAGE(OFFSET($CX$3,0,0,'Données projet'!$E$13+1,1))-AVERAGE(OFFSET($H$3,0,0,'Données projet'!$E$13+1,1))</f>
        <v>266.72672633301022</v>
      </c>
      <c r="CZ83" s="59">
        <f t="shared" si="96"/>
        <v>314.26991662544219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342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1.0027639144886704</v>
      </c>
      <c r="DG83" s="21">
        <f>EXP(-LN(2)/25)*DG82+(1-EXP(-LN(2)/25))/(LN(2)/25)*Calculateur!DB83*Calculateur!DD83*VLOOKUP('Données projet'!$B$13,Paramètres!$A$1:$I$89,3,0)*0.475*44/12</f>
        <v>4.2436026352798866</v>
      </c>
      <c r="DH83" s="21">
        <f>EXP(-LN(2)/2)*DH82+(1-EXP(-LN(2)/2))/(LN(2)/2)*DB83*DE83*VLOOKUP('Données projet'!$B$13,Paramètres!$A$1:$I$89,3,0)*0.475*44/12</f>
        <v>7.3046648101676892E-7</v>
      </c>
      <c r="DI83" s="22">
        <f t="shared" si="69"/>
        <v>5.2463672802350381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412</v>
      </c>
      <c r="DM83" s="12">
        <f>VLOOKUP(A83,'Données projet'!$A$165:$I$185,9,0)</f>
        <v>8</v>
      </c>
      <c r="DN83" s="12">
        <f t="array" ref="DN83">INDEX(DM:DM,MIN(IF(ISNUMBER(DM83:DM279),ROW(DM83:DM279),"")))</f>
        <v>8</v>
      </c>
      <c r="DO83" s="12">
        <f>IF('Données projet'!$A$166&gt;35,DO82+DN83-DW82,IF(A83&lt;'Données projet'!$A$166,$DL$205^A83,IF(A83='Données projet'!$A$166,'Données projet'!$B$166,DO82+DN83-DW82)))</f>
        <v>411.99999999999994</v>
      </c>
      <c r="DP83" s="17">
        <f>DO83*VLOOKUP('Données projet'!$B$14,Paramètres!$A$1:$I$89,3,0)*VLOOKUP('Données projet'!$B$14,Paramètres!$A$1:$I$89,5,0)</f>
        <v>443.47679999999991</v>
      </c>
      <c r="DQ83" s="13">
        <f t="shared" si="97"/>
        <v>100.53729510928066</v>
      </c>
      <c r="DR83" s="20">
        <f t="shared" si="70"/>
        <v>947.49121564866357</v>
      </c>
      <c r="DS83" s="59">
        <f t="shared" si="71"/>
        <v>1240.8245489819969</v>
      </c>
      <c r="DT83" s="59">
        <f ca="1">AVERAGE(OFFSET($DS$3,0,0,'Données projet'!$E$14+1,1))-AVERAGE(OFFSET($H$3,0,0,'Données projet'!$E$14+1,1))</f>
        <v>442.54137223086991</v>
      </c>
      <c r="DU83" s="59">
        <f t="shared" si="98"/>
        <v>454.23406186660714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412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0.74132903678269579</v>
      </c>
      <c r="EB83" s="21">
        <f>EXP(-LN(2)/25)*EB82+(1-EXP(-LN(2)/25))/(LN(2)/25)*Calculateur!DW83*Calculateur!DY83*VLOOKUP('Données projet'!$B$14,Paramètres!$A$1:$I$89,3,0)*0.475*44/12</f>
        <v>2.887899273103228</v>
      </c>
      <c r="EC83" s="21">
        <f>EXP(-LN(2)/2)*EC82+(1-EXP(-LN(2)/2))/(LN(2)/2)*DW83*DZ83*VLOOKUP('Données projet'!$B$14,Paramètres!$A$1:$I$89,3,0)*0.475*44/12</f>
        <v>5.3758108149315489E-7</v>
      </c>
      <c r="ED83" s="22">
        <f t="shared" si="72"/>
        <v>3.6292288474670054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201.49055911472067</v>
      </c>
      <c r="T84" s="59">
        <f t="shared" si="88"/>
        <v>403.37692064114719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27.145148911219188</v>
      </c>
      <c r="AA84" s="21">
        <f>EXP(-LN(2)/25)*AA83+(1-EXP(-LN(2)/25))/(LN(2)/25)*Calculateur!V84*Calculateur!X84*VLOOKUP('Données projet'!$B$9,Paramètres!$A$1:$I$89,3,0)*0.475*44/12</f>
        <v>16.424466274451596</v>
      </c>
      <c r="AB84" s="21">
        <f>EXP(-LN(2)/2)*AB83+(1-EXP(-LN(2)/2))/(LN(2)/2)*V84*Y84*VLOOKUP('Données projet'!$B$9,Paramètres!$A$1:$I$89,3,0)*0.475*44/12</f>
        <v>1.0813577790779885E-5</v>
      </c>
      <c r="AC84" s="22">
        <f t="shared" si="57"/>
        <v>43.569625999248572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39.000000000000057</v>
      </c>
      <c r="AJ84" s="13">
        <f>AI84*VLOOKUP('Données projet'!$B$10,Paramètres!$A$1:$I$89,3,0)*VLOOKUP('Données projet'!$B$10,Paramètres!$A$1:$I$89,5,0)</f>
        <v>34.070400000000056</v>
      </c>
      <c r="AK84" s="13">
        <f t="shared" si="89"/>
        <v>10.412633617059328</v>
      </c>
      <c r="AL84" s="20">
        <f t="shared" si="58"/>
        <v>77.474616883045101</v>
      </c>
      <c r="AM84" s="59">
        <f t="shared" si="59"/>
        <v>370.8079502163784</v>
      </c>
      <c r="AN84" s="59">
        <f ca="1">AVERAGE(OFFSET($AM$3,0,0,'Données projet'!$E$10+1,1))-AVERAGE(OFFSET($H$3,0,0,'Données projet'!$E$10+1,1))</f>
        <v>260.53994021583316</v>
      </c>
      <c r="AO84" s="59">
        <f t="shared" si="90"/>
        <v>669.20238852709122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6.2457681201699597E-6</v>
      </c>
      <c r="AX84" s="21">
        <f t="shared" si="60"/>
        <v>6.2457681201699597E-6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</v>
      </c>
      <c r="BD84" s="12">
        <f>IF('Données projet'!$A$88&gt;35,BD83+BC84-BL83,IF(A84&lt;'Données projet'!$A$88,$BA$205^A84,IF(A84='Données projet'!$A$88,'Données projet'!$B$88,BD83+BC84-BL83)))</f>
        <v>245.60000000000031</v>
      </c>
      <c r="BE84" s="13">
        <f>BD84*VLOOKUP('Données projet'!$B$11,Paramètres!$A$1:$I$89,3,0)*VLOOKUP('Données projet'!$B$11,Paramètres!$A$1:$I$89,5,0)</f>
        <v>249.03840000000034</v>
      </c>
      <c r="BF84" s="13">
        <f t="shared" si="91"/>
        <v>60.379982523340054</v>
      </c>
      <c r="BG84" s="20">
        <f t="shared" si="61"/>
        <v>538.90368289481785</v>
      </c>
      <c r="BH84" s="59">
        <f t="shared" si="62"/>
        <v>832.23701622815111</v>
      </c>
      <c r="BI84" s="59">
        <f ca="1">AVERAGE(OFFSET($BH$3,0,0,'Données projet'!$E$11+1,1))-AVERAGE(OFFSET($H$3,0,0,'Données projet'!$E$11+1,1))</f>
        <v>279.20364724206644</v>
      </c>
      <c r="BJ84" s="59">
        <f t="shared" si="92"/>
        <v>173.99850582760712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0.84640257947794828</v>
      </c>
      <c r="BR84" s="21">
        <f>EXP(-LN(2)/2)*BR83+(1-EXP(-LN(2)/2))/(LN(2)/2)*BL84*BO84*VLOOKUP('Données projet'!$B$11,Paramètres!$A$1:$I$89,3,0)*0.475*44/12</f>
        <v>1.4617239582860709E-7</v>
      </c>
      <c r="BS84" s="22">
        <f t="shared" si="63"/>
        <v>0.84640272565034413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5.6</v>
      </c>
      <c r="BY84" s="12">
        <f>IF('Données projet'!$A$114&gt;35,BY83+BX84-CG83,IF(A84&lt;'Données projet'!$A$114,$BV$205^A84,IF(A84='Données projet'!$A$114,'Données projet'!$B$114,BY83+BX84-CG83)))</f>
        <v>245.60000000000031</v>
      </c>
      <c r="BZ84" s="13">
        <f>BY84*VLOOKUP('Données projet'!$B$12,Paramètres!$A$1:$I$89,3,0)*VLOOKUP('Données projet'!$B$12,Paramètres!$A$1:$I$89,5,0)</f>
        <v>279.68928000000034</v>
      </c>
      <c r="CA84" s="13">
        <f t="shared" si="93"/>
        <v>66.901340570274641</v>
      </c>
      <c r="CB84" s="20">
        <f t="shared" si="64"/>
        <v>603.64533082656214</v>
      </c>
      <c r="CC84" s="59">
        <f t="shared" si="65"/>
        <v>896.97866415989552</v>
      </c>
      <c r="CD84" s="59">
        <f ca="1">AVERAGE(OFFSET($CC$3,0,0,'Données projet'!$E$12+1,1))-AVERAGE(OFFSET($H$3,0,0,'Données projet'!$E$12+1,1))</f>
        <v>327.06866218660838</v>
      </c>
      <c r="CE84" s="59">
        <f t="shared" si="94"/>
        <v>202.18198935334908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0.95057520464446443</v>
      </c>
      <c r="CM84" s="21">
        <f>EXP(-LN(2)/2)*CM83+(1-EXP(-LN(2)/2))/(LN(2)/2)*CG84*CJ84*VLOOKUP('Données projet'!$B$12,Paramètres!$A$1:$I$89,3,0)*0.475*44/12</f>
        <v>1.6416284454597476E-7</v>
      </c>
      <c r="CN84" s="22">
        <f t="shared" si="66"/>
        <v>0.95057536880730897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-5.1159076974727213E-13</v>
      </c>
      <c r="CU84" s="17">
        <f>CT84*VLOOKUP('Données projet'!$B$13,Paramètres!$A$1:$I$89,3,0)*VLOOKUP('Données projet'!$B$13,Paramètres!$A$1:$I$89,5,0)</f>
        <v>-4.1500243241898714E-13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266.72672633301022</v>
      </c>
      <c r="CZ84" s="59">
        <f t="shared" si="96"/>
        <v>314.26991662544219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0.98310032575114237</v>
      </c>
      <c r="DG84" s="21">
        <f>EXP(-LN(2)/25)*DG83+(1-EXP(-LN(2)/25))/(LN(2)/25)*Calculateur!DB84*Calculateur!DD84*VLOOKUP('Données projet'!$B$13,Paramètres!$A$1:$I$89,3,0)*0.475*44/12</f>
        <v>4.1275610980567947</v>
      </c>
      <c r="DH84" s="21">
        <f>EXP(-LN(2)/2)*DH83+(1-EXP(-LN(2)/2))/(LN(2)/2)*DB84*DE84*VLOOKUP('Données projet'!$B$13,Paramètres!$A$1:$I$89,3,0)*0.475*44/12</f>
        <v>5.1651780215643178E-7</v>
      </c>
      <c r="DI84" s="22">
        <f t="shared" si="69"/>
        <v>5.1106619403257385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-5.6843418860808015E-14</v>
      </c>
      <c r="DP84" s="17">
        <f>DO84*VLOOKUP('Données projet'!$B$14,Paramètres!$A$1:$I$89,3,0)*VLOOKUP('Données projet'!$B$14,Paramètres!$A$1:$I$89,5,0)</f>
        <v>-6.1186256061773749E-14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442.54137223086991</v>
      </c>
      <c r="DU84" s="59">
        <f t="shared" si="98"/>
        <v>454.23406186660714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0.7267920265374519</v>
      </c>
      <c r="EB84" s="21">
        <f>EXP(-LN(2)/25)*EB83+(1-EXP(-LN(2)/25))/(LN(2)/25)*Calculateur!DW84*Calculateur!DY84*VLOOKUP('Données projet'!$B$14,Paramètres!$A$1:$I$89,3,0)*0.475*44/12</f>
        <v>2.8089295156121978</v>
      </c>
      <c r="EC84" s="21">
        <f>EXP(-LN(2)/2)*EC83+(1-EXP(-LN(2)/2))/(LN(2)/2)*DW84*DZ84*VLOOKUP('Données projet'!$B$14,Paramètres!$A$1:$I$89,3,0)*0.475*44/12</f>
        <v>3.8012722816140785E-7</v>
      </c>
      <c r="ED84" s="22">
        <f t="shared" si="72"/>
        <v>3.5357219222768781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201.49055911472067</v>
      </c>
      <c r="T85" s="59">
        <f t="shared" si="88"/>
        <v>403.37692064114719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26.612849097976156</v>
      </c>
      <c r="AA85" s="21">
        <f>EXP(-LN(2)/25)*AA84+(1-EXP(-LN(2)/25))/(LN(2)/25)*Calculateur!V85*Calculateur!X85*VLOOKUP('Données projet'!$B$9,Paramètres!$A$1:$I$89,3,0)*0.475*44/12</f>
        <v>15.975338380451575</v>
      </c>
      <c r="AB85" s="21">
        <f>EXP(-LN(2)/2)*AB84+(1-EXP(-LN(2)/2))/(LN(2)/2)*V85*Y85*VLOOKUP('Données projet'!$B$9,Paramètres!$A$1:$I$89,3,0)*0.475*44/12</f>
        <v>7.6463541847487017E-6</v>
      </c>
      <c r="AC85" s="22">
        <f t="shared" si="57"/>
        <v>42.588195124781912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39.000000000000057</v>
      </c>
      <c r="AJ85" s="13">
        <f>AI85*VLOOKUP('Données projet'!$B$10,Paramètres!$A$1:$I$89,3,0)*VLOOKUP('Données projet'!$B$10,Paramètres!$A$1:$I$89,5,0)</f>
        <v>34.070400000000056</v>
      </c>
      <c r="AK85" s="13">
        <f t="shared" si="89"/>
        <v>10.412633617059328</v>
      </c>
      <c r="AL85" s="20">
        <f t="shared" si="58"/>
        <v>77.474616883045101</v>
      </c>
      <c r="AM85" s="59">
        <f t="shared" si="59"/>
        <v>370.8079502163784</v>
      </c>
      <c r="AN85" s="59">
        <f ca="1">AVERAGE(OFFSET($AM$3,0,0,'Données projet'!$E$10+1,1))-AVERAGE(OFFSET($H$3,0,0,'Données projet'!$E$10+1,1))</f>
        <v>260.53994021583316</v>
      </c>
      <c r="AO85" s="59">
        <f t="shared" si="90"/>
        <v>669.20238852709122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4.4164249914909338E-6</v>
      </c>
      <c r="AX85" s="21">
        <f t="shared" si="60"/>
        <v>4.4164249914909338E-6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</v>
      </c>
      <c r="BD85" s="12">
        <f>IF('Données projet'!$A$88&gt;35,BD84+BC85-BL84,IF(A85&lt;'Données projet'!$A$88,$BA$205^A85,IF(A85='Données projet'!$A$88,'Données projet'!$B$88,BD84+BC85-BL84)))</f>
        <v>251.2000000000003</v>
      </c>
      <c r="BE85" s="13">
        <f>BD85*VLOOKUP('Données projet'!$B$11,Paramètres!$A$1:$I$89,3,0)*VLOOKUP('Données projet'!$B$11,Paramètres!$A$1:$I$89,5,0)</f>
        <v>254.71680000000032</v>
      </c>
      <c r="BF85" s="13">
        <f t="shared" si="91"/>
        <v>61.594871205031644</v>
      </c>
      <c r="BG85" s="20">
        <f t="shared" si="61"/>
        <v>550.9094940154306</v>
      </c>
      <c r="BH85" s="59">
        <f t="shared" si="62"/>
        <v>844.24282734876397</v>
      </c>
      <c r="BI85" s="59">
        <f ca="1">AVERAGE(OFFSET($BH$3,0,0,'Données projet'!$E$11+1,1))-AVERAGE(OFFSET($H$3,0,0,'Données projet'!$E$11+1,1))</f>
        <v>279.20364724206644</v>
      </c>
      <c r="BJ85" s="59">
        <f t="shared" si="92"/>
        <v>173.99850582760712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0.82325765643174664</v>
      </c>
      <c r="BR85" s="21">
        <f>EXP(-LN(2)/2)*BR84+(1-EXP(-LN(2)/2))/(LN(2)/2)*BL85*BO85*VLOOKUP('Données projet'!$B$11,Paramètres!$A$1:$I$89,3,0)*0.475*44/12</f>
        <v>1.0335949231269229E-7</v>
      </c>
      <c r="BS85" s="22">
        <f t="shared" si="63"/>
        <v>0.82325775979123894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5.6</v>
      </c>
      <c r="BY85" s="12">
        <f>IF('Données projet'!$A$114&gt;35,BY84+BX85-CG84,IF(A85&lt;'Données projet'!$A$114,$BV$205^A85,IF(A85='Données projet'!$A$114,'Données projet'!$B$114,BY84+BX85-CG84)))</f>
        <v>251.2000000000003</v>
      </c>
      <c r="BZ85" s="13">
        <f>BY85*VLOOKUP('Données projet'!$B$12,Paramètres!$A$1:$I$89,3,0)*VLOOKUP('Données projet'!$B$12,Paramètres!$A$1:$I$89,5,0)</f>
        <v>286.06656000000032</v>
      </c>
      <c r="CA85" s="13">
        <f t="shared" si="93"/>
        <v>68.247443666899471</v>
      </c>
      <c r="CB85" s="20">
        <f t="shared" si="64"/>
        <v>617.09688971985042</v>
      </c>
      <c r="CC85" s="59">
        <f t="shared" si="65"/>
        <v>910.43022305318368</v>
      </c>
      <c r="CD85" s="59">
        <f ca="1">AVERAGE(OFFSET($CC$3,0,0,'Données projet'!$E$12+1,1))-AVERAGE(OFFSET($H$3,0,0,'Données projet'!$E$12+1,1))</f>
        <v>327.06866218660838</v>
      </c>
      <c r="CE85" s="59">
        <f t="shared" si="94"/>
        <v>202.18198935334908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0.92458167568488414</v>
      </c>
      <c r="CM85" s="21">
        <f>EXP(-LN(2)/2)*CM84+(1-EXP(-LN(2)/2))/(LN(2)/2)*CG85*CJ85*VLOOKUP('Données projet'!$B$12,Paramètres!$A$1:$I$89,3,0)*0.475*44/12</f>
        <v>1.1608066059733179E-7</v>
      </c>
      <c r="CN85" s="22">
        <f t="shared" si="66"/>
        <v>0.92458179176554478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-5.1159076974727213E-13</v>
      </c>
      <c r="CU85" s="17">
        <f>CT85*VLOOKUP('Données projet'!$B$13,Paramètres!$A$1:$I$89,3,0)*VLOOKUP('Données projet'!$B$13,Paramètres!$A$1:$I$89,5,0)</f>
        <v>-4.1500243241898714E-13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266.72672633301022</v>
      </c>
      <c r="CZ85" s="59">
        <f t="shared" si="96"/>
        <v>314.26991662544219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0.96382232799515244</v>
      </c>
      <c r="DG85" s="21">
        <f>EXP(-LN(2)/25)*DG84+(1-EXP(-LN(2)/25))/(LN(2)/25)*Calculateur!DB85*Calculateur!DD85*VLOOKUP('Données projet'!$B$13,Paramètres!$A$1:$I$89,3,0)*0.475*44/12</f>
        <v>4.0146927227714269</v>
      </c>
      <c r="DH85" s="21">
        <f>EXP(-LN(2)/2)*DH84+(1-EXP(-LN(2)/2))/(LN(2)/2)*DB85*DE85*VLOOKUP('Données projet'!$B$13,Paramètres!$A$1:$I$89,3,0)*0.475*44/12</f>
        <v>3.6523324050838446E-7</v>
      </c>
      <c r="DI85" s="22">
        <f t="shared" si="69"/>
        <v>4.9785154159998193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-5.6843418860808015E-14</v>
      </c>
      <c r="DP85" s="17">
        <f>DO85*VLOOKUP('Données projet'!$B$14,Paramètres!$A$1:$I$89,3,0)*VLOOKUP('Données projet'!$B$14,Paramètres!$A$1:$I$89,5,0)</f>
        <v>-6.1186256061773749E-14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442.54137223086991</v>
      </c>
      <c r="DU85" s="59">
        <f t="shared" si="98"/>
        <v>454.23406186660714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0.71254007819641652</v>
      </c>
      <c r="EB85" s="21">
        <f>EXP(-LN(2)/25)*EB84+(1-EXP(-LN(2)/25))/(LN(2)/25)*Calculateur!DW85*Calculateur!DY85*VLOOKUP('Données projet'!$B$14,Paramètres!$A$1:$I$89,3,0)*0.475*44/12</f>
        <v>2.732119190292599</v>
      </c>
      <c r="EC85" s="21">
        <f>EXP(-LN(2)/2)*EC84+(1-EXP(-LN(2)/2))/(LN(2)/2)*DW85*DZ85*VLOOKUP('Données projet'!$B$14,Paramètres!$A$1:$I$89,3,0)*0.475*44/12</f>
        <v>2.6879054074657745E-7</v>
      </c>
      <c r="ED85" s="22">
        <f t="shared" si="72"/>
        <v>3.4446595372795565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201.49055911472067</v>
      </c>
      <c r="T86" s="59">
        <f t="shared" si="88"/>
        <v>403.37692064114719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26.090987359399993</v>
      </c>
      <c r="AA86" s="21">
        <f>EXP(-LN(2)/25)*AA85+(1-EXP(-LN(2)/25))/(LN(2)/25)*Calculateur!V86*Calculateur!X86*VLOOKUP('Données projet'!$B$9,Paramètres!$A$1:$I$89,3,0)*0.475*44/12</f>
        <v>15.538491912331594</v>
      </c>
      <c r="AB86" s="21">
        <f>EXP(-LN(2)/2)*AB85+(1-EXP(-LN(2)/2))/(LN(2)/2)*V86*Y86*VLOOKUP('Données projet'!$B$9,Paramètres!$A$1:$I$89,3,0)*0.475*44/12</f>
        <v>5.4067888953899423E-6</v>
      </c>
      <c r="AC86" s="22">
        <f t="shared" si="57"/>
        <v>41.629484678520477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39.000000000000057</v>
      </c>
      <c r="AJ86" s="13">
        <f>AI86*VLOOKUP('Données projet'!$B$10,Paramètres!$A$1:$I$89,3,0)*VLOOKUP('Données projet'!$B$10,Paramètres!$A$1:$I$89,5,0)</f>
        <v>34.070400000000056</v>
      </c>
      <c r="AK86" s="13">
        <f t="shared" si="89"/>
        <v>10.412633617059328</v>
      </c>
      <c r="AL86" s="20">
        <f t="shared" si="58"/>
        <v>77.474616883045101</v>
      </c>
      <c r="AM86" s="59">
        <f t="shared" si="59"/>
        <v>370.8079502163784</v>
      </c>
      <c r="AN86" s="59">
        <f ca="1">AVERAGE(OFFSET($AM$3,0,0,'Données projet'!$E$10+1,1))-AVERAGE(OFFSET($H$3,0,0,'Données projet'!$E$10+1,1))</f>
        <v>260.53994021583316</v>
      </c>
      <c r="AO86" s="59">
        <f t="shared" si="90"/>
        <v>669.20238852709122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3.1228840600849798E-6</v>
      </c>
      <c r="AX86" s="21">
        <f t="shared" si="60"/>
        <v>3.1228840600849798E-6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</v>
      </c>
      <c r="BD86" s="12">
        <f>IF('Données projet'!$A$88&gt;35,BD85+BC86-BL85,IF(A86&lt;'Données projet'!$A$88,$BA$205^A86,IF(A86='Données projet'!$A$88,'Données projet'!$B$88,BD85+BC86-BL85)))</f>
        <v>256.8000000000003</v>
      </c>
      <c r="BE86" s="13">
        <f>BD86*VLOOKUP('Données projet'!$B$11,Paramètres!$A$1:$I$89,3,0)*VLOOKUP('Données projet'!$B$11,Paramètres!$A$1:$I$89,5,0)</f>
        <v>260.39520000000027</v>
      </c>
      <c r="BF86" s="13">
        <f t="shared" si="91"/>
        <v>62.80661117771438</v>
      </c>
      <c r="BG86" s="20">
        <f t="shared" si="61"/>
        <v>562.90982113451958</v>
      </c>
      <c r="BH86" s="59">
        <f t="shared" si="62"/>
        <v>856.24315446785295</v>
      </c>
      <c r="BI86" s="59">
        <f ca="1">AVERAGE(OFFSET($BH$3,0,0,'Données projet'!$E$11+1,1))-AVERAGE(OFFSET($H$3,0,0,'Données projet'!$E$11+1,1))</f>
        <v>279.20364724206644</v>
      </c>
      <c r="BJ86" s="59">
        <f t="shared" si="92"/>
        <v>173.99850582760712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0.80074563252338193</v>
      </c>
      <c r="BR86" s="21">
        <f>EXP(-LN(2)/2)*BR85+(1-EXP(-LN(2)/2))/(LN(2)/2)*BL86*BO86*VLOOKUP('Données projet'!$B$11,Paramètres!$A$1:$I$89,3,0)*0.475*44/12</f>
        <v>7.3086197914303546E-8</v>
      </c>
      <c r="BS86" s="22">
        <f t="shared" si="63"/>
        <v>0.80074570560957981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5.6</v>
      </c>
      <c r="BY86" s="12">
        <f>IF('Données projet'!$A$114&gt;35,BY85+BX86-CG85,IF(A86&lt;'Données projet'!$A$114,$BV$205^A86,IF(A86='Données projet'!$A$114,'Données projet'!$B$114,BY85+BX86-CG85)))</f>
        <v>256.8000000000003</v>
      </c>
      <c r="BZ86" s="13">
        <f>BY86*VLOOKUP('Données projet'!$B$12,Paramètres!$A$1:$I$89,3,0)*VLOOKUP('Données projet'!$B$12,Paramètres!$A$1:$I$89,5,0)</f>
        <v>292.44384000000031</v>
      </c>
      <c r="CA86" s="13">
        <f t="shared" si="93"/>
        <v>69.590057977258482</v>
      </c>
      <c r="CB86" s="20">
        <f t="shared" si="64"/>
        <v>630.54237231039235</v>
      </c>
      <c r="CC86" s="59">
        <f t="shared" si="65"/>
        <v>923.87570564372572</v>
      </c>
      <c r="CD86" s="59">
        <f ca="1">AVERAGE(OFFSET($CC$3,0,0,'Données projet'!$E$12+1,1))-AVERAGE(OFFSET($H$3,0,0,'Données projet'!$E$12+1,1))</f>
        <v>327.06866218660838</v>
      </c>
      <c r="CE86" s="59">
        <f t="shared" si="94"/>
        <v>202.18198935334908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0.89929894114164377</v>
      </c>
      <c r="CM86" s="21">
        <f>EXP(-LN(2)/2)*CM85+(1-EXP(-LN(2)/2))/(LN(2)/2)*CG86*CJ86*VLOOKUP('Données projet'!$B$12,Paramètres!$A$1:$I$89,3,0)*0.475*44/12</f>
        <v>8.2081422272987391E-8</v>
      </c>
      <c r="CN86" s="22">
        <f t="shared" si="66"/>
        <v>0.8992990232230661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-5.1159076974727213E-13</v>
      </c>
      <c r="CU86" s="17">
        <f>CT86*VLOOKUP('Données projet'!$B$13,Paramètres!$A$1:$I$89,3,0)*VLOOKUP('Données projet'!$B$13,Paramètres!$A$1:$I$89,5,0)</f>
        <v>-4.1500243241898714E-13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266.72672633301022</v>
      </c>
      <c r="CZ86" s="59">
        <f t="shared" si="96"/>
        <v>314.26991662544219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0.9449223600167399</v>
      </c>
      <c r="DG86" s="21">
        <f>EXP(-LN(2)/25)*DG85+(1-EXP(-LN(2)/25))/(LN(2)/25)*Calculateur!DB86*Calculateur!DD86*VLOOKUP('Données projet'!$B$13,Paramètres!$A$1:$I$89,3,0)*0.475*44/12</f>
        <v>3.9049107391437277</v>
      </c>
      <c r="DH86" s="21">
        <f>EXP(-LN(2)/2)*DH85+(1-EXP(-LN(2)/2))/(LN(2)/2)*DB86*DE86*VLOOKUP('Données projet'!$B$13,Paramètres!$A$1:$I$89,3,0)*0.475*44/12</f>
        <v>2.5825890107821589E-7</v>
      </c>
      <c r="DI86" s="22">
        <f t="shared" si="69"/>
        <v>4.8498333574193691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-5.6843418860808015E-14</v>
      </c>
      <c r="DP86" s="17">
        <f>DO86*VLOOKUP('Données projet'!$B$14,Paramètres!$A$1:$I$89,3,0)*VLOOKUP('Données projet'!$B$14,Paramètres!$A$1:$I$89,5,0)</f>
        <v>-6.1186256061773749E-14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442.54137223086991</v>
      </c>
      <c r="DU86" s="59">
        <f t="shared" si="98"/>
        <v>454.23406186660714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0.69856760186951861</v>
      </c>
      <c r="EB86" s="21">
        <f>EXP(-LN(2)/25)*EB85+(1-EXP(-LN(2)/25))/(LN(2)/25)*Calculateur!DW86*Calculateur!DY86*VLOOKUP('Données projet'!$B$14,Paramètres!$A$1:$I$89,3,0)*0.475*44/12</f>
        <v>2.6574092473581441</v>
      </c>
      <c r="EC86" s="21">
        <f>EXP(-LN(2)/2)*EC85+(1-EXP(-LN(2)/2))/(LN(2)/2)*DW86*DZ86*VLOOKUP('Données projet'!$B$14,Paramètres!$A$1:$I$89,3,0)*0.475*44/12</f>
        <v>1.9006361408070393E-7</v>
      </c>
      <c r="ED86" s="22">
        <f t="shared" si="72"/>
        <v>3.3559770392912767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201.49055911472067</v>
      </c>
      <c r="T87" s="59">
        <f t="shared" si="88"/>
        <v>403.37692064114719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25.579359011213079</v>
      </c>
      <c r="AA87" s="21">
        <f>EXP(-LN(2)/25)*AA86+(1-EXP(-LN(2)/25))/(LN(2)/25)*Calculateur!V87*Calculateur!X87*VLOOKUP('Données projet'!$B$9,Paramètres!$A$1:$I$89,3,0)*0.475*44/12</f>
        <v>15.11359103385511</v>
      </c>
      <c r="AB87" s="21">
        <f>EXP(-LN(2)/2)*AB86+(1-EXP(-LN(2)/2))/(LN(2)/2)*V87*Y87*VLOOKUP('Données projet'!$B$9,Paramètres!$A$1:$I$89,3,0)*0.475*44/12</f>
        <v>3.8231770923743509E-6</v>
      </c>
      <c r="AC87" s="22">
        <f t="shared" si="57"/>
        <v>40.692953868245283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39.000000000000057</v>
      </c>
      <c r="AJ87" s="13">
        <f>AI87*VLOOKUP('Données projet'!$B$10,Paramètres!$A$1:$I$89,3,0)*VLOOKUP('Données projet'!$B$10,Paramètres!$A$1:$I$89,5,0)</f>
        <v>34.070400000000056</v>
      </c>
      <c r="AK87" s="13">
        <f t="shared" si="89"/>
        <v>10.412633617059328</v>
      </c>
      <c r="AL87" s="20">
        <f t="shared" si="58"/>
        <v>77.474616883045101</v>
      </c>
      <c r="AM87" s="59">
        <f t="shared" si="59"/>
        <v>370.8079502163784</v>
      </c>
      <c r="AN87" s="59">
        <f ca="1">AVERAGE(OFFSET($AM$3,0,0,'Données projet'!$E$10+1,1))-AVERAGE(OFFSET($H$3,0,0,'Données projet'!$E$10+1,1))</f>
        <v>260.53994021583316</v>
      </c>
      <c r="AO87" s="59">
        <f t="shared" si="90"/>
        <v>669.20238852709122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2.2082124957454669E-6</v>
      </c>
      <c r="AX87" s="21">
        <f t="shared" si="60"/>
        <v>2.2082124957454669E-6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</v>
      </c>
      <c r="BD87" s="12">
        <f>IF('Données projet'!$A$88&gt;35,BD86+BC87-BL86,IF(A87&lt;'Données projet'!$A$88,$BA$205^A87,IF(A87='Données projet'!$A$88,'Données projet'!$B$88,BD86+BC87-BL86)))</f>
        <v>262.40000000000032</v>
      </c>
      <c r="BE87" s="13">
        <f>BD87*VLOOKUP('Données projet'!$B$11,Paramètres!$A$1:$I$89,3,0)*VLOOKUP('Données projet'!$B$11,Paramètres!$A$1:$I$89,5,0)</f>
        <v>266.07360000000034</v>
      </c>
      <c r="BF87" s="13">
        <f t="shared" si="91"/>
        <v>64.015279012301193</v>
      </c>
      <c r="BG87" s="20">
        <f t="shared" si="61"/>
        <v>574.90479761309177</v>
      </c>
      <c r="BH87" s="59">
        <f t="shared" si="62"/>
        <v>868.23813094642514</v>
      </c>
      <c r="BI87" s="59">
        <f ca="1">AVERAGE(OFFSET($BH$3,0,0,'Données projet'!$E$11+1,1))-AVERAGE(OFFSET($H$3,0,0,'Données projet'!$E$11+1,1))</f>
        <v>279.20364724206644</v>
      </c>
      <c r="BJ87" s="59">
        <f t="shared" si="92"/>
        <v>173.99850582760712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0.77884920109264733</v>
      </c>
      <c r="BR87" s="21">
        <f>EXP(-LN(2)/2)*BR86+(1-EXP(-LN(2)/2))/(LN(2)/2)*BL87*BO87*VLOOKUP('Données projet'!$B$11,Paramètres!$A$1:$I$89,3,0)*0.475*44/12</f>
        <v>5.1679746156346144E-8</v>
      </c>
      <c r="BS87" s="22">
        <f t="shared" si="63"/>
        <v>0.77884925277239347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5.6</v>
      </c>
      <c r="BY87" s="12">
        <f>IF('Données projet'!$A$114&gt;35,BY86+BX87-CG86,IF(A87&lt;'Données projet'!$A$114,$BV$205^A87,IF(A87='Données projet'!$A$114,'Données projet'!$B$114,BY86+BX87-CG86)))</f>
        <v>262.40000000000032</v>
      </c>
      <c r="BZ87" s="13">
        <f>BY87*VLOOKUP('Données projet'!$B$12,Paramètres!$A$1:$I$89,3,0)*VLOOKUP('Données projet'!$B$12,Paramètres!$A$1:$I$89,5,0)</f>
        <v>298.82112000000035</v>
      </c>
      <c r="CA87" s="13">
        <f t="shared" si="93"/>
        <v>70.929268342328911</v>
      </c>
      <c r="CB87" s="20">
        <f t="shared" si="64"/>
        <v>643.98192636289014</v>
      </c>
      <c r="CC87" s="59">
        <f t="shared" si="65"/>
        <v>937.31525969622339</v>
      </c>
      <c r="CD87" s="59">
        <f ca="1">AVERAGE(OFFSET($CC$3,0,0,'Données projet'!$E$12+1,1))-AVERAGE(OFFSET($H$3,0,0,'Données projet'!$E$12+1,1))</f>
        <v>327.06866218660838</v>
      </c>
      <c r="CE87" s="59">
        <f t="shared" si="94"/>
        <v>202.18198935334908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0.87470756430404961</v>
      </c>
      <c r="CM87" s="21">
        <f>EXP(-LN(2)/2)*CM86+(1-EXP(-LN(2)/2))/(LN(2)/2)*CG87*CJ87*VLOOKUP('Données projet'!$B$12,Paramètres!$A$1:$I$89,3,0)*0.475*44/12</f>
        <v>5.804033029866591E-8</v>
      </c>
      <c r="CN87" s="22">
        <f t="shared" si="66"/>
        <v>0.87470762234437993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-5.1159076974727213E-13</v>
      </c>
      <c r="CU87" s="17">
        <f>CT87*VLOOKUP('Données projet'!$B$13,Paramètres!$A$1:$I$89,3,0)*VLOOKUP('Données projet'!$B$13,Paramètres!$A$1:$I$89,5,0)</f>
        <v>-4.1500243241898714E-13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266.72672633301022</v>
      </c>
      <c r="CZ87" s="59">
        <f t="shared" si="96"/>
        <v>314.26991662544219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0.92639300888254184</v>
      </c>
      <c r="DG87" s="21">
        <f>EXP(-LN(2)/25)*DG86+(1-EXP(-LN(2)/25))/(LN(2)/25)*Calculateur!DB87*Calculateur!DD87*VLOOKUP('Données projet'!$B$13,Paramètres!$A$1:$I$89,3,0)*0.475*44/12</f>
        <v>3.7981307496315115</v>
      </c>
      <c r="DH87" s="21">
        <f>EXP(-LN(2)/2)*DH86+(1-EXP(-LN(2)/2))/(LN(2)/2)*DB87*DE87*VLOOKUP('Données projet'!$B$13,Paramètres!$A$1:$I$89,3,0)*0.475*44/12</f>
        <v>1.8261662025419223E-7</v>
      </c>
      <c r="DI87" s="22">
        <f t="shared" si="69"/>
        <v>4.7245239411306734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-5.6843418860808015E-14</v>
      </c>
      <c r="DP87" s="17">
        <f>DO87*VLOOKUP('Données projet'!$B$14,Paramètres!$A$1:$I$89,3,0)*VLOOKUP('Données projet'!$B$14,Paramètres!$A$1:$I$89,5,0)</f>
        <v>-6.1186256061773749E-14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442.54137223086991</v>
      </c>
      <c r="DU87" s="59">
        <f t="shared" si="98"/>
        <v>454.23406186660714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0.68486911728102218</v>
      </c>
      <c r="EB87" s="21">
        <f>EXP(-LN(2)/25)*EB86+(1-EXP(-LN(2)/25))/(LN(2)/25)*Calculateur!DW87*Calculateur!DY87*VLOOKUP('Données projet'!$B$14,Paramètres!$A$1:$I$89,3,0)*0.475*44/12</f>
        <v>2.5847422517420569</v>
      </c>
      <c r="EC87" s="21">
        <f>EXP(-LN(2)/2)*EC86+(1-EXP(-LN(2)/2))/(LN(2)/2)*DW87*DZ87*VLOOKUP('Données projet'!$B$14,Paramètres!$A$1:$I$89,3,0)*0.475*44/12</f>
        <v>1.3439527037328872E-7</v>
      </c>
      <c r="ED87" s="22">
        <f t="shared" si="72"/>
        <v>3.2696115034183495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201.49055911472067</v>
      </c>
      <c r="T88" s="59">
        <f t="shared" si="88"/>
        <v>403.37692064114719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25.07776338287163</v>
      </c>
      <c r="AA88" s="21">
        <f>EXP(-LN(2)/25)*AA87+(1-EXP(-LN(2)/25))/(LN(2)/25)*Calculateur!V88*Calculateur!X88*VLOOKUP('Données projet'!$B$9,Paramètres!$A$1:$I$89,3,0)*0.475*44/12</f>
        <v>14.700309092245133</v>
      </c>
      <c r="AB88" s="21">
        <f>EXP(-LN(2)/2)*AB87+(1-EXP(-LN(2)/2))/(LN(2)/2)*V88*Y88*VLOOKUP('Données projet'!$B$9,Paramètres!$A$1:$I$89,3,0)*0.475*44/12</f>
        <v>2.7033944476949712E-6</v>
      </c>
      <c r="AC88" s="22">
        <f t="shared" si="57"/>
        <v>39.778075178511216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39.000000000000057</v>
      </c>
      <c r="AJ88" s="13">
        <f>AI88*VLOOKUP('Données projet'!$B$10,Paramètres!$A$1:$I$89,3,0)*VLOOKUP('Données projet'!$B$10,Paramètres!$A$1:$I$89,5,0)</f>
        <v>34.070400000000056</v>
      </c>
      <c r="AK88" s="13">
        <f t="shared" si="89"/>
        <v>10.412633617059328</v>
      </c>
      <c r="AL88" s="20">
        <f t="shared" si="58"/>
        <v>77.474616883045101</v>
      </c>
      <c r="AM88" s="59">
        <f t="shared" si="59"/>
        <v>370.8079502163784</v>
      </c>
      <c r="AN88" s="59">
        <f ca="1">AVERAGE(OFFSET($AM$3,0,0,'Données projet'!$E$10+1,1))-AVERAGE(OFFSET($H$3,0,0,'Données projet'!$E$10+1,1))</f>
        <v>260.53994021583316</v>
      </c>
      <c r="AO88" s="59">
        <f t="shared" si="90"/>
        <v>669.20238852709122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1.5614420300424899E-6</v>
      </c>
      <c r="AX88" s="21">
        <f t="shared" si="60"/>
        <v>1.5614420300424899E-6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</v>
      </c>
      <c r="BD88" s="12">
        <f>IF('Données projet'!$A$88&gt;35,BD87+BC88-BL87,IF(A88&lt;'Données projet'!$A$88,$BA$205^A88,IF(A88='Données projet'!$A$88,'Données projet'!$B$88,BD87+BC88-BL87)))</f>
        <v>268.00000000000034</v>
      </c>
      <c r="BE88" s="13">
        <f>BD88*VLOOKUP('Données projet'!$B$11,Paramètres!$A$1:$I$89,3,0)*VLOOKUP('Données projet'!$B$11,Paramètres!$A$1:$I$89,5,0)</f>
        <v>271.75200000000035</v>
      </c>
      <c r="BF88" s="13">
        <f t="shared" si="91"/>
        <v>65.220947824725044</v>
      </c>
      <c r="BG88" s="20">
        <f t="shared" si="61"/>
        <v>586.89455079472998</v>
      </c>
      <c r="BH88" s="59">
        <f t="shared" si="62"/>
        <v>880.22788412806335</v>
      </c>
      <c r="BI88" s="59">
        <f ca="1">AVERAGE(OFFSET($BH$3,0,0,'Données projet'!$E$11+1,1))-AVERAGE(OFFSET($H$3,0,0,'Données projet'!$E$11+1,1))</f>
        <v>279.20364724206644</v>
      </c>
      <c r="BJ88" s="59">
        <f t="shared" si="92"/>
        <v>173.99850582760712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0.75755152873086951</v>
      </c>
      <c r="BR88" s="21">
        <f>EXP(-LN(2)/2)*BR87+(1-EXP(-LN(2)/2))/(LN(2)/2)*BL88*BO88*VLOOKUP('Données projet'!$B$11,Paramètres!$A$1:$I$89,3,0)*0.475*44/12</f>
        <v>3.6543098957151773E-8</v>
      </c>
      <c r="BS88" s="22">
        <f t="shared" si="63"/>
        <v>0.7575515652739685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5.6</v>
      </c>
      <c r="BY88" s="12">
        <f>IF('Données projet'!$A$114&gt;35,BY87+BX88-CG87,IF(A88&lt;'Données projet'!$A$114,$BV$205^A88,IF(A88='Données projet'!$A$114,'Données projet'!$B$114,BY87+BX88-CG87)))</f>
        <v>268.00000000000034</v>
      </c>
      <c r="BZ88" s="13">
        <f>BY88*VLOOKUP('Données projet'!$B$12,Paramètres!$A$1:$I$89,3,0)*VLOOKUP('Données projet'!$B$12,Paramètres!$A$1:$I$89,5,0)</f>
        <v>305.19840000000039</v>
      </c>
      <c r="CA88" s="13">
        <f t="shared" si="93"/>
        <v>72.265155774951907</v>
      </c>
      <c r="CB88" s="20">
        <f t="shared" si="64"/>
        <v>657.41569297470858</v>
      </c>
      <c r="CC88" s="59">
        <f t="shared" si="65"/>
        <v>950.74902630804195</v>
      </c>
      <c r="CD88" s="59">
        <f ca="1">AVERAGE(OFFSET($CC$3,0,0,'Données projet'!$E$12+1,1))-AVERAGE(OFFSET($H$3,0,0,'Données projet'!$E$12+1,1))</f>
        <v>327.06866218660838</v>
      </c>
      <c r="CE88" s="59">
        <f t="shared" si="94"/>
        <v>202.18198935334908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0.85078863995928378</v>
      </c>
      <c r="CM88" s="21">
        <f>EXP(-LN(2)/2)*CM87+(1-EXP(-LN(2)/2))/(LN(2)/2)*CG88*CJ88*VLOOKUP('Données projet'!$B$12,Paramètres!$A$1:$I$89,3,0)*0.475*44/12</f>
        <v>4.1040711136493702E-8</v>
      </c>
      <c r="CN88" s="22">
        <f t="shared" si="66"/>
        <v>0.85078868099999494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-5.1159076974727213E-13</v>
      </c>
      <c r="CU88" s="17">
        <f>CT88*VLOOKUP('Données projet'!$B$13,Paramètres!$A$1:$I$89,3,0)*VLOOKUP('Données projet'!$B$13,Paramètres!$A$1:$I$89,5,0)</f>
        <v>-4.1500243241898714E-13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266.72672633301022</v>
      </c>
      <c r="CZ88" s="59">
        <f t="shared" si="96"/>
        <v>314.26991662544219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0.90822700702229719</v>
      </c>
      <c r="DG88" s="21">
        <f>EXP(-LN(2)/25)*DG87+(1-EXP(-LN(2)/25))/(LN(2)/25)*Calculateur!DB88*Calculateur!DD88*VLOOKUP('Données projet'!$B$13,Paramètres!$A$1:$I$89,3,0)*0.475*44/12</f>
        <v>3.6942706645478225</v>
      </c>
      <c r="DH88" s="21">
        <f>EXP(-LN(2)/2)*DH87+(1-EXP(-LN(2)/2))/(LN(2)/2)*DB88*DE88*VLOOKUP('Données projet'!$B$13,Paramètres!$A$1:$I$89,3,0)*0.475*44/12</f>
        <v>1.2912945053910795E-7</v>
      </c>
      <c r="DI88" s="22">
        <f t="shared" si="69"/>
        <v>4.6024978006995703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-5.6843418860808015E-14</v>
      </c>
      <c r="DP88" s="17">
        <f>DO88*VLOOKUP('Données projet'!$B$14,Paramètres!$A$1:$I$89,3,0)*VLOOKUP('Données projet'!$B$14,Paramètres!$A$1:$I$89,5,0)</f>
        <v>-6.1186256061773749E-14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442.54137223086991</v>
      </c>
      <c r="DU88" s="59">
        <f t="shared" si="98"/>
        <v>454.23406186660714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0.67143925162005558</v>
      </c>
      <c r="EB88" s="21">
        <f>EXP(-LN(2)/25)*EB87+(1-EXP(-LN(2)/25))/(LN(2)/25)*Calculateur!DW88*Calculateur!DY88*VLOOKUP('Données projet'!$B$14,Paramètres!$A$1:$I$89,3,0)*0.475*44/12</f>
        <v>2.514062338942483</v>
      </c>
      <c r="EC88" s="21">
        <f>EXP(-LN(2)/2)*EC87+(1-EXP(-LN(2)/2))/(LN(2)/2)*DW88*DZ88*VLOOKUP('Données projet'!$B$14,Paramètres!$A$1:$I$89,3,0)*0.475*44/12</f>
        <v>9.5031807040351963E-8</v>
      </c>
      <c r="ED88" s="22">
        <f t="shared" si="72"/>
        <v>3.1855016855943457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201.49055911472067</v>
      </c>
      <c r="T89" s="59">
        <f t="shared" si="88"/>
        <v>403.37692064114719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24.586003738858835</v>
      </c>
      <c r="AA89" s="21">
        <f>EXP(-LN(2)/25)*AA88+(1-EXP(-LN(2)/25))/(LN(2)/25)*Calculateur!V89*Calculateur!X89*VLOOKUP('Données projet'!$B$9,Paramètres!$A$1:$I$89,3,0)*0.475*44/12</f>
        <v>14.298328367062032</v>
      </c>
      <c r="AB89" s="21">
        <f>EXP(-LN(2)/2)*AB88+(1-EXP(-LN(2)/2))/(LN(2)/2)*V89*Y89*VLOOKUP('Données projet'!$B$9,Paramètres!$A$1:$I$89,3,0)*0.475*44/12</f>
        <v>1.9115885461871754E-6</v>
      </c>
      <c r="AC89" s="22">
        <f t="shared" si="57"/>
        <v>38.884334017509417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39.000000000000057</v>
      </c>
      <c r="AJ89" s="13">
        <f>AI89*VLOOKUP('Données projet'!$B$10,Paramètres!$A$1:$I$89,3,0)*VLOOKUP('Données projet'!$B$10,Paramètres!$A$1:$I$89,5,0)</f>
        <v>34.070400000000056</v>
      </c>
      <c r="AK89" s="13">
        <f t="shared" si="89"/>
        <v>10.412633617059328</v>
      </c>
      <c r="AL89" s="20">
        <f t="shared" si="58"/>
        <v>77.474616883045101</v>
      </c>
      <c r="AM89" s="59">
        <f t="shared" si="59"/>
        <v>370.8079502163784</v>
      </c>
      <c r="AN89" s="59">
        <f ca="1">AVERAGE(OFFSET($AM$3,0,0,'Données projet'!$E$10+1,1))-AVERAGE(OFFSET($H$3,0,0,'Données projet'!$E$10+1,1))</f>
        <v>260.53994021583316</v>
      </c>
      <c r="AO89" s="59">
        <f t="shared" si="90"/>
        <v>669.20238852709122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1.1041062478727335E-6</v>
      </c>
      <c r="AX89" s="21">
        <f t="shared" si="60"/>
        <v>1.1041062478727335E-6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273.60000000000036</v>
      </c>
      <c r="BE89" s="13">
        <f>BD89*VLOOKUP('Données projet'!$B$11,Paramètres!$A$1:$I$89,3,0)*VLOOKUP('Données projet'!$B$11,Paramètres!$A$1:$I$89,5,0)</f>
        <v>277.43040000000036</v>
      </c>
      <c r="BF89" s="13">
        <f t="shared" si="91"/>
        <v>66.423687500715801</v>
      </c>
      <c r="BG89" s="20">
        <f t="shared" si="61"/>
        <v>598.87920239708058</v>
      </c>
      <c r="BH89" s="59">
        <f t="shared" si="62"/>
        <v>892.21253573041395</v>
      </c>
      <c r="BI89" s="59">
        <f ca="1">AVERAGE(OFFSET($BH$3,0,0,'Données projet'!$E$11+1,1))-AVERAGE(OFFSET($H$3,0,0,'Données projet'!$E$11+1,1))</f>
        <v>279.20364724206644</v>
      </c>
      <c r="BJ89" s="59">
        <f t="shared" si="92"/>
        <v>173.99850582760712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0.73683624233982037</v>
      </c>
      <c r="BR89" s="21">
        <f>EXP(-LN(2)/2)*BR88+(1-EXP(-LN(2)/2))/(LN(2)/2)*BL89*BO89*VLOOKUP('Données projet'!$B$11,Paramètres!$A$1:$I$89,3,0)*0.475*44/12</f>
        <v>2.5839873078173072E-8</v>
      </c>
      <c r="BS89" s="22">
        <f t="shared" si="63"/>
        <v>0.7368362681796935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273.60000000000036</v>
      </c>
      <c r="BZ89" s="13">
        <f>BY89*VLOOKUP('Données projet'!$B$12,Paramètres!$A$1:$I$89,3,0)*VLOOKUP('Données projet'!$B$12,Paramètres!$A$1:$I$89,5,0)</f>
        <v>311.57568000000043</v>
      </c>
      <c r="CA89" s="13">
        <f t="shared" si="93"/>
        <v>73.597797708886475</v>
      </c>
      <c r="CB89" s="20">
        <f t="shared" si="64"/>
        <v>670.84380700964471</v>
      </c>
      <c r="CC89" s="59">
        <f t="shared" si="65"/>
        <v>964.17714034297796</v>
      </c>
      <c r="CD89" s="59">
        <f ca="1">AVERAGE(OFFSET($CC$3,0,0,'Données projet'!$E$12+1,1))-AVERAGE(OFFSET($H$3,0,0,'Données projet'!$E$12+1,1))</f>
        <v>327.06866218660838</v>
      </c>
      <c r="CE89" s="59">
        <f t="shared" si="94"/>
        <v>202.18198935334908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0.82752377985856707</v>
      </c>
      <c r="CM89" s="21">
        <f>EXP(-LN(2)/2)*CM88+(1-EXP(-LN(2)/2))/(LN(2)/2)*CG89*CJ89*VLOOKUP('Données projet'!$B$12,Paramètres!$A$1:$I$89,3,0)*0.475*44/12</f>
        <v>2.9020165149332958E-8</v>
      </c>
      <c r="CN89" s="22">
        <f t="shared" si="66"/>
        <v>0.82752380887873223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-5.1159076974727213E-13</v>
      </c>
      <c r="CU89" s="17">
        <f>CT89*VLOOKUP('Données projet'!$B$13,Paramètres!$A$1:$I$89,3,0)*VLOOKUP('Données projet'!$B$13,Paramètres!$A$1:$I$89,5,0)</f>
        <v>-4.1500243241898714E-13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266.72672633301022</v>
      </c>
      <c r="CZ89" s="59">
        <f t="shared" si="96"/>
        <v>314.26991662544219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0.89041722937836487</v>
      </c>
      <c r="DG89" s="21">
        <f>EXP(-LN(2)/25)*DG88+(1-EXP(-LN(2)/25))/(LN(2)/25)*Calculateur!DB89*Calculateur!DD89*VLOOKUP('Données projet'!$B$13,Paramètres!$A$1:$I$89,3,0)*0.475*44/12</f>
        <v>3.5932506389525116</v>
      </c>
      <c r="DH89" s="21">
        <f>EXP(-LN(2)/2)*DH88+(1-EXP(-LN(2)/2))/(LN(2)/2)*DB89*DE89*VLOOKUP('Données projet'!$B$13,Paramètres!$A$1:$I$89,3,0)*0.475*44/12</f>
        <v>9.1308310127096115E-8</v>
      </c>
      <c r="DI89" s="22">
        <f t="shared" si="69"/>
        <v>4.4836679596391864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-5.6843418860808015E-14</v>
      </c>
      <c r="DP89" s="17">
        <f>DO89*VLOOKUP('Données projet'!$B$14,Paramètres!$A$1:$I$89,3,0)*VLOOKUP('Données projet'!$B$14,Paramètres!$A$1:$I$89,5,0)</f>
        <v>-6.1186256061773749E-14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442.54137223086991</v>
      </c>
      <c r="DU89" s="59">
        <f t="shared" si="98"/>
        <v>454.23406186660714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0.65827273743329129</v>
      </c>
      <c r="EB89" s="21">
        <f>EXP(-LN(2)/25)*EB88+(1-EXP(-LN(2)/25))/(LN(2)/25)*Calculateur!DW89*Calculateur!DY89*VLOOKUP('Données projet'!$B$14,Paramètres!$A$1:$I$89,3,0)*0.475*44/12</f>
        <v>2.4453151720753086</v>
      </c>
      <c r="EC89" s="21">
        <f>EXP(-LN(2)/2)*EC88+(1-EXP(-LN(2)/2))/(LN(2)/2)*DW89*DZ89*VLOOKUP('Données projet'!$B$14,Paramètres!$A$1:$I$89,3,0)*0.475*44/12</f>
        <v>6.7197635186644362E-8</v>
      </c>
      <c r="ED89" s="22">
        <f t="shared" si="72"/>
        <v>3.1035879767062351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201.49055911472067</v>
      </c>
      <c r="T90" s="59">
        <f t="shared" si="88"/>
        <v>403.37692064114719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24.103887201521363</v>
      </c>
      <c r="AA90" s="21">
        <f>EXP(-LN(2)/25)*AA89+(1-EXP(-LN(2)/25))/(LN(2)/25)*Calculateur!V90*Calculateur!X90*VLOOKUP('Données projet'!$B$9,Paramètres!$A$1:$I$89,3,0)*0.475*44/12</f>
        <v>13.907339825948311</v>
      </c>
      <c r="AB90" s="21">
        <f>EXP(-LN(2)/2)*AB89+(1-EXP(-LN(2)/2))/(LN(2)/2)*V90*Y90*VLOOKUP('Données projet'!$B$9,Paramètres!$A$1:$I$89,3,0)*0.475*44/12</f>
        <v>1.3516972238474856E-6</v>
      </c>
      <c r="AC90" s="22">
        <f t="shared" si="57"/>
        <v>38.011228379166894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39.000000000000057</v>
      </c>
      <c r="AJ90" s="13">
        <f>AI90*VLOOKUP('Données projet'!$B$10,Paramètres!$A$1:$I$89,3,0)*VLOOKUP('Données projet'!$B$10,Paramètres!$A$1:$I$89,5,0)</f>
        <v>34.070400000000056</v>
      </c>
      <c r="AK90" s="13">
        <f t="shared" si="89"/>
        <v>10.412633617059328</v>
      </c>
      <c r="AL90" s="20">
        <f t="shared" si="58"/>
        <v>77.474616883045101</v>
      </c>
      <c r="AM90" s="59">
        <f t="shared" si="59"/>
        <v>370.8079502163784</v>
      </c>
      <c r="AN90" s="59">
        <f ca="1">AVERAGE(OFFSET($AM$3,0,0,'Données projet'!$E$10+1,1))-AVERAGE(OFFSET($H$3,0,0,'Données projet'!$E$10+1,1))</f>
        <v>260.53994021583316</v>
      </c>
      <c r="AO90" s="59">
        <f t="shared" si="90"/>
        <v>669.20238852709122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7.8072101502124496E-7</v>
      </c>
      <c r="AX90" s="21">
        <f t="shared" si="60"/>
        <v>7.8072101502124496E-7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279.20000000000039</v>
      </c>
      <c r="BE90" s="13">
        <f>BD90*VLOOKUP('Données projet'!$B$11,Paramètres!$A$1:$I$89,3,0)*VLOOKUP('Données projet'!$B$11,Paramètres!$A$1:$I$89,5,0)</f>
        <v>283.10880000000037</v>
      </c>
      <c r="BF90" s="13">
        <f t="shared" si="91"/>
        <v>67.623564901653921</v>
      </c>
      <c r="BG90" s="20">
        <f t="shared" si="61"/>
        <v>610.85886887038123</v>
      </c>
      <c r="BH90" s="59">
        <f t="shared" si="62"/>
        <v>904.19220220371449</v>
      </c>
      <c r="BI90" s="59">
        <f ca="1">AVERAGE(OFFSET($BH$3,0,0,'Données projet'!$E$11+1,1))-AVERAGE(OFFSET($H$3,0,0,'Données projet'!$E$11+1,1))</f>
        <v>279.20364724206644</v>
      </c>
      <c r="BJ90" s="59">
        <f t="shared" si="92"/>
        <v>173.99850582760712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0.71668741654450407</v>
      </c>
      <c r="BR90" s="21">
        <f>EXP(-LN(2)/2)*BR89+(1-EXP(-LN(2)/2))/(LN(2)/2)*BL90*BO90*VLOOKUP('Données projet'!$B$11,Paramètres!$A$1:$I$89,3,0)*0.475*44/12</f>
        <v>1.8271549478575887E-8</v>
      </c>
      <c r="BS90" s="22">
        <f t="shared" si="63"/>
        <v>0.71668743481605357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279.20000000000039</v>
      </c>
      <c r="BZ90" s="13">
        <f>BY90*VLOOKUP('Données projet'!$B$12,Paramètres!$A$1:$I$89,3,0)*VLOOKUP('Données projet'!$B$12,Paramètres!$A$1:$I$89,5,0)</f>
        <v>317.95296000000047</v>
      </c>
      <c r="CA90" s="13">
        <f t="shared" si="93"/>
        <v>74.927268226896445</v>
      </c>
      <c r="CB90" s="20">
        <f t="shared" si="64"/>
        <v>684.26639749517881</v>
      </c>
      <c r="CC90" s="59">
        <f t="shared" si="65"/>
        <v>977.59973082851207</v>
      </c>
      <c r="CD90" s="59">
        <f ca="1">AVERAGE(OFFSET($CC$3,0,0,'Données projet'!$E$12+1,1))-AVERAGE(OFFSET($H$3,0,0,'Données projet'!$E$12+1,1))</f>
        <v>327.06866218660838</v>
      </c>
      <c r="CE90" s="59">
        <f t="shared" si="94"/>
        <v>202.18198935334908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0.80489509858075026</v>
      </c>
      <c r="CM90" s="21">
        <f>EXP(-LN(2)/2)*CM89+(1-EXP(-LN(2)/2))/(LN(2)/2)*CG90*CJ90*VLOOKUP('Données projet'!$B$12,Paramètres!$A$1:$I$89,3,0)*0.475*44/12</f>
        <v>2.0520355568246854E-8</v>
      </c>
      <c r="CN90" s="22">
        <f t="shared" si="66"/>
        <v>0.80489511910110578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-5.1159076974727213E-13</v>
      </c>
      <c r="CU90" s="17">
        <f>CT90*VLOOKUP('Données projet'!$B$13,Paramètres!$A$1:$I$89,3,0)*VLOOKUP('Données projet'!$B$13,Paramètres!$A$1:$I$89,5,0)</f>
        <v>-4.1500243241898714E-13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266.72672633301022</v>
      </c>
      <c r="CZ90" s="59">
        <f t="shared" si="96"/>
        <v>314.26991662544219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0.87295669061113834</v>
      </c>
      <c r="DG90" s="21">
        <f>EXP(-LN(2)/25)*DG89+(1-EXP(-LN(2)/25))/(LN(2)/25)*Calculateur!DB90*Calculateur!DD90*VLOOKUP('Données projet'!$B$13,Paramètres!$A$1:$I$89,3,0)*0.475*44/12</f>
        <v>3.4949930112695164</v>
      </c>
      <c r="DH90" s="21">
        <f>EXP(-LN(2)/2)*DH89+(1-EXP(-LN(2)/2))/(LN(2)/2)*DB90*DE90*VLOOKUP('Données projet'!$B$13,Paramètres!$A$1:$I$89,3,0)*0.475*44/12</f>
        <v>6.4564725269553973E-8</v>
      </c>
      <c r="DI90" s="22">
        <f t="shared" si="69"/>
        <v>4.3679497664453795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-5.6843418860808015E-14</v>
      </c>
      <c r="DP90" s="17">
        <f>DO90*VLOOKUP('Données projet'!$B$14,Paramètres!$A$1:$I$89,3,0)*VLOOKUP('Données projet'!$B$14,Paramètres!$A$1:$I$89,5,0)</f>
        <v>-6.1186256061773749E-14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442.54137223086991</v>
      </c>
      <c r="DU90" s="59">
        <f t="shared" si="98"/>
        <v>454.23406186660714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0.64536441055894878</v>
      </c>
      <c r="EB90" s="21">
        <f>EXP(-LN(2)/25)*EB89+(1-EXP(-LN(2)/25))/(LN(2)/25)*Calculateur!DW90*Calculateur!DY90*VLOOKUP('Données projet'!$B$14,Paramètres!$A$1:$I$89,3,0)*0.475*44/12</f>
        <v>2.3784479001013734</v>
      </c>
      <c r="EC90" s="21">
        <f>EXP(-LN(2)/2)*EC89+(1-EXP(-LN(2)/2))/(LN(2)/2)*DW90*DZ90*VLOOKUP('Données projet'!$B$14,Paramètres!$A$1:$I$89,3,0)*0.475*44/12</f>
        <v>4.7515903520175981E-8</v>
      </c>
      <c r="ED90" s="22">
        <f t="shared" si="72"/>
        <v>3.023812358176226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201.49055911472067</v>
      </c>
      <c r="T91" s="59">
        <f t="shared" si="88"/>
        <v>403.37692064114719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23.631224675419027</v>
      </c>
      <c r="AA91" s="21">
        <f>EXP(-LN(2)/25)*AA90+(1-EXP(-LN(2)/25))/(LN(2)/25)*Calculateur!V91*Calculateur!X91*VLOOKUP('Données projet'!$B$9,Paramètres!$A$1:$I$89,3,0)*0.475*44/12</f>
        <v>13.527042887052538</v>
      </c>
      <c r="AB91" s="21">
        <f>EXP(-LN(2)/2)*AB90+(1-EXP(-LN(2)/2))/(LN(2)/2)*V91*Y91*VLOOKUP('Données projet'!$B$9,Paramètres!$A$1:$I$89,3,0)*0.475*44/12</f>
        <v>9.5579427309358772E-7</v>
      </c>
      <c r="AC91" s="22">
        <f t="shared" si="57"/>
        <v>37.158268518265835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39.000000000000057</v>
      </c>
      <c r="AJ91" s="13">
        <f>AI91*VLOOKUP('Données projet'!$B$10,Paramètres!$A$1:$I$89,3,0)*VLOOKUP('Données projet'!$B$10,Paramètres!$A$1:$I$89,5,0)</f>
        <v>34.070400000000056</v>
      </c>
      <c r="AK91" s="13">
        <f t="shared" si="89"/>
        <v>10.412633617059328</v>
      </c>
      <c r="AL91" s="20">
        <f t="shared" si="58"/>
        <v>77.474616883045101</v>
      </c>
      <c r="AM91" s="59">
        <f t="shared" si="59"/>
        <v>370.8079502163784</v>
      </c>
      <c r="AN91" s="59">
        <f ca="1">AVERAGE(OFFSET($AM$3,0,0,'Données projet'!$E$10+1,1))-AVERAGE(OFFSET($H$3,0,0,'Données projet'!$E$10+1,1))</f>
        <v>260.53994021583316</v>
      </c>
      <c r="AO91" s="59">
        <f t="shared" si="90"/>
        <v>669.20238852709122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5.5205312393636673E-7</v>
      </c>
      <c r="AX91" s="21">
        <f t="shared" si="60"/>
        <v>5.5205312393636673E-7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284.80000000000041</v>
      </c>
      <c r="BE91" s="13">
        <f>BD91*VLOOKUP('Données projet'!$B$11,Paramètres!$A$1:$I$89,3,0)*VLOOKUP('Données projet'!$B$11,Paramètres!$A$1:$I$89,5,0)</f>
        <v>288.78720000000044</v>
      </c>
      <c r="BF91" s="13">
        <f t="shared" si="91"/>
        <v>68.82064405344255</v>
      </c>
      <c r="BG91" s="20">
        <f t="shared" si="61"/>
        <v>622.8336617264132</v>
      </c>
      <c r="BH91" s="59">
        <f t="shared" si="62"/>
        <v>916.16699505974657</v>
      </c>
      <c r="BI91" s="59">
        <f ca="1">AVERAGE(OFFSET($BH$3,0,0,'Données projet'!$E$11+1,1))-AVERAGE(OFFSET($H$3,0,0,'Données projet'!$E$11+1,1))</f>
        <v>279.20364724206644</v>
      </c>
      <c r="BJ91" s="59">
        <f t="shared" si="92"/>
        <v>173.99850582760712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0.69708956145014134</v>
      </c>
      <c r="BR91" s="21">
        <f>EXP(-LN(2)/2)*BR90+(1-EXP(-LN(2)/2))/(LN(2)/2)*BL91*BO91*VLOOKUP('Données projet'!$B$11,Paramètres!$A$1:$I$89,3,0)*0.475*44/12</f>
        <v>1.2919936539086536E-8</v>
      </c>
      <c r="BS91" s="22">
        <f t="shared" si="63"/>
        <v>0.6970895743700779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284.80000000000041</v>
      </c>
      <c r="BZ91" s="13">
        <f>BY91*VLOOKUP('Données projet'!$B$12,Paramètres!$A$1:$I$89,3,0)*VLOOKUP('Données projet'!$B$12,Paramètres!$A$1:$I$89,5,0)</f>
        <v>324.33024000000046</v>
      </c>
      <c r="CA91" s="13">
        <f t="shared" si="93"/>
        <v>76.253638270021739</v>
      </c>
      <c r="CB91" s="20">
        <f t="shared" si="64"/>
        <v>697.68358798695533</v>
      </c>
      <c r="CC91" s="59">
        <f t="shared" si="65"/>
        <v>991.0169213202887</v>
      </c>
      <c r="CD91" s="59">
        <f ca="1">AVERAGE(OFFSET($CC$3,0,0,'Données projet'!$E$12+1,1))-AVERAGE(OFFSET($H$3,0,0,'Données projet'!$E$12+1,1))</f>
        <v>327.06866218660838</v>
      </c>
      <c r="CE91" s="59">
        <f t="shared" si="94"/>
        <v>202.18198935334908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0.78288519978246607</v>
      </c>
      <c r="CM91" s="21">
        <f>EXP(-LN(2)/2)*CM90+(1-EXP(-LN(2)/2))/(LN(2)/2)*CG91*CJ91*VLOOKUP('Données projet'!$B$12,Paramètres!$A$1:$I$89,3,0)*0.475*44/12</f>
        <v>1.4510082574666481E-8</v>
      </c>
      <c r="CN91" s="22">
        <f t="shared" si="66"/>
        <v>0.78288521429254865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-5.1159076974727213E-13</v>
      </c>
      <c r="CU91" s="17">
        <f>CT91*VLOOKUP('Données projet'!$B$13,Paramètres!$A$1:$I$89,3,0)*VLOOKUP('Données projet'!$B$13,Paramètres!$A$1:$I$89,5,0)</f>
        <v>-4.1500243241898714E-13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266.72672633301022</v>
      </c>
      <c r="CZ91" s="59">
        <f t="shared" si="96"/>
        <v>314.26991662544219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0.85583854235926005</v>
      </c>
      <c r="DG91" s="21">
        <f>EXP(-LN(2)/25)*DG90+(1-EXP(-LN(2)/25))/(LN(2)/25)*Calculateur!DB91*Calculateur!DD91*VLOOKUP('Données projet'!$B$13,Paramètres!$A$1:$I$89,3,0)*0.475*44/12</f>
        <v>3.3994222435826571</v>
      </c>
      <c r="DH91" s="21">
        <f>EXP(-LN(2)/2)*DH90+(1-EXP(-LN(2)/2))/(LN(2)/2)*DB91*DE91*VLOOKUP('Données projet'!$B$13,Paramètres!$A$1:$I$89,3,0)*0.475*44/12</f>
        <v>4.5654155063548057E-8</v>
      </c>
      <c r="DI91" s="22">
        <f t="shared" si="69"/>
        <v>4.2552608315960727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-5.6843418860808015E-14</v>
      </c>
      <c r="DP91" s="17">
        <f>DO91*VLOOKUP('Données projet'!$B$14,Paramètres!$A$1:$I$89,3,0)*VLOOKUP('Données projet'!$B$14,Paramètres!$A$1:$I$89,5,0)</f>
        <v>-6.1186256061773749E-14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442.54137223086991</v>
      </c>
      <c r="DU91" s="59">
        <f t="shared" si="98"/>
        <v>454.23406186660714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0.63270920810131015</v>
      </c>
      <c r="EB91" s="21">
        <f>EXP(-LN(2)/25)*EB90+(1-EXP(-LN(2)/25))/(LN(2)/25)*Calculateur!DW91*Calculateur!DY91*VLOOKUP('Données projet'!$B$14,Paramètres!$A$1:$I$89,3,0)*0.475*44/12</f>
        <v>2.3134091171959623</v>
      </c>
      <c r="EC91" s="21">
        <f>EXP(-LN(2)/2)*EC90+(1-EXP(-LN(2)/2))/(LN(2)/2)*DW91*DZ91*VLOOKUP('Données projet'!$B$14,Paramètres!$A$1:$I$89,3,0)*0.475*44/12</f>
        <v>3.3598817593322181E-8</v>
      </c>
      <c r="ED91" s="22">
        <f t="shared" si="72"/>
        <v>2.94611835889609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201.49055911472067</v>
      </c>
      <c r="T92" s="59">
        <f t="shared" si="88"/>
        <v>403.37692064114719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23.167830773157885</v>
      </c>
      <c r="AA92" s="21">
        <f>EXP(-LN(2)/25)*AA91+(1-EXP(-LN(2)/25))/(LN(2)/25)*Calculateur!V92*Calculateur!X92*VLOOKUP('Données projet'!$B$9,Paramètres!$A$1:$I$89,3,0)*0.475*44/12</f>
        <v>13.157145187949817</v>
      </c>
      <c r="AB92" s="21">
        <f>EXP(-LN(2)/2)*AB91+(1-EXP(-LN(2)/2))/(LN(2)/2)*V92*Y92*VLOOKUP('Données projet'!$B$9,Paramètres!$A$1:$I$89,3,0)*0.475*44/12</f>
        <v>6.7584861192374279E-7</v>
      </c>
      <c r="AC92" s="22">
        <f t="shared" si="57"/>
        <v>36.324976636956315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39.000000000000057</v>
      </c>
      <c r="AJ92" s="13">
        <f>AI92*VLOOKUP('Données projet'!$B$10,Paramètres!$A$1:$I$89,3,0)*VLOOKUP('Données projet'!$B$10,Paramètres!$A$1:$I$89,5,0)</f>
        <v>34.070400000000056</v>
      </c>
      <c r="AK92" s="13">
        <f t="shared" si="89"/>
        <v>10.412633617059328</v>
      </c>
      <c r="AL92" s="20">
        <f t="shared" si="58"/>
        <v>77.474616883045101</v>
      </c>
      <c r="AM92" s="59">
        <f t="shared" si="59"/>
        <v>370.8079502163784</v>
      </c>
      <c r="AN92" s="59">
        <f ca="1">AVERAGE(OFFSET($AM$3,0,0,'Données projet'!$E$10+1,1))-AVERAGE(OFFSET($H$3,0,0,'Données projet'!$E$10+1,1))</f>
        <v>260.53994021583316</v>
      </c>
      <c r="AO92" s="59">
        <f t="shared" si="90"/>
        <v>669.20238852709122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3.9036050751062248E-7</v>
      </c>
      <c r="AX92" s="21">
        <f t="shared" si="60"/>
        <v>3.9036050751062248E-7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290.40000000000043</v>
      </c>
      <c r="BE92" s="13">
        <f>BD92*VLOOKUP('Données projet'!$B$11,Paramètres!$A$1:$I$89,3,0)*VLOOKUP('Données projet'!$B$11,Paramètres!$A$1:$I$89,5,0)</f>
        <v>294.46560000000045</v>
      </c>
      <c r="BF92" s="13">
        <f t="shared" si="91"/>
        <v>70.014986320104342</v>
      </c>
      <c r="BG92" s="20">
        <f t="shared" si="61"/>
        <v>634.80368784084919</v>
      </c>
      <c r="BH92" s="59">
        <f t="shared" si="62"/>
        <v>928.13702117418256</v>
      </c>
      <c r="BI92" s="59">
        <f ca="1">AVERAGE(OFFSET($BH$3,0,0,'Données projet'!$E$11+1,1))-AVERAGE(OFFSET($H$3,0,0,'Données projet'!$E$11+1,1))</f>
        <v>279.20364724206644</v>
      </c>
      <c r="BJ92" s="59">
        <f t="shared" si="92"/>
        <v>173.99850582760712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0.67802761073394036</v>
      </c>
      <c r="BR92" s="21">
        <f>EXP(-LN(2)/2)*BR91+(1-EXP(-LN(2)/2))/(LN(2)/2)*BL92*BO92*VLOOKUP('Données projet'!$B$11,Paramètres!$A$1:$I$89,3,0)*0.475*44/12</f>
        <v>9.1357747392879433E-9</v>
      </c>
      <c r="BS92" s="22">
        <f t="shared" si="63"/>
        <v>0.67802761986971505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290.40000000000043</v>
      </c>
      <c r="BZ92" s="13">
        <f>BY92*VLOOKUP('Données projet'!$B$12,Paramètres!$A$1:$I$89,3,0)*VLOOKUP('Données projet'!$B$12,Paramètres!$A$1:$I$89,5,0)</f>
        <v>330.7075200000005</v>
      </c>
      <c r="CA92" s="13">
        <f t="shared" si="93"/>
        <v>77.576975829924592</v>
      </c>
      <c r="CB92" s="20">
        <f t="shared" si="64"/>
        <v>711.09549690378617</v>
      </c>
      <c r="CC92" s="59">
        <f t="shared" si="65"/>
        <v>1004.4288302371194</v>
      </c>
      <c r="CD92" s="59">
        <f ca="1">AVERAGE(OFFSET($CC$3,0,0,'Données projet'!$E$12+1,1))-AVERAGE(OFFSET($H$3,0,0,'Données projet'!$E$12+1,1))</f>
        <v>327.06866218660838</v>
      </c>
      <c r="CE92" s="59">
        <f t="shared" si="94"/>
        <v>202.18198935334908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0.76147716282427114</v>
      </c>
      <c r="CM92" s="21">
        <f>EXP(-LN(2)/2)*CM91+(1-EXP(-LN(2)/2))/(LN(2)/2)*CG92*CJ92*VLOOKUP('Données projet'!$B$12,Paramètres!$A$1:$I$89,3,0)*0.475*44/12</f>
        <v>1.0260177784123429E-8</v>
      </c>
      <c r="CN92" s="22">
        <f t="shared" si="66"/>
        <v>0.76147717308444896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-5.1159076974727213E-13</v>
      </c>
      <c r="CU92" s="17">
        <f>CT92*VLOOKUP('Données projet'!$B$13,Paramètres!$A$1:$I$89,3,0)*VLOOKUP('Données projet'!$B$13,Paramètres!$A$1:$I$89,5,0)</f>
        <v>-4.1500243241898714E-13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266.72672633301022</v>
      </c>
      <c r="CZ92" s="59">
        <f t="shared" si="96"/>
        <v>314.26991662544219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0.83905607055356157</v>
      </c>
      <c r="DG92" s="21">
        <f>EXP(-LN(2)/25)*DG91+(1-EXP(-LN(2)/25))/(LN(2)/25)*Calculateur!DB92*Calculateur!DD92*VLOOKUP('Données projet'!$B$13,Paramètres!$A$1:$I$89,3,0)*0.475*44/12</f>
        <v>3.306464863564043</v>
      </c>
      <c r="DH92" s="21">
        <f>EXP(-LN(2)/2)*DH91+(1-EXP(-LN(2)/2))/(LN(2)/2)*DB92*DE92*VLOOKUP('Données projet'!$B$13,Paramètres!$A$1:$I$89,3,0)*0.475*44/12</f>
        <v>3.2282362634776986E-8</v>
      </c>
      <c r="DI92" s="22">
        <f t="shared" si="69"/>
        <v>4.1455209663999675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-5.6843418860808015E-14</v>
      </c>
      <c r="DP92" s="17">
        <f>DO92*VLOOKUP('Données projet'!$B$14,Paramètres!$A$1:$I$89,3,0)*VLOOKUP('Données projet'!$B$14,Paramètres!$A$1:$I$89,5,0)</f>
        <v>-6.1186256061773749E-14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442.54137223086991</v>
      </c>
      <c r="DU92" s="59">
        <f t="shared" si="98"/>
        <v>454.23406186660714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0.62030216644495451</v>
      </c>
      <c r="EB92" s="21">
        <f>EXP(-LN(2)/25)*EB91+(1-EXP(-LN(2)/25))/(LN(2)/25)*Calculateur!DW92*Calculateur!DY92*VLOOKUP('Données projet'!$B$14,Paramètres!$A$1:$I$89,3,0)*0.475*44/12</f>
        <v>2.2501488232293405</v>
      </c>
      <c r="EC92" s="21">
        <f>EXP(-LN(2)/2)*EC91+(1-EXP(-LN(2)/2))/(LN(2)/2)*DW92*DZ92*VLOOKUP('Données projet'!$B$14,Paramètres!$A$1:$I$89,3,0)*0.475*44/12</f>
        <v>2.3757951760087991E-8</v>
      </c>
      <c r="ED92" s="22">
        <f t="shared" si="72"/>
        <v>2.8704510134322465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201.49055911472067</v>
      </c>
      <c r="T93" s="59">
        <f t="shared" si="88"/>
        <v>403.37692064114719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22.713523742677712</v>
      </c>
      <c r="AA93" s="21">
        <f>EXP(-LN(2)/25)*AA92+(1-EXP(-LN(2)/25))/(LN(2)/25)*Calculateur!V93*Calculateur!X93*VLOOKUP('Données projet'!$B$9,Paramètres!$A$1:$I$89,3,0)*0.475*44/12</f>
        <v>12.797362360881134</v>
      </c>
      <c r="AB93" s="21">
        <f>EXP(-LN(2)/2)*AB92+(1-EXP(-LN(2)/2))/(LN(2)/2)*V93*Y93*VLOOKUP('Données projet'!$B$9,Paramètres!$A$1:$I$89,3,0)*0.475*44/12</f>
        <v>4.7789713654679386E-7</v>
      </c>
      <c r="AC93" s="22">
        <f t="shared" si="57"/>
        <v>35.510886581455985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39.000000000000057</v>
      </c>
      <c r="AJ93" s="13">
        <f>AI93*VLOOKUP('Données projet'!$B$10,Paramètres!$A$1:$I$89,3,0)*VLOOKUP('Données projet'!$B$10,Paramètres!$A$1:$I$89,5,0)</f>
        <v>34.070400000000056</v>
      </c>
      <c r="AK93" s="13">
        <f t="shared" si="89"/>
        <v>10.412633617059328</v>
      </c>
      <c r="AL93" s="20">
        <f t="shared" si="58"/>
        <v>77.474616883045101</v>
      </c>
      <c r="AM93" s="59">
        <f t="shared" si="59"/>
        <v>370.8079502163784</v>
      </c>
      <c r="AN93" s="59">
        <f ca="1">AVERAGE(OFFSET($AM$3,0,0,'Données projet'!$E$10+1,1))-AVERAGE(OFFSET($H$3,0,0,'Données projet'!$E$10+1,1))</f>
        <v>260.53994021583316</v>
      </c>
      <c r="AO93" s="59">
        <f t="shared" si="90"/>
        <v>669.20238852709122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2.7602656196818336E-7</v>
      </c>
      <c r="AX93" s="21">
        <f t="shared" si="60"/>
        <v>2.7602656196818336E-7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5.6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296.00000000000045</v>
      </c>
      <c r="BE93" s="13">
        <f>BD93*VLOOKUP('Données projet'!$B$11,Paramètres!$A$1:$I$89,3,0)*VLOOKUP('Données projet'!$B$11,Paramètres!$A$1:$I$89,5,0)</f>
        <v>300.14400000000046</v>
      </c>
      <c r="BF93" s="13">
        <f t="shared" si="91"/>
        <v>71.206650563609927</v>
      </c>
      <c r="BG93" s="20">
        <f t="shared" si="61"/>
        <v>646.76904973162129</v>
      </c>
      <c r="BH93" s="59">
        <f t="shared" si="62"/>
        <v>940.10238306495467</v>
      </c>
      <c r="BI93" s="59">
        <f ca="1">AVERAGE(OFFSET($BH$3,0,0,'Données projet'!$E$11+1,1))-AVERAGE(OFFSET($H$3,0,0,'Données projet'!$E$11+1,1))</f>
        <v>279.20364724206644</v>
      </c>
      <c r="BJ93" s="59">
        <f t="shared" si="92"/>
        <v>173.99850582760712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0.65948691006249838</v>
      </c>
      <c r="BR93" s="21">
        <f>EXP(-LN(2)/2)*BR92+(1-EXP(-LN(2)/2))/(LN(2)/2)*BL93*BO93*VLOOKUP('Données projet'!$B$11,Paramètres!$A$1:$I$89,3,0)*0.475*44/12</f>
        <v>6.459968269543268E-9</v>
      </c>
      <c r="BS93" s="22">
        <f t="shared" si="63"/>
        <v>0.6594869165224666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5.6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296.00000000000045</v>
      </c>
      <c r="BZ93" s="13">
        <f>BY93*VLOOKUP('Données projet'!$B$12,Paramètres!$A$1:$I$89,3,0)*VLOOKUP('Données projet'!$B$12,Paramètres!$A$1:$I$89,5,0)</f>
        <v>337.08480000000054</v>
      </c>
      <c r="CA93" s="13">
        <f t="shared" si="93"/>
        <v>78.897346125980448</v>
      </c>
      <c r="CB93" s="20">
        <f t="shared" si="64"/>
        <v>724.50223783608362</v>
      </c>
      <c r="CC93" s="59">
        <f t="shared" si="65"/>
        <v>1017.8355711694169</v>
      </c>
      <c r="CD93" s="59">
        <f ca="1">AVERAGE(OFFSET($CC$3,0,0,'Données projet'!$E$12+1,1))-AVERAGE(OFFSET($H$3,0,0,'Données projet'!$E$12+1,1))</f>
        <v>327.06866218660838</v>
      </c>
      <c r="CE93" s="59">
        <f t="shared" si="94"/>
        <v>202.18198935334908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42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0.74065452976249779</v>
      </c>
      <c r="CM93" s="21">
        <f>EXP(-LN(2)/2)*CM92+(1-EXP(-LN(2)/2))/(LN(2)/2)*CG93*CJ93*VLOOKUP('Données projet'!$B$12,Paramètres!$A$1:$I$89,3,0)*0.475*44/12</f>
        <v>7.255041287333242E-9</v>
      </c>
      <c r="CN93" s="22">
        <f t="shared" si="66"/>
        <v>0.74065453701753903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-5.1159076974727213E-13</v>
      </c>
      <c r="CU93" s="17">
        <f>CT93*VLOOKUP('Données projet'!$B$13,Paramètres!$A$1:$I$89,3,0)*VLOOKUP('Données projet'!$B$13,Paramètres!$A$1:$I$89,5,0)</f>
        <v>-4.1500243241898714E-13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266.72672633301022</v>
      </c>
      <c r="CZ93" s="59">
        <f t="shared" si="96"/>
        <v>314.26991662544219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0.82260269278367582</v>
      </c>
      <c r="DG93" s="21">
        <f>EXP(-LN(2)/25)*DG92+(1-EXP(-LN(2)/25))/(LN(2)/25)*Calculateur!DB93*Calculateur!DD93*VLOOKUP('Données projet'!$B$13,Paramètres!$A$1:$I$89,3,0)*0.475*44/12</f>
        <v>3.2160494079904542</v>
      </c>
      <c r="DH93" s="21">
        <f>EXP(-LN(2)/2)*DH92+(1-EXP(-LN(2)/2))/(LN(2)/2)*DB93*DE93*VLOOKUP('Données projet'!$B$13,Paramètres!$A$1:$I$89,3,0)*0.475*44/12</f>
        <v>2.2827077531774029E-8</v>
      </c>
      <c r="DI93" s="22">
        <f t="shared" si="69"/>
        <v>4.0386521236012074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-5.6843418860808015E-14</v>
      </c>
      <c r="DP93" s="17">
        <f>DO93*VLOOKUP('Données projet'!$B$14,Paramètres!$A$1:$I$89,3,0)*VLOOKUP('Données projet'!$B$14,Paramètres!$A$1:$I$89,5,0)</f>
        <v>-6.1186256061773749E-14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442.54137223086991</v>
      </c>
      <c r="DU93" s="59">
        <f t="shared" si="98"/>
        <v>454.23406186660714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0.60813841930793178</v>
      </c>
      <c r="EB93" s="21">
        <f>EXP(-LN(2)/25)*EB92+(1-EXP(-LN(2)/25))/(LN(2)/25)*Calculateur!DW93*Calculateur!DY93*VLOOKUP('Données projet'!$B$14,Paramètres!$A$1:$I$89,3,0)*0.475*44/12</f>
        <v>2.1886183853279504</v>
      </c>
      <c r="EC93" s="21">
        <f>EXP(-LN(2)/2)*EC92+(1-EXP(-LN(2)/2))/(LN(2)/2)*DW93*DZ93*VLOOKUP('Données projet'!$B$14,Paramètres!$A$1:$I$89,3,0)*0.475*44/12</f>
        <v>1.679940879666109E-8</v>
      </c>
      <c r="ED93" s="22">
        <f t="shared" si="72"/>
        <v>2.7967568214352911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201.49055911472067</v>
      </c>
      <c r="T94" s="59">
        <f t="shared" si="88"/>
        <v>403.37692064114719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22.268125395965328</v>
      </c>
      <c r="AA94" s="21">
        <f>EXP(-LN(2)/25)*AA93+(1-EXP(-LN(2)/25))/(LN(2)/25)*Calculateur!V94*Calculateur!X94*VLOOKUP('Données projet'!$B$9,Paramètres!$A$1:$I$89,3,0)*0.475*44/12</f>
        <v>12.447417814138802</v>
      </c>
      <c r="AB94" s="21">
        <f>EXP(-LN(2)/2)*AB93+(1-EXP(-LN(2)/2))/(LN(2)/2)*V94*Y94*VLOOKUP('Données projet'!$B$9,Paramètres!$A$1:$I$89,3,0)*0.475*44/12</f>
        <v>3.3792430596187139E-7</v>
      </c>
      <c r="AC94" s="22">
        <f t="shared" si="57"/>
        <v>34.715543548028435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39.000000000000057</v>
      </c>
      <c r="AJ94" s="13">
        <f>AI94*VLOOKUP('Données projet'!$B$10,Paramètres!$A$1:$I$89,3,0)*VLOOKUP('Données projet'!$B$10,Paramètres!$A$1:$I$89,5,0)</f>
        <v>34.070400000000056</v>
      </c>
      <c r="AK94" s="13">
        <f t="shared" si="89"/>
        <v>10.412633617059328</v>
      </c>
      <c r="AL94" s="20">
        <f t="shared" si="58"/>
        <v>77.474616883045101</v>
      </c>
      <c r="AM94" s="59">
        <f t="shared" si="59"/>
        <v>370.8079502163784</v>
      </c>
      <c r="AN94" s="59">
        <f ca="1">AVERAGE(OFFSET($AM$3,0,0,'Données projet'!$E$10+1,1))-AVERAGE(OFFSET($H$3,0,0,'Données projet'!$E$10+1,1))</f>
        <v>260.53994021583316</v>
      </c>
      <c r="AO94" s="59">
        <f t="shared" si="90"/>
        <v>669.20238852709122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1.9518025375531124E-7</v>
      </c>
      <c r="AX94" s="21">
        <f t="shared" si="60"/>
        <v>1.9518025375531124E-7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258.90000000000043</v>
      </c>
      <c r="BE94" s="13">
        <f>BD94*VLOOKUP('Données projet'!$B$11,Paramètres!$A$1:$I$89,3,0)*VLOOKUP('Données projet'!$B$11,Paramètres!$A$1:$I$89,5,0)</f>
        <v>262.52460000000042</v>
      </c>
      <c r="BF94" s="13">
        <f t="shared" si="91"/>
        <v>63.2602176317748</v>
      </c>
      <c r="BG94" s="20">
        <f t="shared" si="61"/>
        <v>567.40855737534184</v>
      </c>
      <c r="BH94" s="59">
        <f t="shared" si="62"/>
        <v>860.7418907086751</v>
      </c>
      <c r="BI94" s="59">
        <f ca="1">AVERAGE(OFFSET($BH$3,0,0,'Données projet'!$E$11+1,1))-AVERAGE(OFFSET($H$3,0,0,'Données projet'!$E$11+1,1))</f>
        <v>279.20364724206644</v>
      </c>
      <c r="BJ94" s="59">
        <f t="shared" si="92"/>
        <v>173.99850582760712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0.64145320582593002</v>
      </c>
      <c r="BR94" s="21">
        <f>EXP(-LN(2)/2)*BR93+(1-EXP(-LN(2)/2))/(LN(2)/2)*BL94*BO94*VLOOKUP('Données projet'!$B$11,Paramètres!$A$1:$I$89,3,0)*0.475*44/12</f>
        <v>4.5678873696439716E-9</v>
      </c>
      <c r="BS94" s="22">
        <f t="shared" si="63"/>
        <v>0.64145321039381742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258.90000000000043</v>
      </c>
      <c r="BZ94" s="13">
        <f>BY94*VLOOKUP('Données projet'!$B$12,Paramètres!$A$1:$I$89,3,0)*VLOOKUP('Données projet'!$B$12,Paramètres!$A$1:$I$89,5,0)</f>
        <v>294.83532000000048</v>
      </c>
      <c r="CA94" s="13">
        <f t="shared" si="93"/>
        <v>70.092656331874423</v>
      </c>
      <c r="CB94" s="20">
        <f t="shared" si="64"/>
        <v>635.58289211134877</v>
      </c>
      <c r="CC94" s="59">
        <f t="shared" si="65"/>
        <v>928.91622544468214</v>
      </c>
      <c r="CD94" s="59">
        <f ca="1">AVERAGE(OFFSET($CC$3,0,0,'Données projet'!$E$12+1,1))-AVERAGE(OFFSET($H$3,0,0,'Données projet'!$E$12+1,1))</f>
        <v>327.06866218660838</v>
      </c>
      <c r="CE94" s="59">
        <f t="shared" si="94"/>
        <v>202.18198935334908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0.72040129269681341</v>
      </c>
      <c r="CM94" s="21">
        <f>EXP(-LN(2)/2)*CM93+(1-EXP(-LN(2)/2))/(LN(2)/2)*CG94*CJ94*VLOOKUP('Données projet'!$B$12,Paramètres!$A$1:$I$89,3,0)*0.475*44/12</f>
        <v>5.1300888920617152E-9</v>
      </c>
      <c r="CN94" s="22">
        <f t="shared" si="66"/>
        <v>0.72040129782690232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-5.1159076974727213E-13</v>
      </c>
      <c r="CU94" s="17">
        <f>CT94*VLOOKUP('Données projet'!$B$13,Paramètres!$A$1:$I$89,3,0)*VLOOKUP('Données projet'!$B$13,Paramètres!$A$1:$I$89,5,0)</f>
        <v>-4.1500243241898714E-13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266.72672633301022</v>
      </c>
      <c r="CZ94" s="59">
        <f t="shared" si="96"/>
        <v>314.26991662544219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0.80647195571628805</v>
      </c>
      <c r="DG94" s="21">
        <f>EXP(-LN(2)/25)*DG93+(1-EXP(-LN(2)/25))/(LN(2)/25)*Calculateur!DB94*Calculateur!DD94*VLOOKUP('Données projet'!$B$13,Paramètres!$A$1:$I$89,3,0)*0.475*44/12</f>
        <v>3.1281063678042673</v>
      </c>
      <c r="DH94" s="21">
        <f>EXP(-LN(2)/2)*DH93+(1-EXP(-LN(2)/2))/(LN(2)/2)*DB94*DE94*VLOOKUP('Données projet'!$B$13,Paramètres!$A$1:$I$89,3,0)*0.475*44/12</f>
        <v>1.6141181317388493E-8</v>
      </c>
      <c r="DI94" s="22">
        <f t="shared" si="69"/>
        <v>3.9345783396617366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-5.6843418860808015E-14</v>
      </c>
      <c r="DP94" s="17">
        <f>DO94*VLOOKUP('Données projet'!$B$14,Paramètres!$A$1:$I$89,3,0)*VLOOKUP('Données projet'!$B$14,Paramètres!$A$1:$I$89,5,0)</f>
        <v>-6.1186256061773749E-14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442.54137223086991</v>
      </c>
      <c r="DU94" s="59">
        <f t="shared" si="98"/>
        <v>454.23406186660714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0.59621319583311294</v>
      </c>
      <c r="EB94" s="21">
        <f>EXP(-LN(2)/25)*EB93+(1-EXP(-LN(2)/25))/(LN(2)/25)*Calculateur!DW94*Calculateur!DY94*VLOOKUP('Données projet'!$B$14,Paramètres!$A$1:$I$89,3,0)*0.475*44/12</f>
        <v>2.128770500486719</v>
      </c>
      <c r="EC94" s="21">
        <f>EXP(-LN(2)/2)*EC93+(1-EXP(-LN(2)/2))/(LN(2)/2)*DW94*DZ94*VLOOKUP('Données projet'!$B$14,Paramètres!$A$1:$I$89,3,0)*0.475*44/12</f>
        <v>1.1878975880043995E-8</v>
      </c>
      <c r="ED94" s="22">
        <f t="shared" si="72"/>
        <v>2.724983708198808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201.49055911472067</v>
      </c>
      <c r="T95" s="59">
        <f t="shared" si="88"/>
        <v>403.37692064114719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21.831461039165806</v>
      </c>
      <c r="AA95" s="21">
        <f>EXP(-LN(2)/25)*AA94+(1-EXP(-LN(2)/25))/(LN(2)/25)*Calculateur!V95*Calculateur!X95*VLOOKUP('Données projet'!$B$9,Paramètres!$A$1:$I$89,3,0)*0.475*44/12</f>
        <v>12.107042519429923</v>
      </c>
      <c r="AB95" s="21">
        <f>EXP(-LN(2)/2)*AB94+(1-EXP(-LN(2)/2))/(LN(2)/2)*V95*Y95*VLOOKUP('Données projet'!$B$9,Paramètres!$A$1:$I$89,3,0)*0.475*44/12</f>
        <v>2.3894856827339693E-7</v>
      </c>
      <c r="AC95" s="22">
        <f t="shared" si="57"/>
        <v>33.938503797544293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39.000000000000057</v>
      </c>
      <c r="AJ95" s="13">
        <f>AI95*VLOOKUP('Données projet'!$B$10,Paramètres!$A$1:$I$89,3,0)*VLOOKUP('Données projet'!$B$10,Paramètres!$A$1:$I$89,5,0)</f>
        <v>34.070400000000056</v>
      </c>
      <c r="AK95" s="13">
        <f t="shared" si="89"/>
        <v>10.412633617059328</v>
      </c>
      <c r="AL95" s="20">
        <f t="shared" si="58"/>
        <v>77.474616883045101</v>
      </c>
      <c r="AM95" s="59">
        <f t="shared" si="59"/>
        <v>370.8079502163784</v>
      </c>
      <c r="AN95" s="59">
        <f ca="1">AVERAGE(OFFSET($AM$3,0,0,'Données projet'!$E$10+1,1))-AVERAGE(OFFSET($H$3,0,0,'Données projet'!$E$10+1,1))</f>
        <v>260.53994021583316</v>
      </c>
      <c r="AO95" s="59">
        <f t="shared" si="90"/>
        <v>669.20238852709122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1.3801328098409168E-7</v>
      </c>
      <c r="AX95" s="21">
        <f t="shared" si="60"/>
        <v>1.3801328098409168E-7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263.80000000000041</v>
      </c>
      <c r="BE95" s="13">
        <f>BD95*VLOOKUP('Données projet'!$B$11,Paramètres!$A$1:$I$89,3,0)*VLOOKUP('Données projet'!$B$11,Paramètres!$A$1:$I$89,5,0)</f>
        <v>267.49320000000046</v>
      </c>
      <c r="BF95" s="13">
        <f t="shared" si="91"/>
        <v>64.316974590266341</v>
      </c>
      <c r="BG95" s="20">
        <f t="shared" si="61"/>
        <v>577.90272074471466</v>
      </c>
      <c r="BH95" s="59">
        <f t="shared" si="62"/>
        <v>871.23605407804803</v>
      </c>
      <c r="BI95" s="59">
        <f ca="1">AVERAGE(OFFSET($BH$3,0,0,'Données projet'!$E$11+1,1))-AVERAGE(OFFSET($H$3,0,0,'Données projet'!$E$11+1,1))</f>
        <v>279.20364724206644</v>
      </c>
      <c r="BJ95" s="59">
        <f t="shared" si="92"/>
        <v>173.99850582760712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0.62391263418006193</v>
      </c>
      <c r="BR95" s="21">
        <f>EXP(-LN(2)/2)*BR94+(1-EXP(-LN(2)/2))/(LN(2)/2)*BL95*BO95*VLOOKUP('Données projet'!$B$11,Paramètres!$A$1:$I$89,3,0)*0.475*44/12</f>
        <v>3.229984134771634E-9</v>
      </c>
      <c r="BS95" s="22">
        <f t="shared" si="63"/>
        <v>0.6239126374100461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263.80000000000041</v>
      </c>
      <c r="BZ95" s="13">
        <f>BY95*VLOOKUP('Données projet'!$B$12,Paramètres!$A$1:$I$89,3,0)*VLOOKUP('Données projet'!$B$12,Paramètres!$A$1:$I$89,5,0)</f>
        <v>300.4154400000005</v>
      </c>
      <c r="CA95" s="13">
        <f t="shared" si="93"/>
        <v>71.263548641303714</v>
      </c>
      <c r="CB95" s="20">
        <f t="shared" si="64"/>
        <v>647.34090521693804</v>
      </c>
      <c r="CC95" s="59">
        <f t="shared" si="65"/>
        <v>940.67423855027141</v>
      </c>
      <c r="CD95" s="59">
        <f ca="1">AVERAGE(OFFSET($CC$3,0,0,'Données projet'!$E$12+1,1))-AVERAGE(OFFSET($H$3,0,0,'Données projet'!$E$12+1,1))</f>
        <v>327.06866218660838</v>
      </c>
      <c r="CE95" s="59">
        <f t="shared" si="94"/>
        <v>202.18198935334908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0.70070188146376156</v>
      </c>
      <c r="CM95" s="21">
        <f>EXP(-LN(2)/2)*CM94+(1-EXP(-LN(2)/2))/(LN(2)/2)*CG95*CJ95*VLOOKUP('Données projet'!$B$12,Paramètres!$A$1:$I$89,3,0)*0.475*44/12</f>
        <v>3.6275206436666214E-9</v>
      </c>
      <c r="CN95" s="22">
        <f t="shared" si="66"/>
        <v>0.70070188509128217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-5.1159076974727213E-13</v>
      </c>
      <c r="CU95" s="17">
        <f>CT95*VLOOKUP('Données projet'!$B$13,Paramètres!$A$1:$I$89,3,0)*VLOOKUP('Données projet'!$B$13,Paramètres!$A$1:$I$89,5,0)</f>
        <v>-4.1500243241898714E-13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266.72672633301022</v>
      </c>
      <c r="CZ95" s="59">
        <f t="shared" si="96"/>
        <v>314.26991662544219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0.79065753256401361</v>
      </c>
      <c r="DG95" s="21">
        <f>EXP(-LN(2)/25)*DG94+(1-EXP(-LN(2)/25))/(LN(2)/25)*Calculateur!DB95*Calculateur!DD95*VLOOKUP('Données projet'!$B$13,Paramètres!$A$1:$I$89,3,0)*0.475*44/12</f>
        <v>3.0425681346766953</v>
      </c>
      <c r="DH95" s="21">
        <f>EXP(-LN(2)/2)*DH94+(1-EXP(-LN(2)/2))/(LN(2)/2)*DB95*DE95*VLOOKUP('Données projet'!$B$13,Paramètres!$A$1:$I$89,3,0)*0.475*44/12</f>
        <v>1.1413538765887014E-8</v>
      </c>
      <c r="DI95" s="22">
        <f t="shared" si="69"/>
        <v>3.8332256786542476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-5.6843418860808015E-14</v>
      </c>
      <c r="DP95" s="17">
        <f>DO95*VLOOKUP('Données projet'!$B$14,Paramètres!$A$1:$I$89,3,0)*VLOOKUP('Données projet'!$B$14,Paramètres!$A$1:$I$89,5,0)</f>
        <v>-6.1186256061773749E-14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442.54137223086991</v>
      </c>
      <c r="DU95" s="59">
        <f t="shared" si="98"/>
        <v>454.23406186660714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0.58452181871696718</v>
      </c>
      <c r="EB95" s="21">
        <f>EXP(-LN(2)/25)*EB94+(1-EXP(-LN(2)/25))/(LN(2)/25)*Calculateur!DW95*Calculateur!DY95*VLOOKUP('Données projet'!$B$14,Paramètres!$A$1:$I$89,3,0)*0.475*44/12</f>
        <v>2.0705591592037345</v>
      </c>
      <c r="EC95" s="21">
        <f>EXP(-LN(2)/2)*EC94+(1-EXP(-LN(2)/2))/(LN(2)/2)*DW95*DZ95*VLOOKUP('Données projet'!$B$14,Paramètres!$A$1:$I$89,3,0)*0.475*44/12</f>
        <v>8.3997043983305452E-9</v>
      </c>
      <c r="ED95" s="22">
        <f t="shared" si="72"/>
        <v>2.6550809863204061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201.49055911472067</v>
      </c>
      <c r="T96" s="59">
        <f t="shared" si="88"/>
        <v>403.37692064114719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21.403359404064165</v>
      </c>
      <c r="AA96" s="21">
        <f>EXP(-LN(2)/25)*AA95+(1-EXP(-LN(2)/25))/(LN(2)/25)*Calculateur!V96*Calculateur!X96*VLOOKUP('Données projet'!$B$9,Paramètres!$A$1:$I$89,3,0)*0.475*44/12</f>
        <v>11.775974805054416</v>
      </c>
      <c r="AB96" s="21">
        <f>EXP(-LN(2)/2)*AB95+(1-EXP(-LN(2)/2))/(LN(2)/2)*V96*Y96*VLOOKUP('Données projet'!$B$9,Paramètres!$A$1:$I$89,3,0)*0.475*44/12</f>
        <v>1.689621529809357E-7</v>
      </c>
      <c r="AC96" s="22">
        <f t="shared" si="57"/>
        <v>33.179334378080732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39.000000000000057</v>
      </c>
      <c r="AJ96" s="13">
        <f>AI96*VLOOKUP('Données projet'!$B$10,Paramètres!$A$1:$I$89,3,0)*VLOOKUP('Données projet'!$B$10,Paramètres!$A$1:$I$89,5,0)</f>
        <v>34.070400000000056</v>
      </c>
      <c r="AK96" s="13">
        <f t="shared" si="89"/>
        <v>10.412633617059328</v>
      </c>
      <c r="AL96" s="20">
        <f t="shared" si="58"/>
        <v>77.474616883045101</v>
      </c>
      <c r="AM96" s="59">
        <f t="shared" si="59"/>
        <v>370.8079502163784</v>
      </c>
      <c r="AN96" s="59">
        <f ca="1">AVERAGE(OFFSET($AM$3,0,0,'Données projet'!$E$10+1,1))-AVERAGE(OFFSET($H$3,0,0,'Données projet'!$E$10+1,1))</f>
        <v>260.53994021583316</v>
      </c>
      <c r="AO96" s="59">
        <f t="shared" si="90"/>
        <v>669.20238852709122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9.759012687765562E-8</v>
      </c>
      <c r="AX96" s="21">
        <f t="shared" si="60"/>
        <v>9.759012687765562E-8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268.70000000000039</v>
      </c>
      <c r="BE96" s="13">
        <f>BD96*VLOOKUP('Données projet'!$B$11,Paramètres!$A$1:$I$89,3,0)*VLOOKUP('Données projet'!$B$11,Paramètres!$A$1:$I$89,5,0)</f>
        <v>272.46180000000044</v>
      </c>
      <c r="BF96" s="13">
        <f t="shared" si="91"/>
        <v>65.371449071922058</v>
      </c>
      <c r="BG96" s="20">
        <f t="shared" si="61"/>
        <v>588.39290880026499</v>
      </c>
      <c r="BH96" s="59">
        <f t="shared" si="62"/>
        <v>881.72624213359836</v>
      </c>
      <c r="BI96" s="59">
        <f ca="1">AVERAGE(OFFSET($BH$3,0,0,'Données projet'!$E$11+1,1))-AVERAGE(OFFSET($H$3,0,0,'Données projet'!$E$11+1,1))</f>
        <v>279.20364724206644</v>
      </c>
      <c r="BJ96" s="59">
        <f t="shared" si="92"/>
        <v>173.99850582760712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0.60685171038826868</v>
      </c>
      <c r="BR96" s="21">
        <f>EXP(-LN(2)/2)*BR95+(1-EXP(-LN(2)/2))/(LN(2)/2)*BL96*BO96*VLOOKUP('Données projet'!$B$11,Paramètres!$A$1:$I$89,3,0)*0.475*44/12</f>
        <v>2.2839436848219858E-9</v>
      </c>
      <c r="BS96" s="22">
        <f t="shared" si="63"/>
        <v>0.60685171267221238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268.70000000000039</v>
      </c>
      <c r="BZ96" s="13">
        <f>BY96*VLOOKUP('Données projet'!$B$12,Paramètres!$A$1:$I$89,3,0)*VLOOKUP('Données projet'!$B$12,Paramètres!$A$1:$I$89,5,0)</f>
        <v>305.99556000000041</v>
      </c>
      <c r="CA96" s="13">
        <f t="shared" si="93"/>
        <v>72.431911954304667</v>
      </c>
      <c r="CB96" s="20">
        <f t="shared" si="64"/>
        <v>659.09451365374798</v>
      </c>
      <c r="CC96" s="59">
        <f t="shared" si="65"/>
        <v>952.42784698708124</v>
      </c>
      <c r="CD96" s="59">
        <f ca="1">AVERAGE(OFFSET($CC$3,0,0,'Données projet'!$E$12+1,1))-AVERAGE(OFFSET($H$3,0,0,'Données projet'!$E$12+1,1))</f>
        <v>327.06866218660838</v>
      </c>
      <c r="CE96" s="59">
        <f t="shared" si="94"/>
        <v>202.18198935334908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0.6815411516668245</v>
      </c>
      <c r="CM96" s="21">
        <f>EXP(-LN(2)/2)*CM95+(1-EXP(-LN(2)/2))/(LN(2)/2)*CG96*CJ96*VLOOKUP('Données projet'!$B$12,Paramètres!$A$1:$I$89,3,0)*0.475*44/12</f>
        <v>2.565044446030858E-9</v>
      </c>
      <c r="CN96" s="22">
        <f t="shared" si="66"/>
        <v>0.6815411542318689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-5.1159076974727213E-13</v>
      </c>
      <c r="CU96" s="17">
        <f>CT96*VLOOKUP('Données projet'!$B$13,Paramètres!$A$1:$I$89,3,0)*VLOOKUP('Données projet'!$B$13,Paramètres!$A$1:$I$89,5,0)</f>
        <v>-4.1500243241898714E-13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266.72672633301022</v>
      </c>
      <c r="CZ96" s="59">
        <f t="shared" si="96"/>
        <v>314.26991662544219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0.77515322060390957</v>
      </c>
      <c r="DG96" s="21">
        <f>EXP(-LN(2)/25)*DG95+(1-EXP(-LN(2)/25))/(LN(2)/25)*Calculateur!DB96*Calculateur!DD96*VLOOKUP('Données projet'!$B$13,Paramètres!$A$1:$I$89,3,0)*0.475*44/12</f>
        <v>2.9593689490322568</v>
      </c>
      <c r="DH96" s="21">
        <f>EXP(-LN(2)/2)*DH95+(1-EXP(-LN(2)/2))/(LN(2)/2)*DB96*DE96*VLOOKUP('Données projet'!$B$13,Paramètres!$A$1:$I$89,3,0)*0.475*44/12</f>
        <v>8.0705906586942466E-9</v>
      </c>
      <c r="DI96" s="22">
        <f t="shared" si="69"/>
        <v>3.7345221777067574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-5.6843418860808015E-14</v>
      </c>
      <c r="DP96" s="17">
        <f>DO96*VLOOKUP('Données projet'!$B$14,Paramètres!$A$1:$I$89,3,0)*VLOOKUP('Données projet'!$B$14,Paramètres!$A$1:$I$89,5,0)</f>
        <v>-6.1186256061773749E-14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442.54137223086991</v>
      </c>
      <c r="DU96" s="59">
        <f t="shared" si="98"/>
        <v>454.23406186660714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0.57305970237503312</v>
      </c>
      <c r="EB96" s="21">
        <f>EXP(-LN(2)/25)*EB95+(1-EXP(-LN(2)/25))/(LN(2)/25)*Calculateur!DW96*Calculateur!DY96*VLOOKUP('Données projet'!$B$14,Paramètres!$A$1:$I$89,3,0)*0.475*44/12</f>
        <v>2.0139396101093343</v>
      </c>
      <c r="EC96" s="21">
        <f>EXP(-LN(2)/2)*EC95+(1-EXP(-LN(2)/2))/(LN(2)/2)*DW96*DZ96*VLOOKUP('Données projet'!$B$14,Paramètres!$A$1:$I$89,3,0)*0.475*44/12</f>
        <v>5.9394879400219977E-9</v>
      </c>
      <c r="ED96" s="22">
        <f t="shared" si="72"/>
        <v>2.5869993184238553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201.49055911472067</v>
      </c>
      <c r="T97" s="59">
        <f t="shared" si="88"/>
        <v>403.37692064114719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20.983652580910654</v>
      </c>
      <c r="AA97" s="21">
        <f>EXP(-LN(2)/25)*AA96+(1-EXP(-LN(2)/25))/(LN(2)/25)*Calculateur!V97*Calculateur!X97*VLOOKUP('Données projet'!$B$9,Paramètres!$A$1:$I$89,3,0)*0.475*44/12</f>
        <v>11.453960154738603</v>
      </c>
      <c r="AB97" s="21">
        <f>EXP(-LN(2)/2)*AB96+(1-EXP(-LN(2)/2))/(LN(2)/2)*V97*Y97*VLOOKUP('Données projet'!$B$9,Paramètres!$A$1:$I$89,3,0)*0.475*44/12</f>
        <v>1.1947428413669846E-7</v>
      </c>
      <c r="AC97" s="22">
        <f t="shared" si="57"/>
        <v>32.43761285512354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39.000000000000057</v>
      </c>
      <c r="AJ97" s="13">
        <f>AI97*VLOOKUP('Données projet'!$B$10,Paramètres!$A$1:$I$89,3,0)*VLOOKUP('Données projet'!$B$10,Paramètres!$A$1:$I$89,5,0)</f>
        <v>34.070400000000056</v>
      </c>
      <c r="AK97" s="13">
        <f t="shared" si="89"/>
        <v>10.412633617059328</v>
      </c>
      <c r="AL97" s="20">
        <f t="shared" si="58"/>
        <v>77.474616883045101</v>
      </c>
      <c r="AM97" s="59">
        <f t="shared" si="59"/>
        <v>370.8079502163784</v>
      </c>
      <c r="AN97" s="59">
        <f ca="1">AVERAGE(OFFSET($AM$3,0,0,'Données projet'!$E$10+1,1))-AVERAGE(OFFSET($H$3,0,0,'Données projet'!$E$10+1,1))</f>
        <v>260.53994021583316</v>
      </c>
      <c r="AO97" s="59">
        <f t="shared" si="90"/>
        <v>669.20238852709122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6.9006640492045841E-8</v>
      </c>
      <c r="AX97" s="21">
        <f t="shared" si="60"/>
        <v>6.9006640492045841E-8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273.60000000000036</v>
      </c>
      <c r="BE97" s="13">
        <f>BD97*VLOOKUP('Données projet'!$B$11,Paramètres!$A$1:$I$89,3,0)*VLOOKUP('Données projet'!$B$11,Paramètres!$A$1:$I$89,5,0)</f>
        <v>277.43040000000036</v>
      </c>
      <c r="BF97" s="13">
        <f t="shared" si="91"/>
        <v>66.423687500715801</v>
      </c>
      <c r="BG97" s="20">
        <f t="shared" si="61"/>
        <v>598.87920239708058</v>
      </c>
      <c r="BH97" s="59">
        <f t="shared" si="62"/>
        <v>892.21253573041395</v>
      </c>
      <c r="BI97" s="59">
        <f ca="1">AVERAGE(OFFSET($BH$3,0,0,'Données projet'!$E$11+1,1))-AVERAGE(OFFSET($H$3,0,0,'Données projet'!$E$11+1,1))</f>
        <v>279.20364724206644</v>
      </c>
      <c r="BJ97" s="59">
        <f t="shared" si="92"/>
        <v>173.99850582760712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0.59025731845475704</v>
      </c>
      <c r="BR97" s="21">
        <f>EXP(-LN(2)/2)*BR96+(1-EXP(-LN(2)/2))/(LN(2)/2)*BL97*BO97*VLOOKUP('Données projet'!$B$11,Paramètres!$A$1:$I$89,3,0)*0.475*44/12</f>
        <v>1.614992067385817E-9</v>
      </c>
      <c r="BS97" s="22">
        <f t="shared" si="63"/>
        <v>0.59025732006974907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273.60000000000036</v>
      </c>
      <c r="BZ97" s="13">
        <f>BY97*VLOOKUP('Données projet'!$B$12,Paramètres!$A$1:$I$89,3,0)*VLOOKUP('Données projet'!$B$12,Paramètres!$A$1:$I$89,5,0)</f>
        <v>311.57568000000043</v>
      </c>
      <c r="CA97" s="13">
        <f t="shared" si="93"/>
        <v>73.597797708886475</v>
      </c>
      <c r="CB97" s="20">
        <f t="shared" si="64"/>
        <v>670.84380700964471</v>
      </c>
      <c r="CC97" s="59">
        <f t="shared" si="65"/>
        <v>964.17714034297796</v>
      </c>
      <c r="CD97" s="59">
        <f ca="1">AVERAGE(OFFSET($CC$3,0,0,'Données projet'!$E$12+1,1))-AVERAGE(OFFSET($H$3,0,0,'Données projet'!$E$12+1,1))</f>
        <v>327.06866218660838</v>
      </c>
      <c r="CE97" s="59">
        <f t="shared" si="94"/>
        <v>202.18198935334908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0.66290437303380367</v>
      </c>
      <c r="CM97" s="21">
        <f>EXP(-LN(2)/2)*CM96+(1-EXP(-LN(2)/2))/(LN(2)/2)*CG97*CJ97*VLOOKUP('Données projet'!$B$12,Paramètres!$A$1:$I$89,3,0)*0.475*44/12</f>
        <v>1.8137603218333111E-9</v>
      </c>
      <c r="CN97" s="22">
        <f t="shared" si="66"/>
        <v>0.66290437484756404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-5.1159076974727213E-13</v>
      </c>
      <c r="CU97" s="17">
        <f>CT97*VLOOKUP('Données projet'!$B$13,Paramètres!$A$1:$I$89,3,0)*VLOOKUP('Données projet'!$B$13,Paramètres!$A$1:$I$89,5,0)</f>
        <v>-4.1500243241898714E-13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266.72672633301022</v>
      </c>
      <c r="CZ97" s="59">
        <f t="shared" si="96"/>
        <v>314.26991662544219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0.75995293874464664</v>
      </c>
      <c r="DG97" s="21">
        <f>EXP(-LN(2)/25)*DG96+(1-EXP(-LN(2)/25))/(LN(2)/25)*Calculateur!DB97*Calculateur!DD97*VLOOKUP('Données projet'!$B$13,Paramètres!$A$1:$I$89,3,0)*0.475*44/12</f>
        <v>2.8784448494945205</v>
      </c>
      <c r="DH97" s="21">
        <f>EXP(-LN(2)/2)*DH96+(1-EXP(-LN(2)/2))/(LN(2)/2)*DB97*DE97*VLOOKUP('Données projet'!$B$13,Paramètres!$A$1:$I$89,3,0)*0.475*44/12</f>
        <v>5.7067693829435072E-9</v>
      </c>
      <c r="DI97" s="22">
        <f t="shared" si="69"/>
        <v>3.6383977939459364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-5.6843418860808015E-14</v>
      </c>
      <c r="DP97" s="17">
        <f>DO97*VLOOKUP('Données projet'!$B$14,Paramètres!$A$1:$I$89,3,0)*VLOOKUP('Données projet'!$B$14,Paramètres!$A$1:$I$89,5,0)</f>
        <v>-6.1186256061773749E-14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442.54137223086991</v>
      </c>
      <c r="DU97" s="59">
        <f t="shared" si="98"/>
        <v>454.23406186660714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0.56182235114336376</v>
      </c>
      <c r="EB97" s="21">
        <f>EXP(-LN(2)/25)*EB96+(1-EXP(-LN(2)/25))/(LN(2)/25)*Calculateur!DW97*Calculateur!DY97*VLOOKUP('Données projet'!$B$14,Paramètres!$A$1:$I$89,3,0)*0.475*44/12</f>
        <v>1.9588683255624133</v>
      </c>
      <c r="EC97" s="21">
        <f>EXP(-LN(2)/2)*EC96+(1-EXP(-LN(2)/2))/(LN(2)/2)*DW97*DZ97*VLOOKUP('Données projet'!$B$14,Paramètres!$A$1:$I$89,3,0)*0.475*44/12</f>
        <v>4.1998521991652726E-9</v>
      </c>
      <c r="ED97" s="22">
        <f t="shared" si="72"/>
        <v>2.5206906809056289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201.49055911472067</v>
      </c>
      <c r="T98" s="59">
        <f t="shared" si="88"/>
        <v>403.37692064114719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20.572175952563299</v>
      </c>
      <c r="AA98" s="21">
        <f>EXP(-LN(2)/25)*AA97+(1-EXP(-LN(2)/25))/(LN(2)/25)*Calculateur!V98*Calculateur!X98*VLOOKUP('Données projet'!$B$9,Paramètres!$A$1:$I$89,3,0)*0.475*44/12</f>
        <v>11.140751011969689</v>
      </c>
      <c r="AB98" s="21">
        <f>EXP(-LN(2)/2)*AB97+(1-EXP(-LN(2)/2))/(LN(2)/2)*V98*Y98*VLOOKUP('Données projet'!$B$9,Paramètres!$A$1:$I$89,3,0)*0.475*44/12</f>
        <v>8.4481076490467849E-8</v>
      </c>
      <c r="AC98" s="22">
        <f t="shared" si="57"/>
        <v>31.712927049014066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39.000000000000057</v>
      </c>
      <c r="AJ98" s="13">
        <f>AI98*VLOOKUP('Données projet'!$B$10,Paramètres!$A$1:$I$89,3,0)*VLOOKUP('Données projet'!$B$10,Paramètres!$A$1:$I$89,5,0)</f>
        <v>34.070400000000056</v>
      </c>
      <c r="AK98" s="13">
        <f t="shared" si="89"/>
        <v>10.412633617059328</v>
      </c>
      <c r="AL98" s="20">
        <f t="shared" si="58"/>
        <v>77.474616883045101</v>
      </c>
      <c r="AM98" s="59">
        <f t="shared" si="59"/>
        <v>370.8079502163784</v>
      </c>
      <c r="AN98" s="59">
        <f ca="1">AVERAGE(OFFSET($AM$3,0,0,'Données projet'!$E$10+1,1))-AVERAGE(OFFSET($H$3,0,0,'Données projet'!$E$10+1,1))</f>
        <v>260.53994021583316</v>
      </c>
      <c r="AO98" s="59">
        <f t="shared" si="90"/>
        <v>669.20238852709122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4.879506343882781E-8</v>
      </c>
      <c r="AX98" s="21">
        <f t="shared" si="60"/>
        <v>4.879506343882781E-8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278.50000000000034</v>
      </c>
      <c r="BE98" s="13">
        <f>BD98*VLOOKUP('Données projet'!$B$11,Paramètres!$A$1:$I$89,3,0)*VLOOKUP('Données projet'!$B$11,Paramètres!$A$1:$I$89,5,0)</f>
        <v>282.3990000000004</v>
      </c>
      <c r="BF98" s="13">
        <f t="shared" si="91"/>
        <v>67.473734542548499</v>
      </c>
      <c r="BG98" s="20">
        <f t="shared" si="61"/>
        <v>609.36167932827254</v>
      </c>
      <c r="BH98" s="59">
        <f t="shared" si="62"/>
        <v>902.69501266160592</v>
      </c>
      <c r="BI98" s="59">
        <f ca="1">AVERAGE(OFFSET($BH$3,0,0,'Données projet'!$E$11+1,1))-AVERAGE(OFFSET($H$3,0,0,'Données projet'!$E$11+1,1))</f>
        <v>279.20364724206644</v>
      </c>
      <c r="BJ98" s="59">
        <f t="shared" si="92"/>
        <v>173.99850582760712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0.57411670104132839</v>
      </c>
      <c r="BR98" s="21">
        <f>EXP(-LN(2)/2)*BR97+(1-EXP(-LN(2)/2))/(LN(2)/2)*BL98*BO98*VLOOKUP('Données projet'!$B$11,Paramètres!$A$1:$I$89,3,0)*0.475*44/12</f>
        <v>1.1419718424109929E-9</v>
      </c>
      <c r="BS98" s="22">
        <f t="shared" si="63"/>
        <v>0.57411670218330024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278.50000000000034</v>
      </c>
      <c r="BZ98" s="13">
        <f>BY98*VLOOKUP('Données projet'!$B$12,Paramètres!$A$1:$I$89,3,0)*VLOOKUP('Données projet'!$B$12,Paramètres!$A$1:$I$89,5,0)</f>
        <v>317.1558000000004</v>
      </c>
      <c r="CA98" s="13">
        <f t="shared" si="93"/>
        <v>74.761255395103916</v>
      </c>
      <c r="CB98" s="20">
        <f t="shared" si="64"/>
        <v>682.58887147980658</v>
      </c>
      <c r="CC98" s="59">
        <f t="shared" si="65"/>
        <v>975.92220481313984</v>
      </c>
      <c r="CD98" s="59">
        <f ca="1">AVERAGE(OFFSET($CC$3,0,0,'Données projet'!$E$12+1,1))-AVERAGE(OFFSET($H$3,0,0,'Données projet'!$E$12+1,1))</f>
        <v>327.06866218660838</v>
      </c>
      <c r="CE98" s="59">
        <f t="shared" si="94"/>
        <v>202.18198935334908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0.64477721809256838</v>
      </c>
      <c r="CM98" s="21">
        <f>EXP(-LN(2)/2)*CM97+(1-EXP(-LN(2)/2))/(LN(2)/2)*CG98*CJ98*VLOOKUP('Données projet'!$B$12,Paramètres!$A$1:$I$89,3,0)*0.475*44/12</f>
        <v>1.2825222230154292E-9</v>
      </c>
      <c r="CN98" s="22">
        <f t="shared" si="66"/>
        <v>0.64477721937509058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-5.1159076974727213E-13</v>
      </c>
      <c r="CU98" s="17">
        <f>CT98*VLOOKUP('Données projet'!$B$13,Paramètres!$A$1:$I$89,3,0)*VLOOKUP('Données projet'!$B$13,Paramètres!$A$1:$I$89,5,0)</f>
        <v>-4.1500243241898714E-13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266.72672633301022</v>
      </c>
      <c r="CZ98" s="59">
        <f t="shared" si="96"/>
        <v>314.26991662544219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0.74505072514138737</v>
      </c>
      <c r="DG98" s="21">
        <f>EXP(-LN(2)/25)*DG97+(1-EXP(-LN(2)/25))/(LN(2)/25)*Calculateur!DB98*Calculateur!DD98*VLOOKUP('Données projet'!$B$13,Paramètres!$A$1:$I$89,3,0)*0.475*44/12</f>
        <v>2.7997336237142569</v>
      </c>
      <c r="DH98" s="21">
        <f>EXP(-LN(2)/2)*DH97+(1-EXP(-LN(2)/2))/(LN(2)/2)*DB98*DE98*VLOOKUP('Données projet'!$B$13,Paramètres!$A$1:$I$89,3,0)*0.475*44/12</f>
        <v>4.0352953293471233E-9</v>
      </c>
      <c r="DI98" s="22">
        <f t="shared" si="69"/>
        <v>3.5447843528909395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-5.6843418860808015E-14</v>
      </c>
      <c r="DP98" s="17">
        <f>DO98*VLOOKUP('Données projet'!$B$14,Paramètres!$A$1:$I$89,3,0)*VLOOKUP('Données projet'!$B$14,Paramètres!$A$1:$I$89,5,0)</f>
        <v>-6.1186256061773749E-14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442.54137223086991</v>
      </c>
      <c r="DU98" s="59">
        <f t="shared" si="98"/>
        <v>454.23406186660714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0.55080535751523996</v>
      </c>
      <c r="EB98" s="21">
        <f>EXP(-LN(2)/25)*EB97+(1-EXP(-LN(2)/25))/(LN(2)/25)*Calculateur!DW98*Calculateur!DY98*VLOOKUP('Données projet'!$B$14,Paramètres!$A$1:$I$89,3,0)*0.475*44/12</f>
        <v>1.9053029681875009</v>
      </c>
      <c r="EC98" s="21">
        <f>EXP(-LN(2)/2)*EC97+(1-EXP(-LN(2)/2))/(LN(2)/2)*DW98*DZ98*VLOOKUP('Données projet'!$B$14,Paramètres!$A$1:$I$89,3,0)*0.475*44/12</f>
        <v>2.9697439700109988E-9</v>
      </c>
      <c r="ED98" s="22">
        <f t="shared" si="72"/>
        <v>2.4561083286724847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201.49055911472067</v>
      </c>
      <c r="T99" s="59">
        <f t="shared" si="88"/>
        <v>403.37692064114719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20.168768129921872</v>
      </c>
      <c r="AA99" s="21">
        <f>EXP(-LN(2)/25)*AA98+(1-EXP(-LN(2)/25))/(LN(2)/25)*Calculateur!V99*Calculateur!X99*VLOOKUP('Données projet'!$B$9,Paramètres!$A$1:$I$89,3,0)*0.475*44/12</f>
        <v>10.836106589680744</v>
      </c>
      <c r="AB99" s="21">
        <f>EXP(-LN(2)/2)*AB98+(1-EXP(-LN(2)/2))/(LN(2)/2)*V99*Y99*VLOOKUP('Données projet'!$B$9,Paramètres!$A$1:$I$89,3,0)*0.475*44/12</f>
        <v>5.9737142068349232E-8</v>
      </c>
      <c r="AC99" s="22">
        <f t="shared" si="57"/>
        <v>31.004874779339762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39.000000000000057</v>
      </c>
      <c r="AJ99" s="13">
        <f>AI99*VLOOKUP('Données projet'!$B$10,Paramètres!$A$1:$I$89,3,0)*VLOOKUP('Données projet'!$B$10,Paramètres!$A$1:$I$89,5,0)</f>
        <v>34.070400000000056</v>
      </c>
      <c r="AK99" s="13">
        <f t="shared" si="89"/>
        <v>10.412633617059328</v>
      </c>
      <c r="AL99" s="20">
        <f t="shared" si="58"/>
        <v>77.474616883045101</v>
      </c>
      <c r="AM99" s="59">
        <f t="shared" si="59"/>
        <v>370.8079502163784</v>
      </c>
      <c r="AN99" s="59">
        <f ca="1">AVERAGE(OFFSET($AM$3,0,0,'Données projet'!$E$10+1,1))-AVERAGE(OFFSET($H$3,0,0,'Données projet'!$E$10+1,1))</f>
        <v>260.53994021583316</v>
      </c>
      <c r="AO99" s="59">
        <f t="shared" si="90"/>
        <v>669.20238852709122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3.4503320246022921E-8</v>
      </c>
      <c r="AX99" s="21">
        <f t="shared" si="60"/>
        <v>3.4503320246022921E-8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283.40000000000032</v>
      </c>
      <c r="BE99" s="13">
        <f>BD99*VLOOKUP('Données projet'!$B$11,Paramètres!$A$1:$I$89,3,0)*VLOOKUP('Données projet'!$B$11,Paramètres!$A$1:$I$89,5,0)</f>
        <v>287.36760000000032</v>
      </c>
      <c r="BF99" s="13">
        <f t="shared" si="91"/>
        <v>68.52163320156518</v>
      </c>
      <c r="BG99" s="20">
        <f t="shared" si="61"/>
        <v>619.84041449272661</v>
      </c>
      <c r="BH99" s="59">
        <f t="shared" si="62"/>
        <v>913.17374782605998</v>
      </c>
      <c r="BI99" s="59">
        <f ca="1">AVERAGE(OFFSET($BH$3,0,0,'Données projet'!$E$11+1,1))-AVERAGE(OFFSET($H$3,0,0,'Données projet'!$E$11+1,1))</f>
        <v>279.20364724206644</v>
      </c>
      <c r="BJ99" s="59">
        <f t="shared" si="92"/>
        <v>173.99850582760712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0.55841744965986817</v>
      </c>
      <c r="BR99" s="21">
        <f>EXP(-LN(2)/2)*BR98+(1-EXP(-LN(2)/2))/(LN(2)/2)*BL99*BO99*VLOOKUP('Données projet'!$B$11,Paramètres!$A$1:$I$89,3,0)*0.475*44/12</f>
        <v>8.074960336929085E-10</v>
      </c>
      <c r="BS99" s="22">
        <f t="shared" si="63"/>
        <v>0.55841745046736424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283.40000000000032</v>
      </c>
      <c r="BZ99" s="13">
        <f>BY99*VLOOKUP('Données projet'!$B$12,Paramètres!$A$1:$I$89,3,0)*VLOOKUP('Données projet'!$B$12,Paramètres!$A$1:$I$89,5,0)</f>
        <v>322.73592000000036</v>
      </c>
      <c r="CA99" s="13">
        <f t="shared" si="93"/>
        <v>75.922332661777745</v>
      </c>
      <c r="CB99" s="20">
        <f t="shared" si="64"/>
        <v>694.32979005259676</v>
      </c>
      <c r="CC99" s="59">
        <f t="shared" si="65"/>
        <v>987.66312338593002</v>
      </c>
      <c r="CD99" s="59">
        <f ca="1">AVERAGE(OFFSET($CC$3,0,0,'Données projet'!$E$12+1,1))-AVERAGE(OFFSET($H$3,0,0,'Données projet'!$E$12+1,1))</f>
        <v>327.06866218660838</v>
      </c>
      <c r="CE99" s="59">
        <f t="shared" si="94"/>
        <v>202.18198935334908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0.62714575115646687</v>
      </c>
      <c r="CM99" s="21">
        <f>EXP(-LN(2)/2)*CM98+(1-EXP(-LN(2)/2))/(LN(2)/2)*CG99*CJ99*VLOOKUP('Données projet'!$B$12,Paramètres!$A$1:$I$89,3,0)*0.475*44/12</f>
        <v>9.0688016091665567E-10</v>
      </c>
      <c r="CN99" s="22">
        <f t="shared" si="66"/>
        <v>0.627145752063347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-5.1159076974727213E-13</v>
      </c>
      <c r="CU99" s="17">
        <f>CT99*VLOOKUP('Données projet'!$B$13,Paramètres!$A$1:$I$89,3,0)*VLOOKUP('Données projet'!$B$13,Paramètres!$A$1:$I$89,5,0)</f>
        <v>-4.1500243241898714E-13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266.72672633301022</v>
      </c>
      <c r="CZ99" s="59">
        <f t="shared" si="96"/>
        <v>314.26991662544219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0.73044073485743521</v>
      </c>
      <c r="DG99" s="21">
        <f>EXP(-LN(2)/25)*DG98+(1-EXP(-LN(2)/25))/(LN(2)/25)*Calculateur!DB99*Calculateur!DD99*VLOOKUP('Données projet'!$B$13,Paramètres!$A$1:$I$89,3,0)*0.475*44/12</f>
        <v>2.7231747605421983</v>
      </c>
      <c r="DH99" s="21">
        <f>EXP(-LN(2)/2)*DH98+(1-EXP(-LN(2)/2))/(LN(2)/2)*DB99*DE99*VLOOKUP('Données projet'!$B$13,Paramètres!$A$1:$I$89,3,0)*0.475*44/12</f>
        <v>2.8533846914717536E-9</v>
      </c>
      <c r="DI99" s="22">
        <f t="shared" si="69"/>
        <v>3.4536154982530181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-5.6843418860808015E-14</v>
      </c>
      <c r="DP99" s="17">
        <f>DO99*VLOOKUP('Données projet'!$B$14,Paramètres!$A$1:$I$89,3,0)*VLOOKUP('Données projet'!$B$14,Paramètres!$A$1:$I$89,5,0)</f>
        <v>-6.1186256061773749E-14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442.54137223086991</v>
      </c>
      <c r="DU99" s="59">
        <f t="shared" si="98"/>
        <v>454.23406186660714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0.54000440041246112</v>
      </c>
      <c r="EB99" s="21">
        <f>EXP(-LN(2)/25)*EB98+(1-EXP(-LN(2)/25))/(LN(2)/25)*Calculateur!DW99*Calculateur!DY99*VLOOKUP('Données projet'!$B$14,Paramètres!$A$1:$I$89,3,0)*0.475*44/12</f>
        <v>1.8532023583268853</v>
      </c>
      <c r="EC99" s="21">
        <f>EXP(-LN(2)/2)*EC98+(1-EXP(-LN(2)/2))/(LN(2)/2)*DW99*DZ99*VLOOKUP('Données projet'!$B$14,Paramètres!$A$1:$I$89,3,0)*0.475*44/12</f>
        <v>2.0999260995826363E-9</v>
      </c>
      <c r="ED99" s="22">
        <f t="shared" si="72"/>
        <v>2.3932067608392722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201.49055911472067</v>
      </c>
      <c r="T100" s="59">
        <f t="shared" si="88"/>
        <v>403.37692064114719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19.77327088862797</v>
      </c>
      <c r="AA100" s="21">
        <f>EXP(-LN(2)/25)*AA99+(1-EXP(-LN(2)/25))/(LN(2)/25)*Calculateur!V100*Calculateur!X100*VLOOKUP('Données projet'!$B$9,Paramètres!$A$1:$I$89,3,0)*0.475*44/12</f>
        <v>10.539792685139846</v>
      </c>
      <c r="AB100" s="21">
        <f>EXP(-LN(2)/2)*AB99+(1-EXP(-LN(2)/2))/(LN(2)/2)*V100*Y100*VLOOKUP('Données projet'!$B$9,Paramètres!$A$1:$I$89,3,0)*0.475*44/12</f>
        <v>4.2240538245233924E-8</v>
      </c>
      <c r="AC100" s="22">
        <f t="shared" si="57"/>
        <v>30.313063616008353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39.000000000000057</v>
      </c>
      <c r="AJ100" s="13">
        <f>AI100*VLOOKUP('Données projet'!$B$10,Paramètres!$A$1:$I$89,3,0)*VLOOKUP('Données projet'!$B$10,Paramètres!$A$1:$I$89,5,0)</f>
        <v>34.070400000000056</v>
      </c>
      <c r="AK100" s="13">
        <f t="shared" si="89"/>
        <v>10.412633617059328</v>
      </c>
      <c r="AL100" s="20">
        <f t="shared" si="58"/>
        <v>77.474616883045101</v>
      </c>
      <c r="AM100" s="59">
        <f t="shared" si="59"/>
        <v>370.8079502163784</v>
      </c>
      <c r="AN100" s="59">
        <f ca="1">AVERAGE(OFFSET($AM$3,0,0,'Données projet'!$E$10+1,1))-AVERAGE(OFFSET($H$3,0,0,'Données projet'!$E$10+1,1))</f>
        <v>260.53994021583316</v>
      </c>
      <c r="AO100" s="59">
        <f t="shared" si="90"/>
        <v>669.20238852709122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2.4397531719413905E-8</v>
      </c>
      <c r="AX100" s="21">
        <f t="shared" si="60"/>
        <v>2.4397531719413905E-8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288.3000000000003</v>
      </c>
      <c r="BE100" s="13">
        <f>BD100*VLOOKUP('Données projet'!$B$11,Paramètres!$A$1:$I$89,3,0)*VLOOKUP('Données projet'!$B$11,Paramètres!$A$1:$I$89,5,0)</f>
        <v>292.33620000000036</v>
      </c>
      <c r="BF100" s="13">
        <f t="shared" si="91"/>
        <v>69.567424909623327</v>
      </c>
      <c r="BG100" s="20">
        <f t="shared" si="61"/>
        <v>630.31548005092793</v>
      </c>
      <c r="BH100" s="59">
        <f t="shared" si="62"/>
        <v>923.6488133842613</v>
      </c>
      <c r="BI100" s="59">
        <f ca="1">AVERAGE(OFFSET($BH$3,0,0,'Données projet'!$E$11+1,1))-AVERAGE(OFFSET($H$3,0,0,'Données projet'!$E$11+1,1))</f>
        <v>279.20364724206644</v>
      </c>
      <c r="BJ100" s="59">
        <f t="shared" si="92"/>
        <v>173.99850582760712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0.54314749513302163</v>
      </c>
      <c r="BR100" s="21">
        <f>EXP(-LN(2)/2)*BR99+(1-EXP(-LN(2)/2))/(LN(2)/2)*BL100*BO100*VLOOKUP('Données projet'!$B$11,Paramètres!$A$1:$I$89,3,0)*0.475*44/12</f>
        <v>5.7098592120549646E-10</v>
      </c>
      <c r="BS100" s="22">
        <f t="shared" si="63"/>
        <v>0.54314749570400755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288.3000000000003</v>
      </c>
      <c r="BZ100" s="13">
        <f>BY100*VLOOKUP('Données projet'!$B$12,Paramètres!$A$1:$I$89,3,0)*VLOOKUP('Données projet'!$B$12,Paramètres!$A$1:$I$89,5,0)</f>
        <v>328.31604000000033</v>
      </c>
      <c r="CA100" s="13">
        <f t="shared" si="93"/>
        <v>77.081075415625392</v>
      </c>
      <c r="CB100" s="20">
        <f t="shared" si="64"/>
        <v>706.06664268221482</v>
      </c>
      <c r="CC100" s="59">
        <f t="shared" si="65"/>
        <v>999.39997601554819</v>
      </c>
      <c r="CD100" s="59">
        <f ca="1">AVERAGE(OFFSET($CC$3,0,0,'Données projet'!$E$12+1,1))-AVERAGE(OFFSET($H$3,0,0,'Données projet'!$E$12+1,1))</f>
        <v>327.06866218660838</v>
      </c>
      <c r="CE100" s="59">
        <f t="shared" si="94"/>
        <v>202.18198935334908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0.6099964176109316</v>
      </c>
      <c r="CM100" s="21">
        <f>EXP(-LN(2)/2)*CM99+(1-EXP(-LN(2)/2))/(LN(2)/2)*CG100*CJ100*VLOOKUP('Données projet'!$B$12,Paramètres!$A$1:$I$89,3,0)*0.475*44/12</f>
        <v>6.4126111150771472E-10</v>
      </c>
      <c r="CN100" s="22">
        <f t="shared" si="66"/>
        <v>0.60999641825219275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-5.1159076974727213E-13</v>
      </c>
      <c r="CU100" s="17">
        <f>CT100*VLOOKUP('Données projet'!$B$13,Paramètres!$A$1:$I$89,3,0)*VLOOKUP('Données projet'!$B$13,Paramètres!$A$1:$I$89,5,0)</f>
        <v>-4.1500243241898714E-13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266.72672633301022</v>
      </c>
      <c r="CZ100" s="59">
        <f t="shared" si="96"/>
        <v>314.26991662544219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0.71611723757173729</v>
      </c>
      <c r="DG100" s="21">
        <f>EXP(-LN(2)/25)*DG99+(1-EXP(-LN(2)/25))/(LN(2)/25)*Calculateur!DB100*Calculateur!DD100*VLOOKUP('Données projet'!$B$13,Paramètres!$A$1:$I$89,3,0)*0.475*44/12</f>
        <v>2.6487094035096352</v>
      </c>
      <c r="DH100" s="21">
        <f>EXP(-LN(2)/2)*DH99+(1-EXP(-LN(2)/2))/(LN(2)/2)*DB100*DE100*VLOOKUP('Données projet'!$B$13,Paramètres!$A$1:$I$89,3,0)*0.475*44/12</f>
        <v>2.0176476646735616E-9</v>
      </c>
      <c r="DI100" s="22">
        <f t="shared" si="69"/>
        <v>3.3648266430990206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-5.6843418860808015E-14</v>
      </c>
      <c r="DP100" s="17">
        <f>DO100*VLOOKUP('Données projet'!$B$14,Paramètres!$A$1:$I$89,3,0)*VLOOKUP('Données projet'!$B$14,Paramètres!$A$1:$I$89,5,0)</f>
        <v>-6.1186256061773749E-14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442.54137223086991</v>
      </c>
      <c r="DU100" s="59">
        <f t="shared" si="98"/>
        <v>454.23406186660714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0.52941524349053437</v>
      </c>
      <c r="EB100" s="21">
        <f>EXP(-LN(2)/25)*EB99+(1-EXP(-LN(2)/25))/(LN(2)/25)*Calculateur!DW100*Calculateur!DY100*VLOOKUP('Données projet'!$B$14,Paramètres!$A$1:$I$89,3,0)*0.475*44/12</f>
        <v>1.8025264423827601</v>
      </c>
      <c r="EC100" s="21">
        <f>EXP(-LN(2)/2)*EC99+(1-EXP(-LN(2)/2))/(LN(2)/2)*DW100*DZ100*VLOOKUP('Données projet'!$B$14,Paramètres!$A$1:$I$89,3,0)*0.475*44/12</f>
        <v>1.4848719850054994E-9</v>
      </c>
      <c r="ED100" s="22">
        <f t="shared" si="72"/>
        <v>2.3319416873581664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201.49055911472067</v>
      </c>
      <c r="T101" s="59">
        <f t="shared" si="88"/>
        <v>403.37692064114719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19.385529107006342</v>
      </c>
      <c r="AA101" s="21">
        <f>EXP(-LN(2)/25)*AA100+(1-EXP(-LN(2)/25))/(LN(2)/25)*Calculateur!V101*Calculateur!X101*VLOOKUP('Données projet'!$B$9,Paramètres!$A$1:$I$89,3,0)*0.475*44/12</f>
        <v>10.251581499901087</v>
      </c>
      <c r="AB101" s="21">
        <f>EXP(-LN(2)/2)*AB100+(1-EXP(-LN(2)/2))/(LN(2)/2)*V101*Y101*VLOOKUP('Données projet'!$B$9,Paramètres!$A$1:$I$89,3,0)*0.475*44/12</f>
        <v>2.9868571034174616E-8</v>
      </c>
      <c r="AC101" s="22">
        <f t="shared" si="57"/>
        <v>29.637110636775997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39.000000000000057</v>
      </c>
      <c r="AJ101" s="13">
        <f>AI101*VLOOKUP('Données projet'!$B$10,Paramètres!$A$1:$I$89,3,0)*VLOOKUP('Données projet'!$B$10,Paramètres!$A$1:$I$89,5,0)</f>
        <v>34.070400000000056</v>
      </c>
      <c r="AK101" s="13">
        <f t="shared" si="89"/>
        <v>10.412633617059328</v>
      </c>
      <c r="AL101" s="20">
        <f t="shared" si="58"/>
        <v>77.474616883045101</v>
      </c>
      <c r="AM101" s="59">
        <f t="shared" si="59"/>
        <v>370.8079502163784</v>
      </c>
      <c r="AN101" s="59">
        <f ca="1">AVERAGE(OFFSET($AM$3,0,0,'Données projet'!$E$10+1,1))-AVERAGE(OFFSET($H$3,0,0,'Données projet'!$E$10+1,1))</f>
        <v>260.53994021583316</v>
      </c>
      <c r="AO101" s="59">
        <f t="shared" si="90"/>
        <v>669.20238852709122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1.725166012301146E-8</v>
      </c>
      <c r="AX101" s="21">
        <f t="shared" si="60"/>
        <v>1.725166012301146E-8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293.20000000000027</v>
      </c>
      <c r="BE101" s="13">
        <f>BD101*VLOOKUP('Données projet'!$B$11,Paramètres!$A$1:$I$89,3,0)*VLOOKUP('Données projet'!$B$11,Paramètres!$A$1:$I$89,5,0)</f>
        <v>297.30480000000028</v>
      </c>
      <c r="BF101" s="13">
        <f t="shared" si="91"/>
        <v>70.611149609505034</v>
      </c>
      <c r="BG101" s="20">
        <f t="shared" si="61"/>
        <v>640.78694556988842</v>
      </c>
      <c r="BH101" s="59">
        <f t="shared" si="62"/>
        <v>934.12027890322179</v>
      </c>
      <c r="BI101" s="59">
        <f ca="1">AVERAGE(OFFSET($BH$3,0,0,'Données projet'!$E$11+1,1))-AVERAGE(OFFSET($H$3,0,0,'Données projet'!$E$11+1,1))</f>
        <v>279.20364724206644</v>
      </c>
      <c r="BJ101" s="59">
        <f t="shared" si="92"/>
        <v>173.99850582760712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0.52829509831572374</v>
      </c>
      <c r="BR101" s="21">
        <f>EXP(-LN(2)/2)*BR100+(1-EXP(-LN(2)/2))/(LN(2)/2)*BL101*BO101*VLOOKUP('Données projet'!$B$11,Paramètres!$A$1:$I$89,3,0)*0.475*44/12</f>
        <v>4.0374801684645425E-10</v>
      </c>
      <c r="BS101" s="22">
        <f t="shared" si="63"/>
        <v>0.52829509871947178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293.20000000000027</v>
      </c>
      <c r="BZ101" s="13">
        <f>BY101*VLOOKUP('Données projet'!$B$12,Paramètres!$A$1:$I$89,3,0)*VLOOKUP('Données projet'!$B$12,Paramètres!$A$1:$I$89,5,0)</f>
        <v>333.89616000000035</v>
      </c>
      <c r="CA101" s="13">
        <f t="shared" si="93"/>
        <v>78.237527913461108</v>
      </c>
      <c r="CB101" s="20">
        <f t="shared" si="64"/>
        <v>717.79950644927874</v>
      </c>
      <c r="CC101" s="59">
        <f t="shared" si="65"/>
        <v>1011.1328397826121</v>
      </c>
      <c r="CD101" s="59">
        <f ca="1">AVERAGE(OFFSET($CC$3,0,0,'Données projet'!$E$12+1,1))-AVERAGE(OFFSET($H$3,0,0,'Données projet'!$E$12+1,1))</f>
        <v>327.06866218660838</v>
      </c>
      <c r="CE101" s="59">
        <f t="shared" si="94"/>
        <v>202.18198935334908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0.59331603349304318</v>
      </c>
      <c r="CM101" s="21">
        <f>EXP(-LN(2)/2)*CM100+(1-EXP(-LN(2)/2))/(LN(2)/2)*CG101*CJ101*VLOOKUP('Données projet'!$B$12,Paramètres!$A$1:$I$89,3,0)*0.475*44/12</f>
        <v>4.5344008045832794E-10</v>
      </c>
      <c r="CN101" s="22">
        <f t="shared" si="66"/>
        <v>0.59331603394648325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-5.1159076974727213E-13</v>
      </c>
      <c r="CU101" s="17">
        <f>CT101*VLOOKUP('Données projet'!$B$13,Paramètres!$A$1:$I$89,3,0)*VLOOKUP('Données projet'!$B$13,Paramètres!$A$1:$I$89,5,0)</f>
        <v>-4.1500243241898714E-13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266.72672633301022</v>
      </c>
      <c r="CZ101" s="59">
        <f t="shared" si="96"/>
        <v>314.26991662544219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0.70207461533134119</v>
      </c>
      <c r="DG101" s="21">
        <f>EXP(-LN(2)/25)*DG100+(1-EXP(-LN(2)/25))/(LN(2)/25)*Calculateur!DB101*Calculateur!DD101*VLOOKUP('Données projet'!$B$13,Paramètres!$A$1:$I$89,3,0)*0.475*44/12</f>
        <v>2.5762803055810903</v>
      </c>
      <c r="DH101" s="21">
        <f>EXP(-LN(2)/2)*DH100+(1-EXP(-LN(2)/2))/(LN(2)/2)*DB101*DE101*VLOOKUP('Données projet'!$B$13,Paramètres!$A$1:$I$89,3,0)*0.475*44/12</f>
        <v>1.4266923457358768E-9</v>
      </c>
      <c r="DI101" s="22">
        <f t="shared" si="69"/>
        <v>3.278354922339124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-5.6843418860808015E-14</v>
      </c>
      <c r="DP101" s="17">
        <f>DO101*VLOOKUP('Données projet'!$B$14,Paramètres!$A$1:$I$89,3,0)*VLOOKUP('Données projet'!$B$14,Paramètres!$A$1:$I$89,5,0)</f>
        <v>-6.1186256061773749E-14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442.54137223086991</v>
      </c>
      <c r="DU101" s="59">
        <f t="shared" si="98"/>
        <v>454.23406186660714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0.51903373347709869</v>
      </c>
      <c r="EB101" s="21">
        <f>EXP(-LN(2)/25)*EB100+(1-EXP(-LN(2)/25))/(LN(2)/25)*Calculateur!DW101*Calculateur!DY101*VLOOKUP('Données projet'!$B$14,Paramètres!$A$1:$I$89,3,0)*0.475*44/12</f>
        <v>1.7532362620250577</v>
      </c>
      <c r="EC101" s="21">
        <f>EXP(-LN(2)/2)*EC100+(1-EXP(-LN(2)/2))/(LN(2)/2)*DW101*DZ101*VLOOKUP('Données projet'!$B$14,Paramètres!$A$1:$I$89,3,0)*0.475*44/12</f>
        <v>1.0499630497913182E-9</v>
      </c>
      <c r="ED101" s="22">
        <f t="shared" si="72"/>
        <v>2.2722699965521196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201.49055911472067</v>
      </c>
      <c r="T102" s="59">
        <f t="shared" si="88"/>
        <v>403.37692064114719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19.005390705223178</v>
      </c>
      <c r="AA102" s="21">
        <f>EXP(-LN(2)/25)*AA101+(1-EXP(-LN(2)/25))/(LN(2)/25)*Calculateur!V102*Calculateur!X102*VLOOKUP('Données projet'!$B$9,Paramètres!$A$1:$I$89,3,0)*0.475*44/12</f>
        <v>9.9712514646790513</v>
      </c>
      <c r="AB102" s="21">
        <f>EXP(-LN(2)/2)*AB101+(1-EXP(-LN(2)/2))/(LN(2)/2)*V102*Y102*VLOOKUP('Données projet'!$B$9,Paramètres!$A$1:$I$89,3,0)*0.475*44/12</f>
        <v>2.1120269122616962E-8</v>
      </c>
      <c r="AC102" s="22">
        <f t="shared" si="57"/>
        <v>28.976642191022496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39.000000000000057</v>
      </c>
      <c r="AJ102" s="13">
        <f>AI102*VLOOKUP('Données projet'!$B$10,Paramètres!$A$1:$I$89,3,0)*VLOOKUP('Données projet'!$B$10,Paramètres!$A$1:$I$89,5,0)</f>
        <v>34.070400000000056</v>
      </c>
      <c r="AK102" s="13">
        <f t="shared" si="89"/>
        <v>10.412633617059328</v>
      </c>
      <c r="AL102" s="20">
        <f t="shared" si="58"/>
        <v>77.474616883045101</v>
      </c>
      <c r="AM102" s="59">
        <f t="shared" si="59"/>
        <v>370.8079502163784</v>
      </c>
      <c r="AN102" s="59">
        <f ca="1">AVERAGE(OFFSET($AM$3,0,0,'Données projet'!$E$10+1,1))-AVERAGE(OFFSET($H$3,0,0,'Données projet'!$E$10+1,1))</f>
        <v>260.53994021583316</v>
      </c>
      <c r="AO102" s="59">
        <f t="shared" si="90"/>
        <v>669.20238852709122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1.2198765859706952E-8</v>
      </c>
      <c r="AX102" s="21">
        <f t="shared" si="60"/>
        <v>1.2198765859706952E-8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298.10000000000025</v>
      </c>
      <c r="BE102" s="13">
        <f>BD102*VLOOKUP('Données projet'!$B$11,Paramètres!$A$1:$I$89,3,0)*VLOOKUP('Données projet'!$B$11,Paramètres!$A$1:$I$89,5,0)</f>
        <v>302.27340000000027</v>
      </c>
      <c r="BF102" s="13">
        <f t="shared" si="91"/>
        <v>71.652845832409795</v>
      </c>
      <c r="BG102" s="20">
        <f t="shared" si="61"/>
        <v>651.25487815811414</v>
      </c>
      <c r="BH102" s="59">
        <f t="shared" si="62"/>
        <v>944.58821149144751</v>
      </c>
      <c r="BI102" s="59">
        <f ca="1">AVERAGE(OFFSET($BH$3,0,0,'Données projet'!$E$11+1,1))-AVERAGE(OFFSET($H$3,0,0,'Données projet'!$E$11+1,1))</f>
        <v>279.20364724206644</v>
      </c>
      <c r="BJ102" s="59">
        <f t="shared" si="92"/>
        <v>173.99850582760712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0.51384884107044848</v>
      </c>
      <c r="BR102" s="21">
        <f>EXP(-LN(2)/2)*BR101+(1-EXP(-LN(2)/2))/(LN(2)/2)*BL102*BO102*VLOOKUP('Données projet'!$B$11,Paramètres!$A$1:$I$89,3,0)*0.475*44/12</f>
        <v>2.8549296060274823E-10</v>
      </c>
      <c r="BS102" s="22">
        <f t="shared" si="63"/>
        <v>0.51384884135594144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298.10000000000025</v>
      </c>
      <c r="BZ102" s="13">
        <f>BY102*VLOOKUP('Données projet'!$B$12,Paramètres!$A$1:$I$89,3,0)*VLOOKUP('Données projet'!$B$12,Paramètres!$A$1:$I$89,5,0)</f>
        <v>339.47628000000026</v>
      </c>
      <c r="CA102" s="13">
        <f t="shared" si="93"/>
        <v>79.391732848058112</v>
      </c>
      <c r="CB102" s="20">
        <f t="shared" si="64"/>
        <v>729.52845571036823</v>
      </c>
      <c r="CC102" s="59">
        <f t="shared" si="65"/>
        <v>1022.8617890437015</v>
      </c>
      <c r="CD102" s="59">
        <f ca="1">AVERAGE(OFFSET($CC$3,0,0,'Données projet'!$E$12+1,1))-AVERAGE(OFFSET($H$3,0,0,'Données projet'!$E$12+1,1))</f>
        <v>327.06866218660838</v>
      </c>
      <c r="CE102" s="59">
        <f t="shared" si="94"/>
        <v>202.18198935334908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0.57709177535604173</v>
      </c>
      <c r="CM102" s="21">
        <f>EXP(-LN(2)/2)*CM101+(1-EXP(-LN(2)/2))/(LN(2)/2)*CG102*CJ102*VLOOKUP('Données projet'!$B$12,Paramètres!$A$1:$I$89,3,0)*0.475*44/12</f>
        <v>3.2063055575385741E-10</v>
      </c>
      <c r="CN102" s="22">
        <f t="shared" si="66"/>
        <v>0.57709177567667225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-5.1159076974727213E-13</v>
      </c>
      <c r="CU102" s="17">
        <f>CT102*VLOOKUP('Données projet'!$B$13,Paramètres!$A$1:$I$89,3,0)*VLOOKUP('Données projet'!$B$13,Paramètres!$A$1:$I$89,5,0)</f>
        <v>-4.1500243241898714E-13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266.72672633301022</v>
      </c>
      <c r="CZ102" s="59">
        <f t="shared" si="96"/>
        <v>314.26991662544219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0.68830736034792539</v>
      </c>
      <c r="DG102" s="21">
        <f>EXP(-LN(2)/25)*DG101+(1-EXP(-LN(2)/25))/(LN(2)/25)*Calculateur!DB102*Calculateur!DD102*VLOOKUP('Données projet'!$B$13,Paramètres!$A$1:$I$89,3,0)*0.475*44/12</f>
        <v>2.5058317851442822</v>
      </c>
      <c r="DH102" s="21">
        <f>EXP(-LN(2)/2)*DH101+(1-EXP(-LN(2)/2))/(LN(2)/2)*DB102*DE102*VLOOKUP('Données projet'!$B$13,Paramètres!$A$1:$I$89,3,0)*0.475*44/12</f>
        <v>1.0088238323367808E-9</v>
      </c>
      <c r="DI102" s="22">
        <f t="shared" si="69"/>
        <v>3.1941391465010311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-5.6843418860808015E-14</v>
      </c>
      <c r="DP102" s="17">
        <f>DO102*VLOOKUP('Données projet'!$B$14,Paramètres!$A$1:$I$89,3,0)*VLOOKUP('Données projet'!$B$14,Paramètres!$A$1:$I$89,5,0)</f>
        <v>-6.1186256061773749E-14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442.54137223086991</v>
      </c>
      <c r="DU102" s="59">
        <f t="shared" si="98"/>
        <v>454.23406186660714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0.50885579854293062</v>
      </c>
      <c r="EB102" s="21">
        <f>EXP(-LN(2)/25)*EB101+(1-EXP(-LN(2)/25))/(LN(2)/25)*Calculateur!DW102*Calculateur!DY102*VLOOKUP('Données projet'!$B$14,Paramètres!$A$1:$I$89,3,0)*0.475*44/12</f>
        <v>1.7052939242412946</v>
      </c>
      <c r="EC102" s="21">
        <f>EXP(-LN(2)/2)*EC101+(1-EXP(-LN(2)/2))/(LN(2)/2)*DW102*DZ102*VLOOKUP('Données projet'!$B$14,Paramètres!$A$1:$I$89,3,0)*0.475*44/12</f>
        <v>7.4243599250274971E-10</v>
      </c>
      <c r="ED102" s="22">
        <f t="shared" si="72"/>
        <v>2.2141497235266612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201.49055911472067</v>
      </c>
      <c r="T103" s="59">
        <f t="shared" si="88"/>
        <v>403.37692064114719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18.632706585637454</v>
      </c>
      <c r="AA103" s="21">
        <f>EXP(-LN(2)/25)*AA102+(1-EXP(-LN(2)/25))/(LN(2)/25)*Calculateur!V103*Calculateur!X103*VLOOKUP('Données projet'!$B$9,Paramètres!$A$1:$I$89,3,0)*0.475*44/12</f>
        <v>9.6985870690120777</v>
      </c>
      <c r="AB103" s="21">
        <f>EXP(-LN(2)/2)*AB102+(1-EXP(-LN(2)/2))/(LN(2)/2)*V103*Y103*VLOOKUP('Données projet'!$B$9,Paramètres!$A$1:$I$89,3,0)*0.475*44/12</f>
        <v>1.4934285517087308E-8</v>
      </c>
      <c r="AC103" s="22">
        <f t="shared" si="57"/>
        <v>28.331293669583818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39.000000000000057</v>
      </c>
      <c r="AJ103" s="13">
        <f>AI103*VLOOKUP('Données projet'!$B$10,Paramètres!$A$1:$I$89,3,0)*VLOOKUP('Données projet'!$B$10,Paramètres!$A$1:$I$89,5,0)</f>
        <v>34.070400000000056</v>
      </c>
      <c r="AK103" s="13">
        <f t="shared" si="89"/>
        <v>10.412633617059328</v>
      </c>
      <c r="AL103" s="20">
        <f t="shared" si="58"/>
        <v>77.474616883045101</v>
      </c>
      <c r="AM103" s="59">
        <f t="shared" si="59"/>
        <v>370.8079502163784</v>
      </c>
      <c r="AN103" s="59">
        <f ca="1">AVERAGE(OFFSET($AM$3,0,0,'Données projet'!$E$10+1,1))-AVERAGE(OFFSET($H$3,0,0,'Données projet'!$E$10+1,1))</f>
        <v>260.53994021583316</v>
      </c>
      <c r="AO103" s="59">
        <f t="shared" si="90"/>
        <v>669.20238852709122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8.6258300615057301E-9</v>
      </c>
      <c r="AX103" s="21">
        <f t="shared" si="60"/>
        <v>8.6258300615057301E-9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303.00000000000023</v>
      </c>
      <c r="BE103" s="13">
        <f>BD103*VLOOKUP('Données projet'!$B$11,Paramètres!$A$1:$I$89,3,0)*VLOOKUP('Données projet'!$B$11,Paramètres!$A$1:$I$89,5,0)</f>
        <v>307.24200000000025</v>
      </c>
      <c r="BF103" s="13">
        <f t="shared" si="91"/>
        <v>72.692550770207845</v>
      </c>
      <c r="BG103" s="20">
        <f t="shared" si="61"/>
        <v>661.71934259144575</v>
      </c>
      <c r="BH103" s="59">
        <f t="shared" si="62"/>
        <v>955.05267592477912</v>
      </c>
      <c r="BI103" s="59">
        <f ca="1">AVERAGE(OFFSET($BH$3,0,0,'Données projet'!$E$11+1,1))-AVERAGE(OFFSET($H$3,0,0,'Données projet'!$E$11+1,1))</f>
        <v>279.20364724206644</v>
      </c>
      <c r="BJ103" s="59">
        <f t="shared" si="92"/>
        <v>173.99850582760712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0.49979761748924095</v>
      </c>
      <c r="BR103" s="21">
        <f>EXP(-LN(2)/2)*BR102+(1-EXP(-LN(2)/2))/(LN(2)/2)*BL103*BO103*VLOOKUP('Données projet'!$B$11,Paramètres!$A$1:$I$89,3,0)*0.475*44/12</f>
        <v>2.0187400842322713E-10</v>
      </c>
      <c r="BS103" s="22">
        <f t="shared" si="63"/>
        <v>0.49979761769111497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303.00000000000023</v>
      </c>
      <c r="BZ103" s="13">
        <f>BY103*VLOOKUP('Données projet'!$B$12,Paramètres!$A$1:$I$89,3,0)*VLOOKUP('Données projet'!$B$12,Paramètres!$A$1:$I$89,5,0)</f>
        <v>345.05640000000028</v>
      </c>
      <c r="CA103" s="13">
        <f t="shared" si="93"/>
        <v>80.543731428205689</v>
      </c>
      <c r="CB103" s="20">
        <f t="shared" si="64"/>
        <v>741.2535622374586</v>
      </c>
      <c r="CC103" s="59">
        <f t="shared" si="65"/>
        <v>1034.586895570792</v>
      </c>
      <c r="CD103" s="59">
        <f ca="1">AVERAGE(OFFSET($CC$3,0,0,'Données projet'!$E$12+1,1))-AVERAGE(OFFSET($H$3,0,0,'Données projet'!$E$12+1,1))</f>
        <v>327.06866218660838</v>
      </c>
      <c r="CE103" s="59">
        <f t="shared" si="94"/>
        <v>202.18198935334908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0.56131117041099321</v>
      </c>
      <c r="CM103" s="21">
        <f>EXP(-LN(2)/2)*CM102+(1-EXP(-LN(2)/2))/(LN(2)/2)*CG103*CJ103*VLOOKUP('Données projet'!$B$12,Paramètres!$A$1:$I$89,3,0)*0.475*44/12</f>
        <v>2.2672004022916399E-10</v>
      </c>
      <c r="CN103" s="22">
        <f t="shared" si="66"/>
        <v>0.5613111706377133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-5.1159076974727213E-13</v>
      </c>
      <c r="CU103" s="17">
        <f>CT103*VLOOKUP('Données projet'!$B$13,Paramètres!$A$1:$I$89,3,0)*VLOOKUP('Données projet'!$B$13,Paramètres!$A$1:$I$89,5,0)</f>
        <v>-4.1500243241898714E-13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266.72672633301022</v>
      </c>
      <c r="CZ103" s="59">
        <f t="shared" si="96"/>
        <v>314.26991662544219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0.67481007283753802</v>
      </c>
      <c r="DG103" s="21">
        <f>EXP(-LN(2)/25)*DG102+(1-EXP(-LN(2)/25))/(LN(2)/25)*Calculateur!DB103*Calculateur!DD103*VLOOKUP('Données projet'!$B$13,Paramètres!$A$1:$I$89,3,0)*0.475*44/12</f>
        <v>2.4373096832035452</v>
      </c>
      <c r="DH103" s="21">
        <f>EXP(-LN(2)/2)*DH102+(1-EXP(-LN(2)/2))/(LN(2)/2)*DB103*DE103*VLOOKUP('Données projet'!$B$13,Paramètres!$A$1:$I$89,3,0)*0.475*44/12</f>
        <v>7.133461728679384E-10</v>
      </c>
      <c r="DI103" s="22">
        <f t="shared" si="69"/>
        <v>3.1121197567544296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-5.6843418860808015E-14</v>
      </c>
      <c r="DP103" s="17">
        <f>DO103*VLOOKUP('Données projet'!$B$14,Paramètres!$A$1:$I$89,3,0)*VLOOKUP('Données projet'!$B$14,Paramètres!$A$1:$I$89,5,0)</f>
        <v>-6.1186256061773749E-14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442.54137223086991</v>
      </c>
      <c r="DU103" s="59">
        <f t="shared" si="98"/>
        <v>454.23406186660714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0.4988774467048942</v>
      </c>
      <c r="EB103" s="21">
        <f>EXP(-LN(2)/25)*EB102+(1-EXP(-LN(2)/25))/(LN(2)/25)*Calculateur!DW103*Calculateur!DY103*VLOOKUP('Données projet'!$B$14,Paramètres!$A$1:$I$89,3,0)*0.475*44/12</f>
        <v>1.6586625722054065</v>
      </c>
      <c r="EC103" s="21">
        <f>EXP(-LN(2)/2)*EC102+(1-EXP(-LN(2)/2))/(LN(2)/2)*DW103*DZ103*VLOOKUP('Données projet'!$B$14,Paramètres!$A$1:$I$89,3,0)*0.475*44/12</f>
        <v>5.2498152489565908E-10</v>
      </c>
      <c r="ED103" s="22">
        <f t="shared" si="72"/>
        <v>2.1575400194352823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201.49055911472067</v>
      </c>
      <c r="T104" s="59">
        <f t="shared" si="88"/>
        <v>403.37692064114719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18.267330574321939</v>
      </c>
      <c r="AA104" s="21">
        <f>EXP(-LN(2)/25)*AA103+(1-EXP(-LN(2)/25))/(LN(2)/25)*Calculateur!V104*Calculateur!X104*VLOOKUP('Données projet'!$B$9,Paramètres!$A$1:$I$89,3,0)*0.475*44/12</f>
        <v>9.4333786955834142</v>
      </c>
      <c r="AB104" s="21">
        <f>EXP(-LN(2)/2)*AB103+(1-EXP(-LN(2)/2))/(LN(2)/2)*V104*Y104*VLOOKUP('Données projet'!$B$9,Paramètres!$A$1:$I$89,3,0)*0.475*44/12</f>
        <v>1.0560134561308481E-8</v>
      </c>
      <c r="AC104" s="22">
        <f t="shared" si="57"/>
        <v>27.700709280465489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39.000000000000057</v>
      </c>
      <c r="AJ104" s="13">
        <f>AI104*VLOOKUP('Données projet'!$B$10,Paramètres!$A$1:$I$89,3,0)*VLOOKUP('Données projet'!$B$10,Paramètres!$A$1:$I$89,5,0)</f>
        <v>34.070400000000056</v>
      </c>
      <c r="AK104" s="13">
        <f t="shared" si="89"/>
        <v>10.412633617059328</v>
      </c>
      <c r="AL104" s="20">
        <f t="shared" si="58"/>
        <v>77.474616883045101</v>
      </c>
      <c r="AM104" s="59">
        <f t="shared" si="59"/>
        <v>370.8079502163784</v>
      </c>
      <c r="AN104" s="59">
        <f ca="1">AVERAGE(OFFSET($AM$3,0,0,'Données projet'!$E$10+1,1))-AVERAGE(OFFSET($H$3,0,0,'Données projet'!$E$10+1,1))</f>
        <v>260.53994021583316</v>
      </c>
      <c r="AO104" s="59">
        <f t="shared" si="90"/>
        <v>669.20238852709122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6.0993829298534762E-9</v>
      </c>
      <c r="AX104" s="21">
        <f t="shared" si="60"/>
        <v>6.0993829298534762E-9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265.4000000000002</v>
      </c>
      <c r="BE104" s="13">
        <f>BD104*VLOOKUP('Données projet'!$B$11,Paramètres!$A$1:$I$89,3,0)*VLOOKUP('Données projet'!$B$11,Paramètres!$A$1:$I$89,5,0)</f>
        <v>269.1156000000002</v>
      </c>
      <c r="BF104" s="13">
        <f t="shared" si="91"/>
        <v>64.66154146228719</v>
      </c>
      <c r="BG104" s="20">
        <f t="shared" si="61"/>
        <v>581.32852138015051</v>
      </c>
      <c r="BH104" s="59">
        <f t="shared" si="62"/>
        <v>874.66185471348376</v>
      </c>
      <c r="BI104" s="59">
        <f ca="1">AVERAGE(OFFSET($BH$3,0,0,'Données projet'!$E$11+1,1))-AVERAGE(OFFSET($H$3,0,0,'Données projet'!$E$11+1,1))</f>
        <v>279.20364724206644</v>
      </c>
      <c r="BJ104" s="59">
        <f t="shared" si="92"/>
        <v>173.99850582760712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0.48613062535578327</v>
      </c>
      <c r="BR104" s="21">
        <f>EXP(-LN(2)/2)*BR103+(1-EXP(-LN(2)/2))/(LN(2)/2)*BL104*BO104*VLOOKUP('Données projet'!$B$11,Paramètres!$A$1:$I$89,3,0)*0.475*44/12</f>
        <v>1.4274648030137411E-10</v>
      </c>
      <c r="BS104" s="22">
        <f t="shared" si="63"/>
        <v>0.48613062549852976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265.4000000000002</v>
      </c>
      <c r="BZ104" s="13">
        <f>BY104*VLOOKUP('Données projet'!$B$12,Paramètres!$A$1:$I$89,3,0)*VLOOKUP('Données projet'!$B$12,Paramètres!$A$1:$I$89,5,0)</f>
        <v>302.23752000000025</v>
      </c>
      <c r="CA104" s="13">
        <f t="shared" si="93"/>
        <v>71.645330561253544</v>
      </c>
      <c r="CB104" s="20">
        <f t="shared" si="64"/>
        <v>651.17929806085033</v>
      </c>
      <c r="CC104" s="59">
        <f t="shared" si="65"/>
        <v>944.5126313941837</v>
      </c>
      <c r="CD104" s="59">
        <f ca="1">AVERAGE(OFFSET($CC$3,0,0,'Données projet'!$E$12+1,1))-AVERAGE(OFFSET($H$3,0,0,'Données projet'!$E$12+1,1))</f>
        <v>327.06866218660838</v>
      </c>
      <c r="CE104" s="59">
        <f t="shared" si="94"/>
        <v>202.18198935334908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0.54596208693803305</v>
      </c>
      <c r="CM104" s="21">
        <f>EXP(-LN(2)/2)*CM103+(1-EXP(-LN(2)/2))/(LN(2)/2)*CG104*CJ104*VLOOKUP('Données projet'!$B$12,Paramètres!$A$1:$I$89,3,0)*0.475*44/12</f>
        <v>1.6031527787692873E-10</v>
      </c>
      <c r="CN104" s="22">
        <f t="shared" si="66"/>
        <v>0.54596208709834837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-5.1159076974727213E-13</v>
      </c>
      <c r="CU104" s="17">
        <f>CT104*VLOOKUP('Données projet'!$B$13,Paramètres!$A$1:$I$89,3,0)*VLOOKUP('Données projet'!$B$13,Paramètres!$A$1:$I$89,5,0)</f>
        <v>-4.1500243241898714E-13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266.72672633301022</v>
      </c>
      <c r="CZ104" s="59">
        <f t="shared" si="96"/>
        <v>314.26991662544219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0.66157745890269681</v>
      </c>
      <c r="DG104" s="21">
        <f>EXP(-LN(2)/25)*DG103+(1-EXP(-LN(2)/25))/(LN(2)/25)*Calculateur!DB104*Calculateur!DD104*VLOOKUP('Données projet'!$B$13,Paramètres!$A$1:$I$89,3,0)*0.475*44/12</f>
        <v>2.3706613217437984</v>
      </c>
      <c r="DH104" s="21">
        <f>EXP(-LN(2)/2)*DH103+(1-EXP(-LN(2)/2))/(LN(2)/2)*DB104*DE104*VLOOKUP('Données projet'!$B$13,Paramètres!$A$1:$I$89,3,0)*0.475*44/12</f>
        <v>5.0441191616839041E-10</v>
      </c>
      <c r="DI104" s="22">
        <f t="shared" si="69"/>
        <v>3.0322387811509075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-5.6843418860808015E-14</v>
      </c>
      <c r="DP104" s="17">
        <f>DO104*VLOOKUP('Données projet'!$B$14,Paramètres!$A$1:$I$89,3,0)*VLOOKUP('Données projet'!$B$14,Paramètres!$A$1:$I$89,5,0)</f>
        <v>-6.1186256061773749E-14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442.54137223086991</v>
      </c>
      <c r="DU104" s="59">
        <f t="shared" si="98"/>
        <v>454.23406186660714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0.48909476426020804</v>
      </c>
      <c r="EB104" s="21">
        <f>EXP(-LN(2)/25)*EB103+(1-EXP(-LN(2)/25))/(LN(2)/25)*Calculateur!DW104*Calculateur!DY104*VLOOKUP('Données projet'!$B$14,Paramètres!$A$1:$I$89,3,0)*0.475*44/12</f>
        <v>1.6133063569431758</v>
      </c>
      <c r="EC104" s="21">
        <f>EXP(-LN(2)/2)*EC103+(1-EXP(-LN(2)/2))/(LN(2)/2)*DW104*DZ104*VLOOKUP('Données projet'!$B$14,Paramètres!$A$1:$I$89,3,0)*0.475*44/12</f>
        <v>3.7121799625137486E-10</v>
      </c>
      <c r="ED104" s="22">
        <f t="shared" si="72"/>
        <v>2.1024011215746019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201.49055911472067</v>
      </c>
      <c r="T105" s="59">
        <f t="shared" si="88"/>
        <v>403.37692064114719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17.909119363730959</v>
      </c>
      <c r="AA105" s="21">
        <f>EXP(-LN(2)/25)*AA104+(1-EXP(-LN(2)/25))/(LN(2)/25)*Calculateur!V105*Calculateur!X105*VLOOKUP('Données projet'!$B$9,Paramètres!$A$1:$I$89,3,0)*0.475*44/12</f>
        <v>9.1754224590728608</v>
      </c>
      <c r="AB105" s="21">
        <f>EXP(-LN(2)/2)*AB104+(1-EXP(-LN(2)/2))/(LN(2)/2)*V105*Y105*VLOOKUP('Données projet'!$B$9,Paramètres!$A$1:$I$89,3,0)*0.475*44/12</f>
        <v>7.467142758543654E-9</v>
      </c>
      <c r="AC105" s="22">
        <f t="shared" si="57"/>
        <v>27.084541830270965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39.000000000000057</v>
      </c>
      <c r="AJ105" s="13">
        <f>AI105*VLOOKUP('Données projet'!$B$10,Paramètres!$A$1:$I$89,3,0)*VLOOKUP('Données projet'!$B$10,Paramètres!$A$1:$I$89,5,0)</f>
        <v>34.070400000000056</v>
      </c>
      <c r="AK105" s="13">
        <f t="shared" si="89"/>
        <v>10.412633617059328</v>
      </c>
      <c r="AL105" s="20">
        <f t="shared" si="58"/>
        <v>77.474616883045101</v>
      </c>
      <c r="AM105" s="59">
        <f t="shared" si="59"/>
        <v>370.8079502163784</v>
      </c>
      <c r="AN105" s="59">
        <f ca="1">AVERAGE(OFFSET($AM$3,0,0,'Données projet'!$E$10+1,1))-AVERAGE(OFFSET($H$3,0,0,'Données projet'!$E$10+1,1))</f>
        <v>260.53994021583316</v>
      </c>
      <c r="AO105" s="59">
        <f t="shared" si="90"/>
        <v>669.20238852709122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4.3129150307528651E-9</v>
      </c>
      <c r="AX105" s="21">
        <f t="shared" si="60"/>
        <v>4.3129150307528651E-9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269.80000000000018</v>
      </c>
      <c r="BE105" s="13">
        <f>BD105*VLOOKUP('Données projet'!$B$11,Paramètres!$A$1:$I$89,3,0)*VLOOKUP('Données projet'!$B$11,Paramètres!$A$1:$I$89,5,0)</f>
        <v>273.57720000000018</v>
      </c>
      <c r="BF105" s="13">
        <f t="shared" si="91"/>
        <v>65.607858889915107</v>
      </c>
      <c r="BG105" s="20">
        <f t="shared" si="61"/>
        <v>590.74731089993577</v>
      </c>
      <c r="BH105" s="59">
        <f t="shared" si="62"/>
        <v>884.08064423326914</v>
      </c>
      <c r="BI105" s="59">
        <f ca="1">AVERAGE(OFFSET($BH$3,0,0,'Données projet'!$E$11+1,1))-AVERAGE(OFFSET($H$3,0,0,'Données projet'!$E$11+1,1))</f>
        <v>279.20364724206644</v>
      </c>
      <c r="BJ105" s="59">
        <f t="shared" si="92"/>
        <v>173.99850582760712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0.47283735784093084</v>
      </c>
      <c r="BR105" s="21">
        <f>EXP(-LN(2)/2)*BR104+(1-EXP(-LN(2)/2))/(LN(2)/2)*BL105*BO105*VLOOKUP('Données projet'!$B$11,Paramètres!$A$1:$I$89,3,0)*0.475*44/12</f>
        <v>1.0093700421161356E-10</v>
      </c>
      <c r="BS105" s="22">
        <f t="shared" si="63"/>
        <v>0.47283735794186782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269.80000000000018</v>
      </c>
      <c r="BZ105" s="13">
        <f>BY105*VLOOKUP('Données projet'!$B$12,Paramètres!$A$1:$I$89,3,0)*VLOOKUP('Données projet'!$B$12,Paramètres!$A$1:$I$89,5,0)</f>
        <v>307.24824000000018</v>
      </c>
      <c r="CA105" s="13">
        <f t="shared" si="93"/>
        <v>72.693855285301751</v>
      </c>
      <c r="CB105" s="20">
        <f t="shared" si="64"/>
        <v>661.73248262190089</v>
      </c>
      <c r="CC105" s="59">
        <f t="shared" si="65"/>
        <v>955.06581595523426</v>
      </c>
      <c r="CD105" s="59">
        <f ca="1">AVERAGE(OFFSET($CC$3,0,0,'Données projet'!$E$12+1,1))-AVERAGE(OFFSET($H$3,0,0,'Données projet'!$E$12+1,1))</f>
        <v>327.06866218660838</v>
      </c>
      <c r="CE105" s="59">
        <f t="shared" si="94"/>
        <v>202.18198935334908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0.53103272495981424</v>
      </c>
      <c r="CM105" s="21">
        <f>EXP(-LN(2)/2)*CM104+(1-EXP(-LN(2)/2))/(LN(2)/2)*CG105*CJ105*VLOOKUP('Données projet'!$B$12,Paramètres!$A$1:$I$89,3,0)*0.475*44/12</f>
        <v>1.1336002011458201E-10</v>
      </c>
      <c r="CN105" s="22">
        <f t="shared" si="66"/>
        <v>0.53103272507317423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-5.1159076974727213E-13</v>
      </c>
      <c r="CU105" s="17">
        <f>CT105*VLOOKUP('Données projet'!$B$13,Paramètres!$A$1:$I$89,3,0)*VLOOKUP('Données projet'!$B$13,Paramètres!$A$1:$I$89,5,0)</f>
        <v>-4.1500243241898714E-13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266.72672633301022</v>
      </c>
      <c r="CZ105" s="59">
        <f t="shared" si="96"/>
        <v>314.26991662544219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0.64860432845602034</v>
      </c>
      <c r="DG105" s="21">
        <f>EXP(-LN(2)/25)*DG104+(1-EXP(-LN(2)/25))/(LN(2)/25)*Calculateur!DB105*Calculateur!DD105*VLOOKUP('Données projet'!$B$13,Paramètres!$A$1:$I$89,3,0)*0.475*44/12</f>
        <v>2.3058354632330533</v>
      </c>
      <c r="DH105" s="21">
        <f>EXP(-LN(2)/2)*DH104+(1-EXP(-LN(2)/2))/(LN(2)/2)*DB105*DE105*VLOOKUP('Données projet'!$B$13,Paramètres!$A$1:$I$89,3,0)*0.475*44/12</f>
        <v>3.566730864339692E-10</v>
      </c>
      <c r="DI105" s="22">
        <f t="shared" si="69"/>
        <v>2.9544397920457466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-5.6843418860808015E-14</v>
      </c>
      <c r="DP105" s="17">
        <f>DO105*VLOOKUP('Données projet'!$B$14,Paramètres!$A$1:$I$89,3,0)*VLOOKUP('Données projet'!$B$14,Paramètres!$A$1:$I$89,5,0)</f>
        <v>-6.1186256061773749E-14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442.54137223086991</v>
      </c>
      <c r="DU105" s="59">
        <f t="shared" si="98"/>
        <v>454.23406186660714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0.47950391425141509</v>
      </c>
      <c r="EB105" s="21">
        <f>EXP(-LN(2)/25)*EB104+(1-EXP(-LN(2)/25))/(LN(2)/25)*Calculateur!DW105*Calculateur!DY105*VLOOKUP('Données projet'!$B$14,Paramètres!$A$1:$I$89,3,0)*0.475*44/12</f>
        <v>1.5691904097724707</v>
      </c>
      <c r="EC105" s="21">
        <f>EXP(-LN(2)/2)*EC104+(1-EXP(-LN(2)/2))/(LN(2)/2)*DW105*DZ105*VLOOKUP('Données projet'!$B$14,Paramètres!$A$1:$I$89,3,0)*0.475*44/12</f>
        <v>2.6249076244782954E-10</v>
      </c>
      <c r="ED105" s="22">
        <f t="shared" si="72"/>
        <v>2.0486943242863767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201.49055911472067</v>
      </c>
      <c r="T106" s="59">
        <f t="shared" si="88"/>
        <v>403.37692064114719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17.557932456492402</v>
      </c>
      <c r="AA106" s="21">
        <f>EXP(-LN(2)/25)*AA105+(1-EXP(-LN(2)/25))/(LN(2)/25)*Calculateur!V106*Calculateur!X106*VLOOKUP('Données projet'!$B$9,Paramètres!$A$1:$I$89,3,0)*0.475*44/12</f>
        <v>8.9245200494150172</v>
      </c>
      <c r="AB106" s="21">
        <f>EXP(-LN(2)/2)*AB105+(1-EXP(-LN(2)/2))/(LN(2)/2)*V106*Y106*VLOOKUP('Données projet'!$B$9,Paramètres!$A$1:$I$89,3,0)*0.475*44/12</f>
        <v>5.2800672806542405E-9</v>
      </c>
      <c r="AC106" s="22">
        <f t="shared" si="57"/>
        <v>26.482452511187486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39.000000000000057</v>
      </c>
      <c r="AJ106" s="13">
        <f>AI106*VLOOKUP('Données projet'!$B$10,Paramètres!$A$1:$I$89,3,0)*VLOOKUP('Données projet'!$B$10,Paramètres!$A$1:$I$89,5,0)</f>
        <v>34.070400000000056</v>
      </c>
      <c r="AK106" s="13">
        <f t="shared" si="89"/>
        <v>10.412633617059328</v>
      </c>
      <c r="AL106" s="20">
        <f t="shared" si="58"/>
        <v>77.474616883045101</v>
      </c>
      <c r="AM106" s="59">
        <f t="shared" si="59"/>
        <v>370.8079502163784</v>
      </c>
      <c r="AN106" s="59">
        <f ca="1">AVERAGE(OFFSET($AM$3,0,0,'Données projet'!$E$10+1,1))-AVERAGE(OFFSET($H$3,0,0,'Données projet'!$E$10+1,1))</f>
        <v>260.53994021583316</v>
      </c>
      <c r="AO106" s="59">
        <f t="shared" si="90"/>
        <v>669.20238852709122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3.0496914649267381E-9</v>
      </c>
      <c r="AX106" s="21">
        <f t="shared" si="60"/>
        <v>3.0496914649267381E-9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274.20000000000016</v>
      </c>
      <c r="BE106" s="13">
        <f>BD106*VLOOKUP('Données projet'!$B$11,Paramètres!$A$1:$I$89,3,0)*VLOOKUP('Données projet'!$B$11,Paramètres!$A$1:$I$89,5,0)</f>
        <v>278.03880000000015</v>
      </c>
      <c r="BF106" s="13">
        <f t="shared" si="91"/>
        <v>66.5523815477178</v>
      </c>
      <c r="BG106" s="20">
        <f t="shared" si="61"/>
        <v>600.16297452894207</v>
      </c>
      <c r="BH106" s="59">
        <f t="shared" si="62"/>
        <v>893.49630786227544</v>
      </c>
      <c r="BI106" s="59">
        <f ca="1">AVERAGE(OFFSET($BH$3,0,0,'Données projet'!$E$11+1,1))-AVERAGE(OFFSET($H$3,0,0,'Données projet'!$E$11+1,1))</f>
        <v>279.20364724206644</v>
      </c>
      <c r="BJ106" s="59">
        <f t="shared" si="92"/>
        <v>173.99850582760712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0.4599075954253346</v>
      </c>
      <c r="BR106" s="21">
        <f>EXP(-LN(2)/2)*BR105+(1-EXP(-LN(2)/2))/(LN(2)/2)*BL106*BO106*VLOOKUP('Données projet'!$B$11,Paramètres!$A$1:$I$89,3,0)*0.475*44/12</f>
        <v>7.1373240150687057E-11</v>
      </c>
      <c r="BS106" s="22">
        <f t="shared" si="63"/>
        <v>0.45990759549670784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274.20000000000016</v>
      </c>
      <c r="BZ106" s="13">
        <f>BY106*VLOOKUP('Données projet'!$B$12,Paramètres!$A$1:$I$89,3,0)*VLOOKUP('Données projet'!$B$12,Paramètres!$A$1:$I$89,5,0)</f>
        <v>312.25896000000017</v>
      </c>
      <c r="CA106" s="13">
        <f t="shared" si="93"/>
        <v>73.740391394873711</v>
      </c>
      <c r="CB106" s="20">
        <f t="shared" si="64"/>
        <v>672.28220367940526</v>
      </c>
      <c r="CC106" s="59">
        <f t="shared" si="65"/>
        <v>965.61553701273851</v>
      </c>
      <c r="CD106" s="59">
        <f ca="1">AVERAGE(OFFSET($CC$3,0,0,'Données projet'!$E$12+1,1))-AVERAGE(OFFSET($H$3,0,0,'Données projet'!$E$12+1,1))</f>
        <v>327.06866218660838</v>
      </c>
      <c r="CE106" s="59">
        <f t="shared" si="94"/>
        <v>202.18198935334908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0.51651160716999078</v>
      </c>
      <c r="CM106" s="21">
        <f>EXP(-LN(2)/2)*CM105+(1-EXP(-LN(2)/2))/(LN(2)/2)*CG106*CJ106*VLOOKUP('Données projet'!$B$12,Paramètres!$A$1:$I$89,3,0)*0.475*44/12</f>
        <v>8.0157638938464378E-11</v>
      </c>
      <c r="CN106" s="22">
        <f t="shared" si="66"/>
        <v>0.51651160725014844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-5.1159076974727213E-13</v>
      </c>
      <c r="CU106" s="17">
        <f>CT106*VLOOKUP('Données projet'!$B$13,Paramètres!$A$1:$I$89,3,0)*VLOOKUP('Données projet'!$B$13,Paramètres!$A$1:$I$89,5,0)</f>
        <v>-4.1500243241898714E-13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266.72672633301022</v>
      </c>
      <c r="CZ106" s="59">
        <f t="shared" si="96"/>
        <v>314.26991662544219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0.63588559318457494</v>
      </c>
      <c r="DG106" s="21">
        <f>EXP(-LN(2)/25)*DG105+(1-EXP(-LN(2)/25))/(LN(2)/25)*Calculateur!DB106*Calculateur!DD106*VLOOKUP('Données projet'!$B$13,Paramètres!$A$1:$I$89,3,0)*0.475*44/12</f>
        <v>2.2427822712323287</v>
      </c>
      <c r="DH106" s="21">
        <f>EXP(-LN(2)/2)*DH105+(1-EXP(-LN(2)/2))/(LN(2)/2)*DB106*DE106*VLOOKUP('Données projet'!$B$13,Paramètres!$A$1:$I$89,3,0)*0.475*44/12</f>
        <v>2.5220595808419521E-10</v>
      </c>
      <c r="DI106" s="22">
        <f t="shared" si="69"/>
        <v>2.8786678646691093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-5.6843418860808015E-14</v>
      </c>
      <c r="DP106" s="17">
        <f>DO106*VLOOKUP('Données projet'!$B$14,Paramètres!$A$1:$I$89,3,0)*VLOOKUP('Données projet'!$B$14,Paramètres!$A$1:$I$89,5,0)</f>
        <v>-6.1186256061773749E-14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442.54137223086991</v>
      </c>
      <c r="DU106" s="59">
        <f t="shared" si="98"/>
        <v>454.23406186660714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0.47010113496145367</v>
      </c>
      <c r="EB106" s="21">
        <f>EXP(-LN(2)/25)*EB105+(1-EXP(-LN(2)/25))/(LN(2)/25)*Calculateur!DW106*Calculateur!DY106*VLOOKUP('Données projet'!$B$14,Paramètres!$A$1:$I$89,3,0)*0.475*44/12</f>
        <v>1.5262808154971053</v>
      </c>
      <c r="EC106" s="21">
        <f>EXP(-LN(2)/2)*EC105+(1-EXP(-LN(2)/2))/(LN(2)/2)*DW106*DZ106*VLOOKUP('Données projet'!$B$14,Paramètres!$A$1:$I$89,3,0)*0.475*44/12</f>
        <v>1.8560899812568743E-10</v>
      </c>
      <c r="ED106" s="22">
        <f t="shared" si="72"/>
        <v>1.996381950644168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201.49055911472067</v>
      </c>
      <c r="T107" s="59">
        <f t="shared" si="88"/>
        <v>403.37692064114719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17.21363211030193</v>
      </c>
      <c r="AA107" s="21">
        <f>EXP(-LN(2)/25)*AA106+(1-EXP(-LN(2)/25))/(LN(2)/25)*Calculateur!V107*Calculateur!X107*VLOOKUP('Données projet'!$B$9,Paramètres!$A$1:$I$89,3,0)*0.475*44/12</f>
        <v>8.6804785793436512</v>
      </c>
      <c r="AB107" s="21">
        <f>EXP(-LN(2)/2)*AB106+(1-EXP(-LN(2)/2))/(LN(2)/2)*V107*Y107*VLOOKUP('Données projet'!$B$9,Paramètres!$A$1:$I$89,3,0)*0.475*44/12</f>
        <v>3.733571379271827E-9</v>
      </c>
      <c r="AC107" s="22">
        <f t="shared" si="57"/>
        <v>25.894110693379151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39.000000000000057</v>
      </c>
      <c r="AJ107" s="13">
        <f>AI107*VLOOKUP('Données projet'!$B$10,Paramètres!$A$1:$I$89,3,0)*VLOOKUP('Données projet'!$B$10,Paramètres!$A$1:$I$89,5,0)</f>
        <v>34.070400000000056</v>
      </c>
      <c r="AK107" s="13">
        <f t="shared" si="89"/>
        <v>10.412633617059328</v>
      </c>
      <c r="AL107" s="20">
        <f t="shared" si="58"/>
        <v>77.474616883045101</v>
      </c>
      <c r="AM107" s="59">
        <f t="shared" si="59"/>
        <v>370.8079502163784</v>
      </c>
      <c r="AN107" s="59">
        <f ca="1">AVERAGE(OFFSET($AM$3,0,0,'Données projet'!$E$10+1,1))-AVERAGE(OFFSET($H$3,0,0,'Données projet'!$E$10+1,1))</f>
        <v>260.53994021583316</v>
      </c>
      <c r="AO107" s="59">
        <f t="shared" si="90"/>
        <v>669.20238852709122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2.1564575153764325E-9</v>
      </c>
      <c r="AX107" s="21">
        <f t="shared" si="60"/>
        <v>2.1564575153764325E-9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278.60000000000014</v>
      </c>
      <c r="BE107" s="13">
        <f>BD107*VLOOKUP('Données projet'!$B$11,Paramètres!$A$1:$I$89,3,0)*VLOOKUP('Données projet'!$B$11,Paramètres!$A$1:$I$89,5,0)</f>
        <v>282.50040000000013</v>
      </c>
      <c r="BF107" s="13">
        <f t="shared" si="91"/>
        <v>67.495141560894439</v>
      </c>
      <c r="BG107" s="20">
        <f t="shared" si="61"/>
        <v>609.57556821855803</v>
      </c>
      <c r="BH107" s="59">
        <f t="shared" si="62"/>
        <v>902.9089015518914</v>
      </c>
      <c r="BI107" s="59">
        <f ca="1">AVERAGE(OFFSET($BH$3,0,0,'Données projet'!$E$11+1,1))-AVERAGE(OFFSET($H$3,0,0,'Données projet'!$E$11+1,1))</f>
        <v>279.20364724206644</v>
      </c>
      <c r="BJ107" s="59">
        <f t="shared" si="92"/>
        <v>173.99850582760712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0.44733139804293953</v>
      </c>
      <c r="BR107" s="21">
        <f>EXP(-LN(2)/2)*BR106+(1-EXP(-LN(2)/2))/(LN(2)/2)*BL107*BO107*VLOOKUP('Données projet'!$B$11,Paramètres!$A$1:$I$89,3,0)*0.475*44/12</f>
        <v>5.0468502105806781E-11</v>
      </c>
      <c r="BS107" s="22">
        <f t="shared" si="63"/>
        <v>0.44733139809340805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278.60000000000014</v>
      </c>
      <c r="BZ107" s="13">
        <f>BY107*VLOOKUP('Données projet'!$B$12,Paramètres!$A$1:$I$89,3,0)*VLOOKUP('Données projet'!$B$12,Paramètres!$A$1:$I$89,5,0)</f>
        <v>317.26968000000016</v>
      </c>
      <c r="CA107" s="13">
        <f t="shared" si="93"/>
        <v>74.7849744848603</v>
      </c>
      <c r="CB107" s="20">
        <f t="shared" si="64"/>
        <v>682.82852322779866</v>
      </c>
      <c r="CC107" s="59">
        <f t="shared" si="65"/>
        <v>976.16185656113203</v>
      </c>
      <c r="CD107" s="59">
        <f ca="1">AVERAGE(OFFSET($CC$3,0,0,'Données projet'!$E$12+1,1))-AVERAGE(OFFSET($H$3,0,0,'Données projet'!$E$12+1,1))</f>
        <v>327.06866218660838</v>
      </c>
      <c r="CE107" s="59">
        <f t="shared" si="94"/>
        <v>202.18198935334908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0.50238757010976243</v>
      </c>
      <c r="CM107" s="21">
        <f>EXP(-LN(2)/2)*CM106+(1-EXP(-LN(2)/2))/(LN(2)/2)*CG107*CJ107*VLOOKUP('Données projet'!$B$12,Paramètres!$A$1:$I$89,3,0)*0.475*44/12</f>
        <v>5.6680010057291018E-11</v>
      </c>
      <c r="CN107" s="22">
        <f t="shared" si="66"/>
        <v>0.50238757016644242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-5.1159076974727213E-13</v>
      </c>
      <c r="CU107" s="17">
        <f>CT107*VLOOKUP('Données projet'!$B$13,Paramètres!$A$1:$I$89,3,0)*VLOOKUP('Données projet'!$B$13,Paramètres!$A$1:$I$89,5,0)</f>
        <v>-4.1500243241898714E-13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266.72672633301022</v>
      </c>
      <c r="CZ107" s="59">
        <f t="shared" si="96"/>
        <v>314.26991662544219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0.62341626455414012</v>
      </c>
      <c r="DG107" s="21">
        <f>EXP(-LN(2)/25)*DG106+(1-EXP(-LN(2)/25))/(LN(2)/25)*Calculateur!DB107*Calculateur!DD107*VLOOKUP('Données projet'!$B$13,Paramètres!$A$1:$I$89,3,0)*0.475*44/12</f>
        <v>2.1814532720826869</v>
      </c>
      <c r="DH107" s="21">
        <f>EXP(-LN(2)/2)*DH106+(1-EXP(-LN(2)/2))/(LN(2)/2)*DB107*DE107*VLOOKUP('Données projet'!$B$13,Paramètres!$A$1:$I$89,3,0)*0.475*44/12</f>
        <v>1.783365432169846E-10</v>
      </c>
      <c r="DI107" s="22">
        <f t="shared" si="69"/>
        <v>2.8048695368151635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-5.6843418860808015E-14</v>
      </c>
      <c r="DP107" s="17">
        <f>DO107*VLOOKUP('Données projet'!$B$14,Paramètres!$A$1:$I$89,3,0)*VLOOKUP('Données projet'!$B$14,Paramètres!$A$1:$I$89,5,0)</f>
        <v>-6.1186256061773749E-14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442.54137223086991</v>
      </c>
      <c r="DU107" s="59">
        <f t="shared" si="98"/>
        <v>454.23406186660714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0.46088273843823935</v>
      </c>
      <c r="EB107" s="21">
        <f>EXP(-LN(2)/25)*EB106+(1-EXP(-LN(2)/25))/(LN(2)/25)*Calculateur!DW107*Calculateur!DY107*VLOOKUP('Données projet'!$B$14,Paramètres!$A$1:$I$89,3,0)*0.475*44/12</f>
        <v>1.4845445863337172</v>
      </c>
      <c r="EC107" s="21">
        <f>EXP(-LN(2)/2)*EC106+(1-EXP(-LN(2)/2))/(LN(2)/2)*DW107*DZ107*VLOOKUP('Données projet'!$B$14,Paramètres!$A$1:$I$89,3,0)*0.475*44/12</f>
        <v>1.3124538122391477E-10</v>
      </c>
      <c r="ED107" s="22">
        <f t="shared" si="72"/>
        <v>1.9454273249032019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201.49055911472067</v>
      </c>
      <c r="T108" s="59">
        <f t="shared" si="88"/>
        <v>403.37692064114719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16.876083283897778</v>
      </c>
      <c r="AA108" s="21">
        <f>EXP(-LN(2)/25)*AA107+(1-EXP(-LN(2)/25))/(LN(2)/25)*Calculateur!V108*Calculateur!X108*VLOOKUP('Données projet'!$B$9,Paramètres!$A$1:$I$89,3,0)*0.475*44/12</f>
        <v>8.4431104361049698</v>
      </c>
      <c r="AB108" s="21">
        <f>EXP(-LN(2)/2)*AB107+(1-EXP(-LN(2)/2))/(LN(2)/2)*V108*Y108*VLOOKUP('Données projet'!$B$9,Paramètres!$A$1:$I$89,3,0)*0.475*44/12</f>
        <v>2.6400336403271203E-9</v>
      </c>
      <c r="AC108" s="22">
        <f t="shared" si="57"/>
        <v>25.31919372264278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39.000000000000057</v>
      </c>
      <c r="AJ108" s="13">
        <f>AI108*VLOOKUP('Données projet'!$B$10,Paramètres!$A$1:$I$89,3,0)*VLOOKUP('Données projet'!$B$10,Paramètres!$A$1:$I$89,5,0)</f>
        <v>34.070400000000056</v>
      </c>
      <c r="AK108" s="13">
        <f t="shared" si="89"/>
        <v>10.412633617059328</v>
      </c>
      <c r="AL108" s="20">
        <f t="shared" si="58"/>
        <v>77.474616883045101</v>
      </c>
      <c r="AM108" s="59">
        <f t="shared" si="59"/>
        <v>370.8079502163784</v>
      </c>
      <c r="AN108" s="59">
        <f ca="1">AVERAGE(OFFSET($AM$3,0,0,'Données projet'!$E$10+1,1))-AVERAGE(OFFSET($H$3,0,0,'Données projet'!$E$10+1,1))</f>
        <v>260.53994021583316</v>
      </c>
      <c r="AO108" s="59">
        <f t="shared" si="90"/>
        <v>669.20238852709122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1.5248457324633691E-9</v>
      </c>
      <c r="AX108" s="21">
        <f t="shared" si="60"/>
        <v>1.5248457324633691E-9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283.00000000000011</v>
      </c>
      <c r="BE108" s="13">
        <f>BD108*VLOOKUP('Données projet'!$B$11,Paramètres!$A$1:$I$89,3,0)*VLOOKUP('Données projet'!$B$11,Paramètres!$A$1:$I$89,5,0)</f>
        <v>286.9620000000001</v>
      </c>
      <c r="BF108" s="13">
        <f t="shared" si="91"/>
        <v>68.436169981717924</v>
      </c>
      <c r="BG108" s="20">
        <f t="shared" si="61"/>
        <v>618.98514605149205</v>
      </c>
      <c r="BH108" s="59">
        <f t="shared" si="62"/>
        <v>912.31847938482542</v>
      </c>
      <c r="BI108" s="59">
        <f ca="1">AVERAGE(OFFSET($BH$3,0,0,'Données projet'!$E$11+1,1))-AVERAGE(OFFSET($H$3,0,0,'Données projet'!$E$11+1,1))</f>
        <v>279.20364724206644</v>
      </c>
      <c r="BJ108" s="59">
        <f t="shared" si="92"/>
        <v>173.99850582760712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0.43509909743931952</v>
      </c>
      <c r="BR108" s="21">
        <f>EXP(-LN(2)/2)*BR107+(1-EXP(-LN(2)/2))/(LN(2)/2)*BL108*BO108*VLOOKUP('Données projet'!$B$11,Paramètres!$A$1:$I$89,3,0)*0.475*44/12</f>
        <v>3.5686620075343528E-11</v>
      </c>
      <c r="BS108" s="22">
        <f t="shared" si="63"/>
        <v>0.43509909747500614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283.00000000000011</v>
      </c>
      <c r="BZ108" s="13">
        <f>BY108*VLOOKUP('Données projet'!$B$12,Paramètres!$A$1:$I$89,3,0)*VLOOKUP('Données projet'!$B$12,Paramètres!$A$1:$I$89,5,0)</f>
        <v>322.28040000000016</v>
      </c>
      <c r="CA108" s="13">
        <f t="shared" si="93"/>
        <v>75.827638961344434</v>
      </c>
      <c r="CB108" s="20">
        <f t="shared" si="64"/>
        <v>693.37150119100852</v>
      </c>
      <c r="CC108" s="59">
        <f t="shared" si="65"/>
        <v>986.70483452434178</v>
      </c>
      <c r="CD108" s="59">
        <f ca="1">AVERAGE(OFFSET($CC$3,0,0,'Données projet'!$E$12+1,1))-AVERAGE(OFFSET($H$3,0,0,'Données projet'!$E$12+1,1))</f>
        <v>327.06866218660838</v>
      </c>
      <c r="CE108" s="59">
        <f t="shared" si="94"/>
        <v>202.18198935334908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0.4886497555856969</v>
      </c>
      <c r="CM108" s="21">
        <f>EXP(-LN(2)/2)*CM107+(1-EXP(-LN(2)/2))/(LN(2)/2)*CG108*CJ108*VLOOKUP('Données projet'!$B$12,Paramètres!$A$1:$I$89,3,0)*0.475*44/12</f>
        <v>4.0078819469232196E-11</v>
      </c>
      <c r="CN108" s="22">
        <f t="shared" si="66"/>
        <v>0.48864975562577573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-5.1159076974727213E-13</v>
      </c>
      <c r="CU108" s="17">
        <f>CT108*VLOOKUP('Données projet'!$B$13,Paramètres!$A$1:$I$89,3,0)*VLOOKUP('Données projet'!$B$13,Paramètres!$A$1:$I$89,5,0)</f>
        <v>-4.1500243241898714E-13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266.72672633301022</v>
      </c>
      <c r="CZ108" s="59">
        <f t="shared" si="96"/>
        <v>314.26991662544219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0.61119145185260859</v>
      </c>
      <c r="DG108" s="21">
        <f>EXP(-LN(2)/25)*DG107+(1-EXP(-LN(2)/25))/(LN(2)/25)*Calculateur!DB108*Calculateur!DD108*VLOOKUP('Données projet'!$B$13,Paramètres!$A$1:$I$89,3,0)*0.475*44/12</f>
        <v>2.1218013176399442</v>
      </c>
      <c r="DH108" s="21">
        <f>EXP(-LN(2)/2)*DH107+(1-EXP(-LN(2)/2))/(LN(2)/2)*DB108*DE108*VLOOKUP('Données projet'!$B$13,Paramètres!$A$1:$I$89,3,0)*0.475*44/12</f>
        <v>1.261029790420976E-10</v>
      </c>
      <c r="DI108" s="22">
        <f t="shared" si="69"/>
        <v>2.7329927696186558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-5.6843418860808015E-14</v>
      </c>
      <c r="DP108" s="17">
        <f>DO108*VLOOKUP('Données projet'!$B$14,Paramètres!$A$1:$I$89,3,0)*VLOOKUP('Données projet'!$B$14,Paramètres!$A$1:$I$89,5,0)</f>
        <v>-6.1186256061773749E-14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442.54137223086991</v>
      </c>
      <c r="DU108" s="59">
        <f t="shared" si="98"/>
        <v>454.23406186660714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0.45184510904817854</v>
      </c>
      <c r="EB108" s="21">
        <f>EXP(-LN(2)/25)*EB107+(1-EXP(-LN(2)/25))/(LN(2)/25)*Calculateur!DW108*Calculateur!DY108*VLOOKUP('Données projet'!$B$14,Paramètres!$A$1:$I$89,3,0)*0.475*44/12</f>
        <v>1.4439496365516149</v>
      </c>
      <c r="EC108" s="21">
        <f>EXP(-LN(2)/2)*EC107+(1-EXP(-LN(2)/2))/(LN(2)/2)*DW108*DZ108*VLOOKUP('Données projet'!$B$14,Paramètres!$A$1:$I$89,3,0)*0.475*44/12</f>
        <v>9.2804499062843714E-11</v>
      </c>
      <c r="ED108" s="22">
        <f t="shared" si="72"/>
        <v>1.8957947456925979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201.49055911472067</v>
      </c>
      <c r="T109" s="59">
        <f t="shared" si="88"/>
        <v>403.37692064114719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16.545153584094958</v>
      </c>
      <c r="AA109" s="21">
        <f>EXP(-LN(2)/25)*AA108+(1-EXP(-LN(2)/25))/(LN(2)/25)*Calculateur!V109*Calculateur!X109*VLOOKUP('Données projet'!$B$9,Paramètres!$A$1:$I$89,3,0)*0.475*44/12</f>
        <v>8.2122331372257982</v>
      </c>
      <c r="AB109" s="21">
        <f>EXP(-LN(2)/2)*AB108+(1-EXP(-LN(2)/2))/(LN(2)/2)*V109*Y109*VLOOKUP('Données projet'!$B$9,Paramètres!$A$1:$I$89,3,0)*0.475*44/12</f>
        <v>1.8667856896359135E-9</v>
      </c>
      <c r="AC109" s="22">
        <f t="shared" si="57"/>
        <v>24.75738672318754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39.000000000000057</v>
      </c>
      <c r="AJ109" s="13">
        <f>AI109*VLOOKUP('Données projet'!$B$10,Paramètres!$A$1:$I$89,3,0)*VLOOKUP('Données projet'!$B$10,Paramètres!$A$1:$I$89,5,0)</f>
        <v>34.070400000000056</v>
      </c>
      <c r="AK109" s="13">
        <f t="shared" si="89"/>
        <v>10.412633617059328</v>
      </c>
      <c r="AL109" s="20">
        <f t="shared" si="58"/>
        <v>77.474616883045101</v>
      </c>
      <c r="AM109" s="59">
        <f t="shared" si="59"/>
        <v>370.8079502163784</v>
      </c>
      <c r="AN109" s="59">
        <f ca="1">AVERAGE(OFFSET($AM$3,0,0,'Données projet'!$E$10+1,1))-AVERAGE(OFFSET($H$3,0,0,'Données projet'!$E$10+1,1))</f>
        <v>260.53994021583316</v>
      </c>
      <c r="AO109" s="59">
        <f t="shared" si="90"/>
        <v>669.20238852709122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1.0782287576882163E-9</v>
      </c>
      <c r="AX109" s="21">
        <f t="shared" si="60"/>
        <v>1.0782287576882163E-9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4.4000000000000004</v>
      </c>
      <c r="BD109" s="12">
        <f>IF('Données projet'!$A$88&gt;35,BD108+BC109-BL108,IF(A109&lt;'Données projet'!$A$88,$BA$205^A109,IF(A109='Données projet'!$A$88,'Données projet'!$B$88,BD108+BC109-BL108)))</f>
        <v>287.40000000000009</v>
      </c>
      <c r="BE109" s="13">
        <f>BD109*VLOOKUP('Données projet'!$B$11,Paramètres!$A$1:$I$89,3,0)*VLOOKUP('Données projet'!$B$11,Paramètres!$A$1:$I$89,5,0)</f>
        <v>291.42360000000008</v>
      </c>
      <c r="BF109" s="13">
        <f t="shared" si="91"/>
        <v>69.375496841482232</v>
      </c>
      <c r="BG109" s="20">
        <f t="shared" si="61"/>
        <v>628.3917603322484</v>
      </c>
      <c r="BH109" s="59">
        <f t="shared" si="62"/>
        <v>921.72509366558165</v>
      </c>
      <c r="BI109" s="59">
        <f ca="1">AVERAGE(OFFSET($BH$3,0,0,'Données projet'!$E$11+1,1))-AVERAGE(OFFSET($H$3,0,0,'Données projet'!$E$11+1,1))</f>
        <v>279.20364724206644</v>
      </c>
      <c r="BJ109" s="59">
        <f t="shared" si="92"/>
        <v>173.99850582760712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0.4232012897389742</v>
      </c>
      <c r="BR109" s="21">
        <f>EXP(-LN(2)/2)*BR108+(1-EXP(-LN(2)/2))/(LN(2)/2)*BL109*BO109*VLOOKUP('Données projet'!$B$11,Paramètres!$A$1:$I$89,3,0)*0.475*44/12</f>
        <v>2.5234251052903391E-11</v>
      </c>
      <c r="BS109" s="22">
        <f t="shared" si="63"/>
        <v>0.42320128976420845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287.40000000000009</v>
      </c>
      <c r="BZ109" s="13">
        <f>BY109*VLOOKUP('Données projet'!$B$12,Paramètres!$A$1:$I$89,3,0)*VLOOKUP('Données projet'!$B$12,Paramètres!$A$1:$I$89,5,0)</f>
        <v>327.29112000000009</v>
      </c>
      <c r="CA109" s="13">
        <f t="shared" si="93"/>
        <v>76.868418099158973</v>
      </c>
      <c r="CB109" s="20">
        <f t="shared" si="64"/>
        <v>703.91119552270209</v>
      </c>
      <c r="CC109" s="59">
        <f t="shared" si="65"/>
        <v>997.24452885603546</v>
      </c>
      <c r="CD109" s="59">
        <f ca="1">AVERAGE(OFFSET($CC$3,0,0,'Données projet'!$E$12+1,1))-AVERAGE(OFFSET($H$3,0,0,'Données projet'!$E$12+1,1))</f>
        <v>327.06866218660838</v>
      </c>
      <c r="CE109" s="59">
        <f t="shared" si="94"/>
        <v>202.18198935334908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0.47528760232223222</v>
      </c>
      <c r="CM109" s="21">
        <f>EXP(-LN(2)/2)*CM108+(1-EXP(-LN(2)/2))/(LN(2)/2)*CG109*CJ109*VLOOKUP('Données projet'!$B$12,Paramètres!$A$1:$I$89,3,0)*0.475*44/12</f>
        <v>2.8340005028645512E-11</v>
      </c>
      <c r="CN109" s="22">
        <f t="shared" si="66"/>
        <v>0.47528760235057221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-5.1159076974727213E-13</v>
      </c>
      <c r="CU109" s="17">
        <f>CT109*VLOOKUP('Données projet'!$B$13,Paramètres!$A$1:$I$89,3,0)*VLOOKUP('Données projet'!$B$13,Paramètres!$A$1:$I$89,5,0)</f>
        <v>-4.1500243241898714E-13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266.72672633301022</v>
      </c>
      <c r="CZ109" s="59">
        <f t="shared" si="96"/>
        <v>314.26991662544219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0.59920636027175467</v>
      </c>
      <c r="DG109" s="21">
        <f>EXP(-LN(2)/25)*DG108+(1-EXP(-LN(2)/25))/(LN(2)/25)*Calculateur!DB109*Calculateur!DD109*VLOOKUP('Données projet'!$B$13,Paramètres!$A$1:$I$89,3,0)*0.475*44/12</f>
        <v>2.0637805490283982</v>
      </c>
      <c r="DH109" s="21">
        <f>EXP(-LN(2)/2)*DH108+(1-EXP(-LN(2)/2))/(LN(2)/2)*DB109*DE109*VLOOKUP('Données projet'!$B$13,Paramètres!$A$1:$I$89,3,0)*0.475*44/12</f>
        <v>8.91682716084923E-11</v>
      </c>
      <c r="DI109" s="22">
        <f t="shared" si="69"/>
        <v>2.6629869093893213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-5.6843418860808015E-14</v>
      </c>
      <c r="DP109" s="17">
        <f>DO109*VLOOKUP('Données projet'!$B$14,Paramètres!$A$1:$I$89,3,0)*VLOOKUP('Données projet'!$B$14,Paramètres!$A$1:$I$89,5,0)</f>
        <v>-6.1186256061773749E-14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442.54137223086991</v>
      </c>
      <c r="DU109" s="59">
        <f t="shared" si="98"/>
        <v>454.23406186660714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0.44298470205804719</v>
      </c>
      <c r="EB109" s="21">
        <f>EXP(-LN(2)/25)*EB108+(1-EXP(-LN(2)/25))/(LN(2)/25)*Calculateur!DW109*Calculateur!DY109*VLOOKUP('Données projet'!$B$14,Paramètres!$A$1:$I$89,3,0)*0.475*44/12</f>
        <v>1.4044647578060998</v>
      </c>
      <c r="EC109" s="21">
        <f>EXP(-LN(2)/2)*EC108+(1-EXP(-LN(2)/2))/(LN(2)/2)*DW109*DZ109*VLOOKUP('Données projet'!$B$14,Paramètres!$A$1:$I$89,3,0)*0.475*44/12</f>
        <v>6.5622690611957385E-11</v>
      </c>
      <c r="ED109" s="22">
        <f t="shared" si="72"/>
        <v>1.8474494599297695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201.49055911472067</v>
      </c>
      <c r="T110" s="59">
        <f t="shared" si="88"/>
        <v>403.37692064114719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16.220713213858083</v>
      </c>
      <c r="AA110" s="21">
        <f>EXP(-LN(2)/25)*AA109+(1-EXP(-LN(2)/25))/(LN(2)/25)*Calculateur!V110*Calculateur!X110*VLOOKUP('Données projet'!$B$9,Paramètres!$A$1:$I$89,3,0)*0.475*44/12</f>
        <v>7.9876691902257875</v>
      </c>
      <c r="AB110" s="21">
        <f>EXP(-LN(2)/2)*AB109+(1-EXP(-LN(2)/2))/(LN(2)/2)*V110*Y110*VLOOKUP('Données projet'!$B$9,Paramètres!$A$1:$I$89,3,0)*0.475*44/12</f>
        <v>1.3200168201635601E-9</v>
      </c>
      <c r="AC110" s="22">
        <f t="shared" si="57"/>
        <v>24.208382405403889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39.000000000000057</v>
      </c>
      <c r="AJ110" s="13">
        <f>AI110*VLOOKUP('Données projet'!$B$10,Paramètres!$A$1:$I$89,3,0)*VLOOKUP('Données projet'!$B$10,Paramètres!$A$1:$I$89,5,0)</f>
        <v>34.070400000000056</v>
      </c>
      <c r="AK110" s="13">
        <f t="shared" si="89"/>
        <v>10.412633617059328</v>
      </c>
      <c r="AL110" s="20">
        <f t="shared" si="58"/>
        <v>77.474616883045101</v>
      </c>
      <c r="AM110" s="59">
        <f t="shared" si="59"/>
        <v>370.8079502163784</v>
      </c>
      <c r="AN110" s="59">
        <f ca="1">AVERAGE(OFFSET($AM$3,0,0,'Données projet'!$E$10+1,1))-AVERAGE(OFFSET($H$3,0,0,'Données projet'!$E$10+1,1))</f>
        <v>260.53994021583316</v>
      </c>
      <c r="AO110" s="59">
        <f t="shared" si="90"/>
        <v>669.20238852709122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7.6242286623168453E-10</v>
      </c>
      <c r="AX110" s="21">
        <f t="shared" si="60"/>
        <v>7.6242286623168453E-10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4.4000000000000004</v>
      </c>
      <c r="BD110" s="12">
        <f>IF('Données projet'!$A$88&gt;35,BD109+BC110-BL109,IF(A110&lt;'Données projet'!$A$88,$BA$205^A110,IF(A110='Données projet'!$A$88,'Données projet'!$B$88,BD109+BC110-BL109)))</f>
        <v>291.80000000000007</v>
      </c>
      <c r="BE110" s="13">
        <f>BD110*VLOOKUP('Données projet'!$B$11,Paramètres!$A$1:$I$89,3,0)*VLOOKUP('Données projet'!$B$11,Paramètres!$A$1:$I$89,5,0)</f>
        <v>295.88520000000005</v>
      </c>
      <c r="BF110" s="13">
        <f t="shared" si="91"/>
        <v>70.313151199178748</v>
      </c>
      <c r="BG110" s="20">
        <f t="shared" si="61"/>
        <v>637.79546167190301</v>
      </c>
      <c r="BH110" s="59">
        <f t="shared" si="62"/>
        <v>931.12879500523627</v>
      </c>
      <c r="BI110" s="59">
        <f ca="1">AVERAGE(OFFSET($BH$3,0,0,'Données projet'!$E$11+1,1))-AVERAGE(OFFSET($H$3,0,0,'Données projet'!$E$11+1,1))</f>
        <v>279.20364724206644</v>
      </c>
      <c r="BJ110" s="59">
        <f t="shared" si="92"/>
        <v>173.99850582760712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0.41162882821587338</v>
      </c>
      <c r="BR110" s="21">
        <f>EXP(-LN(2)/2)*BR109+(1-EXP(-LN(2)/2))/(LN(2)/2)*BL110*BO110*VLOOKUP('Données projet'!$B$11,Paramètres!$A$1:$I$89,3,0)*0.475*44/12</f>
        <v>1.7843310037671764E-11</v>
      </c>
      <c r="BS110" s="22">
        <f t="shared" si="63"/>
        <v>0.41162882823371666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291.80000000000007</v>
      </c>
      <c r="BZ110" s="13">
        <f>BY110*VLOOKUP('Données projet'!$B$12,Paramètres!$A$1:$I$89,3,0)*VLOOKUP('Données projet'!$B$12,Paramètres!$A$1:$I$89,5,0)</f>
        <v>332.30184000000008</v>
      </c>
      <c r="CA110" s="13">
        <f t="shared" si="93"/>
        <v>77.907344095820406</v>
      </c>
      <c r="CB110" s="20">
        <f t="shared" si="64"/>
        <v>714.4476623002206</v>
      </c>
      <c r="CC110" s="59">
        <f t="shared" si="65"/>
        <v>1007.7809956335539</v>
      </c>
      <c r="CD110" s="59">
        <f ca="1">AVERAGE(OFFSET($CC$3,0,0,'Données projet'!$E$12+1,1))-AVERAGE(OFFSET($H$3,0,0,'Données projet'!$E$12+1,1))</f>
        <v>327.06866218660838</v>
      </c>
      <c r="CE110" s="59">
        <f t="shared" si="94"/>
        <v>202.18198935334908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0.46229083784244207</v>
      </c>
      <c r="CM110" s="21">
        <f>EXP(-LN(2)/2)*CM109+(1-EXP(-LN(2)/2))/(LN(2)/2)*CG110*CJ110*VLOOKUP('Données projet'!$B$12,Paramètres!$A$1:$I$89,3,0)*0.475*44/12</f>
        <v>2.0039409734616101E-11</v>
      </c>
      <c r="CN110" s="22">
        <f t="shared" si="66"/>
        <v>0.46229083786248149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-5.1159076974727213E-13</v>
      </c>
      <c r="CU110" s="17">
        <f>CT110*VLOOKUP('Données projet'!$B$13,Paramètres!$A$1:$I$89,3,0)*VLOOKUP('Données projet'!$B$13,Paramètres!$A$1:$I$89,5,0)</f>
        <v>-4.1500243241898714E-13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266.72672633301022</v>
      </c>
      <c r="CZ110" s="59">
        <f t="shared" si="96"/>
        <v>314.26991662544219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0.58745628902661717</v>
      </c>
      <c r="DG110" s="21">
        <f>EXP(-LN(2)/25)*DG109+(1-EXP(-LN(2)/25))/(LN(2)/25)*Calculateur!DB110*Calculateur!DD110*VLOOKUP('Données projet'!$B$13,Paramètres!$A$1:$I$89,3,0)*0.475*44/12</f>
        <v>2.0073463613857143</v>
      </c>
      <c r="DH110" s="21">
        <f>EXP(-LN(2)/2)*DH109+(1-EXP(-LN(2)/2))/(LN(2)/2)*DB110*DE110*VLOOKUP('Données projet'!$B$13,Paramètres!$A$1:$I$89,3,0)*0.475*44/12</f>
        <v>6.3051489521048801E-11</v>
      </c>
      <c r="DI110" s="22">
        <f t="shared" si="69"/>
        <v>2.5948026504753829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-5.6843418860808015E-14</v>
      </c>
      <c r="DP110" s="17">
        <f>DO110*VLOOKUP('Données projet'!$B$14,Paramètres!$A$1:$I$89,3,0)*VLOOKUP('Données projet'!$B$14,Paramètres!$A$1:$I$89,5,0)</f>
        <v>-6.1186256061773749E-14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442.54137223086991</v>
      </c>
      <c r="DU110" s="59">
        <f t="shared" si="98"/>
        <v>454.23406186660714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0.43429804224467772</v>
      </c>
      <c r="EB110" s="21">
        <f>EXP(-LN(2)/25)*EB109+(1-EXP(-LN(2)/25))/(LN(2)/25)*Calculateur!DW110*Calculateur!DY110*VLOOKUP('Données projet'!$B$14,Paramètres!$A$1:$I$89,3,0)*0.475*44/12</f>
        <v>1.3660595951463004</v>
      </c>
      <c r="EC110" s="21">
        <f>EXP(-LN(2)/2)*EC109+(1-EXP(-LN(2)/2))/(LN(2)/2)*DW110*DZ110*VLOOKUP('Données projet'!$B$14,Paramètres!$A$1:$I$89,3,0)*0.475*44/12</f>
        <v>4.6402249531421857E-11</v>
      </c>
      <c r="ED110" s="22">
        <f t="shared" si="72"/>
        <v>1.8003576374373804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201.49055911472067</v>
      </c>
      <c r="T111" s="59">
        <f t="shared" si="88"/>
        <v>403.37692064114719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15.902634921392469</v>
      </c>
      <c r="AA111" s="21">
        <f>EXP(-LN(2)/25)*AA110+(1-EXP(-LN(2)/25))/(LN(2)/25)*Calculateur!V111*Calculateur!X111*VLOOKUP('Données projet'!$B$9,Paramètres!$A$1:$I$89,3,0)*0.475*44/12</f>
        <v>7.7692459561657969</v>
      </c>
      <c r="AB111" s="21">
        <f>EXP(-LN(2)/2)*AB110+(1-EXP(-LN(2)/2))/(LN(2)/2)*V111*Y111*VLOOKUP('Données projet'!$B$9,Paramètres!$A$1:$I$89,3,0)*0.475*44/12</f>
        <v>9.3339284481795676E-10</v>
      </c>
      <c r="AC111" s="22">
        <f t="shared" si="57"/>
        <v>23.67188087849166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39.000000000000057</v>
      </c>
      <c r="AJ111" s="13">
        <f>AI111*VLOOKUP('Données projet'!$B$10,Paramètres!$A$1:$I$89,3,0)*VLOOKUP('Données projet'!$B$10,Paramètres!$A$1:$I$89,5,0)</f>
        <v>34.070400000000056</v>
      </c>
      <c r="AK111" s="13">
        <f t="shared" si="89"/>
        <v>10.412633617059328</v>
      </c>
      <c r="AL111" s="20">
        <f t="shared" si="58"/>
        <v>77.474616883045101</v>
      </c>
      <c r="AM111" s="59">
        <f t="shared" si="59"/>
        <v>370.8079502163784</v>
      </c>
      <c r="AN111" s="59">
        <f ca="1">AVERAGE(OFFSET($AM$3,0,0,'Données projet'!$E$10+1,1))-AVERAGE(OFFSET($H$3,0,0,'Données projet'!$E$10+1,1))</f>
        <v>260.53994021583316</v>
      </c>
      <c r="AO111" s="59">
        <f t="shared" si="90"/>
        <v>669.20238852709122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5.3911437884410813E-10</v>
      </c>
      <c r="AX111" s="21">
        <f t="shared" si="60"/>
        <v>5.3911437884410813E-10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4.4000000000000004</v>
      </c>
      <c r="BD111" s="12">
        <f>IF('Données projet'!$A$88&gt;35,BD110+BC111-BL110,IF(A111&lt;'Données projet'!$A$88,$BA$205^A111,IF(A111='Données projet'!$A$88,'Données projet'!$B$88,BD110+BC111-BL110)))</f>
        <v>296.20000000000005</v>
      </c>
      <c r="BE111" s="13">
        <f>BD111*VLOOKUP('Données projet'!$B$11,Paramètres!$A$1:$I$89,3,0)*VLOOKUP('Données projet'!$B$11,Paramètres!$A$1:$I$89,5,0)</f>
        <v>300.34680000000003</v>
      </c>
      <c r="BF111" s="13">
        <f t="shared" si="91"/>
        <v>71.249161187153362</v>
      </c>
      <c r="BG111" s="20">
        <f t="shared" si="61"/>
        <v>647.19629906762555</v>
      </c>
      <c r="BH111" s="59">
        <f t="shared" si="62"/>
        <v>940.52963240095892</v>
      </c>
      <c r="BI111" s="59">
        <f ca="1">AVERAGE(OFFSET($BH$3,0,0,'Données projet'!$E$11+1,1))-AVERAGE(OFFSET($H$3,0,0,'Données projet'!$E$11+1,1))</f>
        <v>279.20364724206644</v>
      </c>
      <c r="BJ111" s="59">
        <f t="shared" si="92"/>
        <v>173.99850582760712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0.40037281626169102</v>
      </c>
      <c r="BR111" s="21">
        <f>EXP(-LN(2)/2)*BR110+(1-EXP(-LN(2)/2))/(LN(2)/2)*BL111*BO111*VLOOKUP('Données projet'!$B$11,Paramètres!$A$1:$I$89,3,0)*0.475*44/12</f>
        <v>1.2617125526451695E-11</v>
      </c>
      <c r="BS111" s="22">
        <f t="shared" si="63"/>
        <v>0.40037281627430815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296.20000000000005</v>
      </c>
      <c r="BZ111" s="13">
        <f>BY111*VLOOKUP('Données projet'!$B$12,Paramètres!$A$1:$I$89,3,0)*VLOOKUP('Données projet'!$B$12,Paramètres!$A$1:$I$89,5,0)</f>
        <v>337.31256000000008</v>
      </c>
      <c r="CA111" s="13">
        <f t="shared" si="93"/>
        <v>78.944448122116839</v>
      </c>
      <c r="CB111" s="20">
        <f t="shared" si="64"/>
        <v>724.98095581268706</v>
      </c>
      <c r="CC111" s="59">
        <f t="shared" si="65"/>
        <v>1018.3142891460204</v>
      </c>
      <c r="CD111" s="59">
        <f ca="1">AVERAGE(OFFSET($CC$3,0,0,'Données projet'!$E$12+1,1))-AVERAGE(OFFSET($H$3,0,0,'Données projet'!$E$12+1,1))</f>
        <v>327.06866218660838</v>
      </c>
      <c r="CE111" s="59">
        <f t="shared" si="94"/>
        <v>202.18198935334908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0.44964947057082189</v>
      </c>
      <c r="CM111" s="21">
        <f>EXP(-LN(2)/2)*CM110+(1-EXP(-LN(2)/2))/(LN(2)/2)*CG111*CJ111*VLOOKUP('Données projet'!$B$12,Paramètres!$A$1:$I$89,3,0)*0.475*44/12</f>
        <v>1.4170002514322759E-11</v>
      </c>
      <c r="CN111" s="22">
        <f t="shared" si="66"/>
        <v>0.44964947058499188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-5.1159076974727213E-13</v>
      </c>
      <c r="CU111" s="17">
        <f>CT111*VLOOKUP('Données projet'!$B$13,Paramètres!$A$1:$I$89,3,0)*VLOOKUP('Données projet'!$B$13,Paramètres!$A$1:$I$89,5,0)</f>
        <v>-4.1500243241898714E-13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266.72672633301022</v>
      </c>
      <c r="CZ111" s="59">
        <f t="shared" si="96"/>
        <v>314.26991662544219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0.57593662951176106</v>
      </c>
      <c r="DG111" s="21">
        <f>EXP(-LN(2)/25)*DG110+(1-EXP(-LN(2)/25))/(LN(2)/25)*Calculateur!DB111*Calculateur!DD111*VLOOKUP('Données projet'!$B$13,Paramètres!$A$1:$I$89,3,0)*0.475*44/12</f>
        <v>1.9524553695718647</v>
      </c>
      <c r="DH111" s="21">
        <f>EXP(-LN(2)/2)*DH110+(1-EXP(-LN(2)/2))/(LN(2)/2)*DB111*DE111*VLOOKUP('Données projet'!$B$13,Paramètres!$A$1:$I$89,3,0)*0.475*44/12</f>
        <v>4.458413580424615E-11</v>
      </c>
      <c r="DI111" s="22">
        <f t="shared" si="69"/>
        <v>2.52839199912821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-5.6843418860808015E-14</v>
      </c>
      <c r="DP111" s="17">
        <f>DO111*VLOOKUP('Données projet'!$B$14,Paramètres!$A$1:$I$89,3,0)*VLOOKUP('Données projet'!$B$14,Paramètres!$A$1:$I$89,5,0)</f>
        <v>-6.1186256061773749E-14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442.54137223086991</v>
      </c>
      <c r="DU111" s="59">
        <f t="shared" si="98"/>
        <v>454.23406186660714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0.4257817225319091</v>
      </c>
      <c r="EB111" s="21">
        <f>EXP(-LN(2)/25)*EB110+(1-EXP(-LN(2)/25))/(LN(2)/25)*Calculateur!DW111*Calculateur!DY111*VLOOKUP('Données projet'!$B$14,Paramètres!$A$1:$I$89,3,0)*0.475*44/12</f>
        <v>1.3287046236790729</v>
      </c>
      <c r="EC111" s="21">
        <f>EXP(-LN(2)/2)*EC110+(1-EXP(-LN(2)/2))/(LN(2)/2)*DW111*DZ111*VLOOKUP('Données projet'!$B$14,Paramètres!$A$1:$I$89,3,0)*0.475*44/12</f>
        <v>3.2811345305978692E-11</v>
      </c>
      <c r="ED111" s="22">
        <f t="shared" si="72"/>
        <v>1.7544863462437934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201.49055911472067</v>
      </c>
      <c r="T112" s="59">
        <f t="shared" si="88"/>
        <v>403.37692064114719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15.590793950233504</v>
      </c>
      <c r="AA112" s="21">
        <f>EXP(-LN(2)/25)*AA111+(1-EXP(-LN(2)/25))/(LN(2)/25)*Calculateur!V112*Calculateur!X112*VLOOKUP('Données projet'!$B$9,Paramètres!$A$1:$I$89,3,0)*0.475*44/12</f>
        <v>7.5567955169275551</v>
      </c>
      <c r="AB112" s="21">
        <f>EXP(-LN(2)/2)*AB111+(1-EXP(-LN(2)/2))/(LN(2)/2)*V112*Y112*VLOOKUP('Données projet'!$B$9,Paramètres!$A$1:$I$89,3,0)*0.475*44/12</f>
        <v>6.6000841008178007E-10</v>
      </c>
      <c r="AC112" s="22">
        <f t="shared" si="57"/>
        <v>23.147589467821067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39.000000000000057</v>
      </c>
      <c r="AJ112" s="13">
        <f>AI112*VLOOKUP('Données projet'!$B$10,Paramètres!$A$1:$I$89,3,0)*VLOOKUP('Données projet'!$B$10,Paramètres!$A$1:$I$89,5,0)</f>
        <v>34.070400000000056</v>
      </c>
      <c r="AK112" s="13">
        <f t="shared" si="89"/>
        <v>10.412633617059328</v>
      </c>
      <c r="AL112" s="20">
        <f t="shared" si="58"/>
        <v>77.474616883045101</v>
      </c>
      <c r="AM112" s="59">
        <f t="shared" si="59"/>
        <v>370.8079502163784</v>
      </c>
      <c r="AN112" s="59">
        <f ca="1">AVERAGE(OFFSET($AM$3,0,0,'Données projet'!$E$10+1,1))-AVERAGE(OFFSET($H$3,0,0,'Données projet'!$E$10+1,1))</f>
        <v>260.53994021583316</v>
      </c>
      <c r="AO112" s="59">
        <f t="shared" si="90"/>
        <v>669.20238852709122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3.8121143311584226E-10</v>
      </c>
      <c r="AX112" s="21">
        <f t="shared" si="60"/>
        <v>3.8121143311584226E-10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4.4000000000000004</v>
      </c>
      <c r="BD112" s="12">
        <f>IF('Données projet'!$A$88&gt;35,BD111+BC112-BL111,IF(A112&lt;'Données projet'!$A$88,$BA$205^A112,IF(A112='Données projet'!$A$88,'Données projet'!$B$88,BD111+BC112-BL111)))</f>
        <v>300.60000000000002</v>
      </c>
      <c r="BE112" s="13">
        <f>BD112*VLOOKUP('Données projet'!$B$11,Paramètres!$A$1:$I$89,3,0)*VLOOKUP('Données projet'!$B$11,Paramètres!$A$1:$I$89,5,0)</f>
        <v>304.80840000000001</v>
      </c>
      <c r="BF112" s="13">
        <f t="shared" si="91"/>
        <v>72.183554053972784</v>
      </c>
      <c r="BG112" s="20">
        <f t="shared" si="61"/>
        <v>656.59431997733589</v>
      </c>
      <c r="BH112" s="59">
        <f t="shared" si="62"/>
        <v>949.92765331066926</v>
      </c>
      <c r="BI112" s="59">
        <f ca="1">AVERAGE(OFFSET($BH$3,0,0,'Données projet'!$E$11+1,1))-AVERAGE(OFFSET($H$3,0,0,'Données projet'!$E$11+1,1))</f>
        <v>279.20364724206644</v>
      </c>
      <c r="BJ112" s="59">
        <f t="shared" si="92"/>
        <v>173.99850582760712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0.38942460054632372</v>
      </c>
      <c r="BR112" s="21">
        <f>EXP(-LN(2)/2)*BR111+(1-EXP(-LN(2)/2))/(LN(2)/2)*BL112*BO112*VLOOKUP('Données projet'!$B$11,Paramètres!$A$1:$I$89,3,0)*0.475*44/12</f>
        <v>8.9216550188358821E-12</v>
      </c>
      <c r="BS112" s="22">
        <f t="shared" si="63"/>
        <v>0.38942460055524536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300.60000000000002</v>
      </c>
      <c r="BZ112" s="13">
        <f>BY112*VLOOKUP('Données projet'!$B$12,Paramètres!$A$1:$I$89,3,0)*VLOOKUP('Données projet'!$B$12,Paramètres!$A$1:$I$89,5,0)</f>
        <v>342.32328000000001</v>
      </c>
      <c r="CA112" s="13">
        <f t="shared" si="93"/>
        <v>79.979760369604776</v>
      </c>
      <c r="CB112" s="20">
        <f t="shared" si="64"/>
        <v>735.51112864372828</v>
      </c>
      <c r="CC112" s="59">
        <f t="shared" si="65"/>
        <v>1028.8444619770617</v>
      </c>
      <c r="CD112" s="59">
        <f ca="1">AVERAGE(OFFSET($CC$3,0,0,'Données projet'!$E$12+1,1))-AVERAGE(OFFSET($H$3,0,0,'Données projet'!$E$12+1,1))</f>
        <v>327.06866218660838</v>
      </c>
      <c r="CE112" s="59">
        <f t="shared" si="94"/>
        <v>202.18198935334908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0.43735378215202481</v>
      </c>
      <c r="CM112" s="21">
        <f>EXP(-LN(2)/2)*CM111+(1-EXP(-LN(2)/2))/(LN(2)/2)*CG112*CJ112*VLOOKUP('Données projet'!$B$12,Paramètres!$A$1:$I$89,3,0)*0.475*44/12</f>
        <v>1.0019704867308052E-11</v>
      </c>
      <c r="CN112" s="22">
        <f t="shared" si="66"/>
        <v>0.43735378216204451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-5.1159076974727213E-13</v>
      </c>
      <c r="CU112" s="17">
        <f>CT112*VLOOKUP('Données projet'!$B$13,Paramètres!$A$1:$I$89,3,0)*VLOOKUP('Données projet'!$B$13,Paramètres!$A$1:$I$89,5,0)</f>
        <v>-4.1500243241898714E-13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266.72672633301022</v>
      </c>
      <c r="CZ112" s="59">
        <f t="shared" si="96"/>
        <v>314.26991662544219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0.56464286349369275</v>
      </c>
      <c r="DG112" s="21">
        <f>EXP(-LN(2)/25)*DG111+(1-EXP(-LN(2)/25))/(LN(2)/25)*Calculateur!DB112*Calculateur!DD112*VLOOKUP('Données projet'!$B$13,Paramètres!$A$1:$I$89,3,0)*0.475*44/12</f>
        <v>1.8990653748157567</v>
      </c>
      <c r="DH112" s="21">
        <f>EXP(-LN(2)/2)*DH111+(1-EXP(-LN(2)/2))/(LN(2)/2)*DB112*DE112*VLOOKUP('Données projet'!$B$13,Paramètres!$A$1:$I$89,3,0)*0.475*44/12</f>
        <v>3.1525744760524401E-11</v>
      </c>
      <c r="DI112" s="22">
        <f t="shared" si="69"/>
        <v>2.4637082383409754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-5.6843418860808015E-14</v>
      </c>
      <c r="DP112" s="17">
        <f>DO112*VLOOKUP('Données projet'!$B$14,Paramètres!$A$1:$I$89,3,0)*VLOOKUP('Données projet'!$B$14,Paramètres!$A$1:$I$89,5,0)</f>
        <v>-6.1186256061773749E-14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442.54137223086991</v>
      </c>
      <c r="DU112" s="59">
        <f t="shared" si="98"/>
        <v>454.23406186660714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0.41743240265426573</v>
      </c>
      <c r="EB112" s="21">
        <f>EXP(-LN(2)/25)*EB111+(1-EXP(-LN(2)/25))/(LN(2)/25)*Calculateur!DW112*Calculateur!DY112*VLOOKUP('Données projet'!$B$14,Paramètres!$A$1:$I$89,3,0)*0.475*44/12</f>
        <v>1.2923711258710293</v>
      </c>
      <c r="EC112" s="21">
        <f>EXP(-LN(2)/2)*EC111+(1-EXP(-LN(2)/2))/(LN(2)/2)*DW112*DZ112*VLOOKUP('Données projet'!$B$14,Paramètres!$A$1:$I$89,3,0)*0.475*44/12</f>
        <v>2.3201124765710928E-11</v>
      </c>
      <c r="ED112" s="22">
        <f t="shared" si="72"/>
        <v>1.7098035285484963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201.49055911472067</v>
      </c>
      <c r="T113" s="59">
        <f t="shared" si="88"/>
        <v>403.37692064114719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15.285067990314754</v>
      </c>
      <c r="AA113" s="21">
        <f>EXP(-LN(2)/25)*AA112+(1-EXP(-LN(2)/25))/(LN(2)/25)*Calculateur!V113*Calculateur!X113*VLOOKUP('Données projet'!$B$9,Paramètres!$A$1:$I$89,3,0)*0.475*44/12</f>
        <v>7.3501545461225666</v>
      </c>
      <c r="AB113" s="21">
        <f>EXP(-LN(2)/2)*AB112+(1-EXP(-LN(2)/2))/(LN(2)/2)*V113*Y113*VLOOKUP('Données projet'!$B$9,Paramètres!$A$1:$I$89,3,0)*0.475*44/12</f>
        <v>4.6669642240897838E-10</v>
      </c>
      <c r="AC113" s="22">
        <f t="shared" si="57"/>
        <v>22.635222536904017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39.000000000000057</v>
      </c>
      <c r="AJ113" s="13">
        <f>AI113*VLOOKUP('Données projet'!$B$10,Paramètres!$A$1:$I$89,3,0)*VLOOKUP('Données projet'!$B$10,Paramètres!$A$1:$I$89,5,0)</f>
        <v>34.070400000000056</v>
      </c>
      <c r="AK113" s="13">
        <f t="shared" si="89"/>
        <v>10.412633617059328</v>
      </c>
      <c r="AL113" s="20">
        <f t="shared" si="58"/>
        <v>77.474616883045101</v>
      </c>
      <c r="AM113" s="59">
        <f t="shared" si="59"/>
        <v>370.8079502163784</v>
      </c>
      <c r="AN113" s="59">
        <f ca="1">AVERAGE(OFFSET($AM$3,0,0,'Données projet'!$E$10+1,1))-AVERAGE(OFFSET($H$3,0,0,'Données projet'!$E$10+1,1))</f>
        <v>260.53994021583316</v>
      </c>
      <c r="AO113" s="59">
        <f t="shared" si="90"/>
        <v>669.20238852709122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2.6955718942205407E-10</v>
      </c>
      <c r="AX113" s="21">
        <f t="shared" si="60"/>
        <v>2.6955718942205407E-10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305</v>
      </c>
      <c r="BB113" s="12">
        <f>VLOOKUP(A113,'Données projet'!$A$87:$I$107,9,0)</f>
        <v>4.4000000000000004</v>
      </c>
      <c r="BC113" s="12">
        <f t="array" ref="BC113">INDEX(BB:BB,MIN(IF(ISNUMBER(BB113:BB309),ROW(BB113:BB309),"")))</f>
        <v>4.4000000000000004</v>
      </c>
      <c r="BD113" s="12">
        <f>IF('Données projet'!$A$88&gt;35,BD112+BC113-BL112,IF(A113&lt;'Données projet'!$A$88,$BA$205^A113,IF(A113='Données projet'!$A$88,'Données projet'!$B$88,BD112+BC113-BL112)))</f>
        <v>305</v>
      </c>
      <c r="BE113" s="13">
        <f>BD113*VLOOKUP('Données projet'!$B$11,Paramètres!$A$1:$I$89,3,0)*VLOOKUP('Données projet'!$B$11,Paramètres!$A$1:$I$89,5,0)</f>
        <v>309.27000000000004</v>
      </c>
      <c r="BF113" s="13">
        <f t="shared" si="91"/>
        <v>73.116356204711096</v>
      </c>
      <c r="BG113" s="20">
        <f t="shared" si="61"/>
        <v>665.9895703898718</v>
      </c>
      <c r="BH113" s="59">
        <f t="shared" si="62"/>
        <v>959.32290372320517</v>
      </c>
      <c r="BI113" s="59">
        <f ca="1">AVERAGE(OFFSET($BH$3,0,0,'Données projet'!$E$11+1,1))-AVERAGE(OFFSET($H$3,0,0,'Données projet'!$E$11+1,1))</f>
        <v>279.20364724206644</v>
      </c>
      <c r="BJ113" s="59">
        <f t="shared" si="92"/>
        <v>173.99850582760712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0.37877576436543481</v>
      </c>
      <c r="BR113" s="21">
        <f>EXP(-LN(2)/2)*BR112+(1-EXP(-LN(2)/2))/(LN(2)/2)*BL113*BO113*VLOOKUP('Données projet'!$B$11,Paramètres!$A$1:$I$89,3,0)*0.475*44/12</f>
        <v>6.3085627632258477E-12</v>
      </c>
      <c r="BS113" s="22">
        <f t="shared" si="63"/>
        <v>0.37877576437174337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305</v>
      </c>
      <c r="BZ113" s="13">
        <f>BY113*VLOOKUP('Données projet'!$B$12,Paramètres!$A$1:$I$89,3,0)*VLOOKUP('Données projet'!$B$12,Paramètres!$A$1:$I$89,5,0)</f>
        <v>347.334</v>
      </c>
      <c r="CA113" s="13">
        <f t="shared" si="93"/>
        <v>81.01331009524614</v>
      </c>
      <c r="CB113" s="20">
        <f t="shared" si="64"/>
        <v>746.03823174922036</v>
      </c>
      <c r="CC113" s="59">
        <f t="shared" si="65"/>
        <v>1039.3715650825536</v>
      </c>
      <c r="CD113" s="59">
        <f ca="1">AVERAGE(OFFSET($CC$3,0,0,'Données projet'!$E$12+1,1))-AVERAGE(OFFSET($H$3,0,0,'Données projet'!$E$12+1,1))</f>
        <v>327.06866218660838</v>
      </c>
      <c r="CE113" s="59">
        <f t="shared" si="94"/>
        <v>202.18198935334908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0.42539431997964189</v>
      </c>
      <c r="CM113" s="21">
        <f>EXP(-LN(2)/2)*CM112+(1-EXP(-LN(2)/2))/(LN(2)/2)*CG113*CJ113*VLOOKUP('Données projet'!$B$12,Paramètres!$A$1:$I$89,3,0)*0.475*44/12</f>
        <v>7.0850012571613805E-12</v>
      </c>
      <c r="CN113" s="22">
        <f t="shared" si="66"/>
        <v>0.42539431998672689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-5.1159076974727213E-13</v>
      </c>
      <c r="CU113" s="17">
        <f>CT113*VLOOKUP('Données projet'!$B$13,Paramètres!$A$1:$I$89,3,0)*VLOOKUP('Données projet'!$B$13,Paramètres!$A$1:$I$89,5,0)</f>
        <v>-4.1500243241898714E-13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266.72672633301022</v>
      </c>
      <c r="CZ113" s="59">
        <f t="shared" si="96"/>
        <v>314.26991662544219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0.55357056133872162</v>
      </c>
      <c r="DG113" s="21">
        <f>EXP(-LN(2)/25)*DG112+(1-EXP(-LN(2)/25))/(LN(2)/25)*Calculateur!DB113*Calculateur!DD113*VLOOKUP('Données projet'!$B$13,Paramètres!$A$1:$I$89,3,0)*0.475*44/12</f>
        <v>1.8471353322739121</v>
      </c>
      <c r="DH113" s="21">
        <f>EXP(-LN(2)/2)*DH112+(1-EXP(-LN(2)/2))/(LN(2)/2)*DB113*DE113*VLOOKUP('Données projet'!$B$13,Paramètres!$A$1:$I$89,3,0)*0.475*44/12</f>
        <v>2.2292067902123075E-11</v>
      </c>
      <c r="DI113" s="22">
        <f t="shared" si="69"/>
        <v>2.4007058936349259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-5.6843418860808015E-14</v>
      </c>
      <c r="DP113" s="17">
        <f>DO113*VLOOKUP('Données projet'!$B$14,Paramètres!$A$1:$I$89,3,0)*VLOOKUP('Données projet'!$B$14,Paramètres!$A$1:$I$89,5,0)</f>
        <v>-6.1186256061773749E-14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442.54137223086991</v>
      </c>
      <c r="DU113" s="59">
        <f t="shared" si="98"/>
        <v>454.23406186660714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0.4092468078468407</v>
      </c>
      <c r="EB113" s="21">
        <f>EXP(-LN(2)/25)*EB112+(1-EXP(-LN(2)/25))/(LN(2)/25)*Calculateur!DW113*Calculateur!DY113*VLOOKUP('Données projet'!$B$14,Paramètres!$A$1:$I$89,3,0)*0.475*44/12</f>
        <v>1.2570311694712422</v>
      </c>
      <c r="EC113" s="21">
        <f>EXP(-LN(2)/2)*EC112+(1-EXP(-LN(2)/2))/(LN(2)/2)*DW113*DZ113*VLOOKUP('Données projet'!$B$14,Paramètres!$A$1:$I$89,3,0)*0.475*44/12</f>
        <v>1.6405672652989346E-11</v>
      </c>
      <c r="ED113" s="22">
        <f t="shared" si="72"/>
        <v>1.6662779773344887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201.49055911472067</v>
      </c>
      <c r="T114" s="59">
        <f t="shared" si="88"/>
        <v>403.37692064114719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14.985337129995589</v>
      </c>
      <c r="AA114" s="21">
        <f>EXP(-LN(2)/25)*AA113+(1-EXP(-LN(2)/25))/(LN(2)/25)*Calculateur!V114*Calculateur!X114*VLOOKUP('Données projet'!$B$9,Paramètres!$A$1:$I$89,3,0)*0.475*44/12</f>
        <v>7.149164183531016</v>
      </c>
      <c r="AB114" s="21">
        <f>EXP(-LN(2)/2)*AB113+(1-EXP(-LN(2)/2))/(LN(2)/2)*V114*Y114*VLOOKUP('Données projet'!$B$9,Paramètres!$A$1:$I$89,3,0)*0.475*44/12</f>
        <v>3.3000420504089003E-10</v>
      </c>
      <c r="AC114" s="22">
        <f t="shared" si="57"/>
        <v>22.13450131385661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39.000000000000057</v>
      </c>
      <c r="AJ114" s="13">
        <f>AI114*VLOOKUP('Données projet'!$B$10,Paramètres!$A$1:$I$89,3,0)*VLOOKUP('Données projet'!$B$10,Paramètres!$A$1:$I$89,5,0)</f>
        <v>34.070400000000056</v>
      </c>
      <c r="AK114" s="13">
        <f t="shared" si="89"/>
        <v>10.412633617059328</v>
      </c>
      <c r="AL114" s="20">
        <f t="shared" si="58"/>
        <v>77.474616883045101</v>
      </c>
      <c r="AM114" s="59">
        <f t="shared" si="59"/>
        <v>370.8079502163784</v>
      </c>
      <c r="AN114" s="59">
        <f ca="1">AVERAGE(OFFSET($AM$3,0,0,'Données projet'!$E$10+1,1))-AVERAGE(OFFSET($H$3,0,0,'Données projet'!$E$10+1,1))</f>
        <v>260.53994021583316</v>
      </c>
      <c r="AO114" s="59">
        <f t="shared" si="90"/>
        <v>669.20238852709122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1.9060571655792113E-10</v>
      </c>
      <c r="AX114" s="21">
        <f t="shared" si="60"/>
        <v>1.9060571655792113E-10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269.7</v>
      </c>
      <c r="BE114" s="13">
        <f>BD114*VLOOKUP('Données projet'!$B$11,Paramètres!$A$1:$I$89,3,0)*VLOOKUP('Données projet'!$B$11,Paramètres!$A$1:$I$89,5,0)</f>
        <v>273.47579999999999</v>
      </c>
      <c r="BF114" s="13">
        <f t="shared" si="91"/>
        <v>65.586371730977589</v>
      </c>
      <c r="BG114" s="20">
        <f t="shared" si="61"/>
        <v>590.53328243145256</v>
      </c>
      <c r="BH114" s="59">
        <f t="shared" si="62"/>
        <v>883.86661576478582</v>
      </c>
      <c r="BI114" s="59">
        <f ca="1">AVERAGE(OFFSET($BH$3,0,0,'Données projet'!$E$11+1,1))-AVERAGE(OFFSET($H$3,0,0,'Données projet'!$E$11+1,1))</f>
        <v>279.20364724206644</v>
      </c>
      <c r="BJ114" s="59">
        <f t="shared" si="92"/>
        <v>173.99850582760712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0.36841812116991024</v>
      </c>
      <c r="BR114" s="21">
        <f>EXP(-LN(2)/2)*BR113+(1-EXP(-LN(2)/2))/(LN(2)/2)*BL114*BO114*VLOOKUP('Données projet'!$B$11,Paramètres!$A$1:$I$89,3,0)*0.475*44/12</f>
        <v>4.4608275094179411E-12</v>
      </c>
      <c r="BS114" s="22">
        <f t="shared" si="63"/>
        <v>0.36841812117437106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269.7</v>
      </c>
      <c r="BZ114" s="13">
        <f>BY114*VLOOKUP('Données projet'!$B$12,Paramètres!$A$1:$I$89,3,0)*VLOOKUP('Données projet'!$B$12,Paramètres!$A$1:$I$89,5,0)</f>
        <v>307.13436000000002</v>
      </c>
      <c r="CA114" s="13">
        <f t="shared" si="93"/>
        <v>72.670047399345336</v>
      </c>
      <c r="CB114" s="20">
        <f t="shared" si="64"/>
        <v>661.49267622052639</v>
      </c>
      <c r="CC114" s="59">
        <f t="shared" si="65"/>
        <v>954.82600955385965</v>
      </c>
      <c r="CD114" s="59">
        <f ca="1">AVERAGE(OFFSET($CC$3,0,0,'Données projet'!$E$12+1,1))-AVERAGE(OFFSET($H$3,0,0,'Données projet'!$E$12+1,1))</f>
        <v>327.06866218660838</v>
      </c>
      <c r="CE114" s="59">
        <f t="shared" si="94"/>
        <v>202.18198935334908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0.41376188992928353</v>
      </c>
      <c r="CM114" s="21">
        <f>EXP(-LN(2)/2)*CM113+(1-EXP(-LN(2)/2))/(LN(2)/2)*CG114*CJ114*VLOOKUP('Données projet'!$B$12,Paramètres!$A$1:$I$89,3,0)*0.475*44/12</f>
        <v>5.0098524336540269E-12</v>
      </c>
      <c r="CN114" s="22">
        <f t="shared" si="66"/>
        <v>0.41376188993429336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-5.1159076974727213E-13</v>
      </c>
      <c r="CU114" s="17">
        <f>CT114*VLOOKUP('Données projet'!$B$13,Paramètres!$A$1:$I$89,3,0)*VLOOKUP('Données projet'!$B$13,Paramètres!$A$1:$I$89,5,0)</f>
        <v>-4.1500243241898714E-13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266.72672633301022</v>
      </c>
      <c r="CZ114" s="59">
        <f t="shared" si="96"/>
        <v>314.26991662544219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0.54271538027557209</v>
      </c>
      <c r="DG114" s="21">
        <f>EXP(-LN(2)/25)*DG113+(1-EXP(-LN(2)/25))/(LN(2)/25)*Calculateur!DB114*Calculateur!DD114*VLOOKUP('Données projet'!$B$13,Paramètres!$A$1:$I$89,3,0)*0.475*44/12</f>
        <v>1.7966253194762565</v>
      </c>
      <c r="DH114" s="21">
        <f>EXP(-LN(2)/2)*DH113+(1-EXP(-LN(2)/2))/(LN(2)/2)*DB114*DE114*VLOOKUP('Données projet'!$B$13,Paramètres!$A$1:$I$89,3,0)*0.475*44/12</f>
        <v>1.57628723802622E-11</v>
      </c>
      <c r="DI114" s="22">
        <f t="shared" si="69"/>
        <v>2.3393406997675914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-5.6843418860808015E-14</v>
      </c>
      <c r="DP114" s="17">
        <f>DO114*VLOOKUP('Données projet'!$B$14,Paramètres!$A$1:$I$89,3,0)*VLOOKUP('Données projet'!$B$14,Paramètres!$A$1:$I$89,5,0)</f>
        <v>-6.1186256061773749E-14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442.54137223086991</v>
      </c>
      <c r="DU114" s="59">
        <f t="shared" si="98"/>
        <v>454.23406186660714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0.40122172756086943</v>
      </c>
      <c r="EB114" s="21">
        <f>EXP(-LN(2)/25)*EB113+(1-EXP(-LN(2)/25))/(LN(2)/25)*Calculateur!DW114*Calculateur!DY114*VLOOKUP('Données projet'!$B$14,Paramètres!$A$1:$I$89,3,0)*0.475*44/12</f>
        <v>1.2226575860376547</v>
      </c>
      <c r="EC114" s="21">
        <f>EXP(-LN(2)/2)*EC113+(1-EXP(-LN(2)/2))/(LN(2)/2)*DW114*DZ114*VLOOKUP('Données projet'!$B$14,Paramètres!$A$1:$I$89,3,0)*0.475*44/12</f>
        <v>1.1600562382855464E-11</v>
      </c>
      <c r="ED114" s="22">
        <f t="shared" si="72"/>
        <v>1.6238793136101246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201.49055911472067</v>
      </c>
      <c r="T115" s="59">
        <f t="shared" si="88"/>
        <v>403.37692064114719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14.69148380902951</v>
      </c>
      <c r="AA115" s="21">
        <f>EXP(-LN(2)/25)*AA114+(1-EXP(-LN(2)/25))/(LN(2)/25)*Calculateur!V115*Calculateur!X115*VLOOKUP('Données projet'!$B$9,Paramètres!$A$1:$I$89,3,0)*0.475*44/12</f>
        <v>6.9536699129741555</v>
      </c>
      <c r="AB115" s="21">
        <f>EXP(-LN(2)/2)*AB114+(1-EXP(-LN(2)/2))/(LN(2)/2)*V115*Y115*VLOOKUP('Données projet'!$B$9,Paramètres!$A$1:$I$89,3,0)*0.475*44/12</f>
        <v>2.3334821120448919E-10</v>
      </c>
      <c r="AC115" s="22">
        <f t="shared" si="57"/>
        <v>21.645153722237016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39.000000000000057</v>
      </c>
      <c r="AJ115" s="13">
        <f>AI115*VLOOKUP('Données projet'!$B$10,Paramètres!$A$1:$I$89,3,0)*VLOOKUP('Données projet'!$B$10,Paramètres!$A$1:$I$89,5,0)</f>
        <v>34.070400000000056</v>
      </c>
      <c r="AK115" s="13">
        <f t="shared" si="89"/>
        <v>10.412633617059328</v>
      </c>
      <c r="AL115" s="20">
        <f t="shared" si="58"/>
        <v>77.474616883045101</v>
      </c>
      <c r="AM115" s="59">
        <f t="shared" si="59"/>
        <v>370.8079502163784</v>
      </c>
      <c r="AN115" s="59">
        <f ca="1">AVERAGE(OFFSET($AM$3,0,0,'Données projet'!$E$10+1,1))-AVERAGE(OFFSET($H$3,0,0,'Données projet'!$E$10+1,1))</f>
        <v>260.53994021583316</v>
      </c>
      <c r="AO115" s="59">
        <f t="shared" si="90"/>
        <v>669.20238852709122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1.3477859471102703E-10</v>
      </c>
      <c r="AX115" s="21">
        <f t="shared" si="60"/>
        <v>1.3477859471102703E-10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273.39999999999998</v>
      </c>
      <c r="BE115" s="13">
        <f>BD115*VLOOKUP('Données projet'!$B$11,Paramètres!$A$1:$I$89,3,0)*VLOOKUP('Données projet'!$B$11,Paramètres!$A$1:$I$89,5,0)</f>
        <v>277.2276</v>
      </c>
      <c r="BF115" s="13">
        <f t="shared" si="91"/>
        <v>66.380782187895448</v>
      </c>
      <c r="BG115" s="20">
        <f t="shared" si="61"/>
        <v>598.45126564391796</v>
      </c>
      <c r="BH115" s="59">
        <f t="shared" si="62"/>
        <v>891.78459897725133</v>
      </c>
      <c r="BI115" s="59">
        <f ca="1">AVERAGE(OFFSET($BH$3,0,0,'Données projet'!$E$11+1,1))-AVERAGE(OFFSET($H$3,0,0,'Données projet'!$E$11+1,1))</f>
        <v>279.20364724206644</v>
      </c>
      <c r="BJ115" s="59">
        <f t="shared" si="92"/>
        <v>173.99850582760712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0.35834370827225209</v>
      </c>
      <c r="BR115" s="21">
        <f>EXP(-LN(2)/2)*BR114+(1-EXP(-LN(2)/2))/(LN(2)/2)*BL115*BO115*VLOOKUP('Données projet'!$B$11,Paramètres!$A$1:$I$89,3,0)*0.475*44/12</f>
        <v>3.1542813816129238E-12</v>
      </c>
      <c r="BS115" s="22">
        <f t="shared" si="63"/>
        <v>0.35834370827540635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273.39999999999998</v>
      </c>
      <c r="BZ115" s="13">
        <f>BY115*VLOOKUP('Données projet'!$B$12,Paramètres!$A$1:$I$89,3,0)*VLOOKUP('Données projet'!$B$12,Paramètres!$A$1:$I$89,5,0)</f>
        <v>311.34791999999993</v>
      </c>
      <c r="CA115" s="13">
        <f t="shared" si="93"/>
        <v>73.55025839493986</v>
      </c>
      <c r="CB115" s="20">
        <f t="shared" si="64"/>
        <v>670.36432737118685</v>
      </c>
      <c r="CC115" s="59">
        <f t="shared" si="65"/>
        <v>963.6976607045201</v>
      </c>
      <c r="CD115" s="59">
        <f ca="1">AVERAGE(OFFSET($CC$3,0,0,'Données projet'!$E$12+1,1))-AVERAGE(OFFSET($H$3,0,0,'Données projet'!$E$12+1,1))</f>
        <v>327.06866218660838</v>
      </c>
      <c r="CE115" s="59">
        <f t="shared" si="94"/>
        <v>202.18198935334908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0.40244754929037513</v>
      </c>
      <c r="CM115" s="21">
        <f>EXP(-LN(2)/2)*CM114+(1-EXP(-LN(2)/2))/(LN(2)/2)*CG115*CJ115*VLOOKUP('Données projet'!$B$12,Paramètres!$A$1:$I$89,3,0)*0.475*44/12</f>
        <v>3.5425006285806906E-12</v>
      </c>
      <c r="CN115" s="22">
        <f t="shared" si="66"/>
        <v>0.40244754929391763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-5.1159076974727213E-13</v>
      </c>
      <c r="CU115" s="17">
        <f>CT115*VLOOKUP('Données projet'!$B$13,Paramètres!$A$1:$I$89,3,0)*VLOOKUP('Données projet'!$B$13,Paramètres!$A$1:$I$89,5,0)</f>
        <v>-4.1500243241898714E-13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266.72672633301022</v>
      </c>
      <c r="CZ115" s="59">
        <f t="shared" si="96"/>
        <v>314.26991662544219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0.53207306269206422</v>
      </c>
      <c r="DG115" s="21">
        <f>EXP(-LN(2)/25)*DG114+(1-EXP(-LN(2)/25))/(LN(2)/25)*Calculateur!DB115*Calculateur!DD115*VLOOKUP('Données projet'!$B$13,Paramètres!$A$1:$I$89,3,0)*0.475*44/12</f>
        <v>1.7474965056347589</v>
      </c>
      <c r="DH115" s="21">
        <f>EXP(-LN(2)/2)*DH114+(1-EXP(-LN(2)/2))/(LN(2)/2)*DB115*DE115*VLOOKUP('Données projet'!$B$13,Paramètres!$A$1:$I$89,3,0)*0.475*44/12</f>
        <v>1.1146033951061537E-11</v>
      </c>
      <c r="DI115" s="22">
        <f t="shared" si="69"/>
        <v>2.2795695683379695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-5.6843418860808015E-14</v>
      </c>
      <c r="DP115" s="17">
        <f>DO115*VLOOKUP('Données projet'!$B$14,Paramètres!$A$1:$I$89,3,0)*VLOOKUP('Données projet'!$B$14,Paramètres!$A$1:$I$89,5,0)</f>
        <v>-6.1186256061773749E-14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442.54137223086991</v>
      </c>
      <c r="DU115" s="59">
        <f t="shared" si="98"/>
        <v>454.23406186660714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0.3933540142044904</v>
      </c>
      <c r="EB115" s="21">
        <f>EXP(-LN(2)/25)*EB114+(1-EXP(-LN(2)/25))/(LN(2)/25)*Calculateur!DW115*Calculateur!DY115*VLOOKUP('Données projet'!$B$14,Paramètres!$A$1:$I$89,3,0)*0.475*44/12</f>
        <v>1.1892239500506869</v>
      </c>
      <c r="EC115" s="21">
        <f>EXP(-LN(2)/2)*EC114+(1-EXP(-LN(2)/2))/(LN(2)/2)*DW115*DZ115*VLOOKUP('Données projet'!$B$14,Paramètres!$A$1:$I$89,3,0)*0.475*44/12</f>
        <v>8.2028363264946731E-12</v>
      </c>
      <c r="ED115" s="22">
        <f t="shared" si="72"/>
        <v>1.5825779642633802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201.49055911472067</v>
      </c>
      <c r="T116" s="59">
        <f t="shared" si="88"/>
        <v>403.37692064114719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14.403392772454747</v>
      </c>
      <c r="AA116" s="21">
        <f>EXP(-LN(2)/25)*AA115+(1-EXP(-LN(2)/25))/(LN(2)/25)*Calculateur!V116*Calculateur!X116*VLOOKUP('Données projet'!$B$9,Paramètres!$A$1:$I$89,3,0)*0.475*44/12</f>
        <v>6.7635214435262689</v>
      </c>
      <c r="AB116" s="21">
        <f>EXP(-LN(2)/2)*AB115+(1-EXP(-LN(2)/2))/(LN(2)/2)*V116*Y116*VLOOKUP('Données projet'!$B$9,Paramètres!$A$1:$I$89,3,0)*0.475*44/12</f>
        <v>1.6500210252044502E-10</v>
      </c>
      <c r="AC116" s="22">
        <f t="shared" si="57"/>
        <v>21.166914216146019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39.000000000000057</v>
      </c>
      <c r="AJ116" s="13">
        <f>AI116*VLOOKUP('Données projet'!$B$10,Paramètres!$A$1:$I$89,3,0)*VLOOKUP('Données projet'!$B$10,Paramètres!$A$1:$I$89,5,0)</f>
        <v>34.070400000000056</v>
      </c>
      <c r="AK116" s="13">
        <f t="shared" si="89"/>
        <v>10.412633617059328</v>
      </c>
      <c r="AL116" s="20">
        <f t="shared" si="58"/>
        <v>77.474616883045101</v>
      </c>
      <c r="AM116" s="59">
        <f t="shared" si="59"/>
        <v>370.8079502163784</v>
      </c>
      <c r="AN116" s="59">
        <f ca="1">AVERAGE(OFFSET($AM$3,0,0,'Données projet'!$E$10+1,1))-AVERAGE(OFFSET($H$3,0,0,'Données projet'!$E$10+1,1))</f>
        <v>260.53994021583316</v>
      </c>
      <c r="AO116" s="59">
        <f t="shared" si="90"/>
        <v>669.20238852709122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9.5302858278960566E-11</v>
      </c>
      <c r="AX116" s="21">
        <f t="shared" si="60"/>
        <v>9.5302858278960566E-11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277.09999999999997</v>
      </c>
      <c r="BE116" s="13">
        <f>BD116*VLOOKUP('Données projet'!$B$11,Paramètres!$A$1:$I$89,3,0)*VLOOKUP('Données projet'!$B$11,Paramètres!$A$1:$I$89,5,0)</f>
        <v>280.9794</v>
      </c>
      <c r="BF116" s="13">
        <f t="shared" si="91"/>
        <v>67.173942175199358</v>
      </c>
      <c r="BG116" s="20">
        <f t="shared" si="61"/>
        <v>606.36707095513873</v>
      </c>
      <c r="BH116" s="59">
        <f t="shared" si="62"/>
        <v>899.7004042884721</v>
      </c>
      <c r="BI116" s="59">
        <f ca="1">AVERAGE(OFFSET($BH$3,0,0,'Données projet'!$E$11+1,1))-AVERAGE(OFFSET($H$3,0,0,'Données projet'!$E$11+1,1))</f>
        <v>279.20364724206644</v>
      </c>
      <c r="BJ116" s="59">
        <f t="shared" si="92"/>
        <v>173.99850582760712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0.34854478072507072</v>
      </c>
      <c r="BR116" s="21">
        <f>EXP(-LN(2)/2)*BR115+(1-EXP(-LN(2)/2))/(LN(2)/2)*BL116*BO116*VLOOKUP('Données projet'!$B$11,Paramètres!$A$1:$I$89,3,0)*0.475*44/12</f>
        <v>2.2304137547089705E-12</v>
      </c>
      <c r="BS116" s="22">
        <f t="shared" si="63"/>
        <v>0.34854478072730116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277.09999999999997</v>
      </c>
      <c r="BZ116" s="13">
        <f>BY116*VLOOKUP('Données projet'!$B$12,Paramètres!$A$1:$I$89,3,0)*VLOOKUP('Données projet'!$B$12,Paramètres!$A$1:$I$89,5,0)</f>
        <v>315.56147999999996</v>
      </c>
      <c r="CA116" s="13">
        <f t="shared" si="93"/>
        <v>74.429083863576366</v>
      </c>
      <c r="CB116" s="20">
        <f t="shared" si="64"/>
        <v>679.23356539572876</v>
      </c>
      <c r="CC116" s="59">
        <f t="shared" si="65"/>
        <v>972.56689872906213</v>
      </c>
      <c r="CD116" s="59">
        <f ca="1">AVERAGE(OFFSET($CC$3,0,0,'Données projet'!$E$12+1,1))-AVERAGE(OFFSET($H$3,0,0,'Données projet'!$E$12+1,1))</f>
        <v>327.06866218660838</v>
      </c>
      <c r="CE116" s="59">
        <f t="shared" si="94"/>
        <v>202.18198935334908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0.39144259989123303</v>
      </c>
      <c r="CM116" s="21">
        <f>EXP(-LN(2)/2)*CM115+(1-EXP(-LN(2)/2))/(LN(2)/2)*CG116*CJ116*VLOOKUP('Données projet'!$B$12,Paramètres!$A$1:$I$89,3,0)*0.475*44/12</f>
        <v>2.5049262168270138E-12</v>
      </c>
      <c r="CN116" s="22">
        <f t="shared" si="66"/>
        <v>0.39144259989373797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-5.1159076974727213E-13</v>
      </c>
      <c r="CU116" s="17">
        <f>CT116*VLOOKUP('Données projet'!$B$13,Paramètres!$A$1:$I$89,3,0)*VLOOKUP('Données projet'!$B$13,Paramètres!$A$1:$I$89,5,0)</f>
        <v>-4.1500243241898714E-13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266.72672633301022</v>
      </c>
      <c r="CZ116" s="59">
        <f t="shared" si="96"/>
        <v>314.26991662544219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0.52163943446519612</v>
      </c>
      <c r="DG116" s="21">
        <f>EXP(-LN(2)/25)*DG115+(1-EXP(-LN(2)/25))/(LN(2)/25)*Calculateur!DB116*Calculateur!DD116*VLOOKUP('Données projet'!$B$13,Paramètres!$A$1:$I$89,3,0)*0.475*44/12</f>
        <v>1.6997111217913292</v>
      </c>
      <c r="DH116" s="21">
        <f>EXP(-LN(2)/2)*DH115+(1-EXP(-LN(2)/2))/(LN(2)/2)*DB116*DE116*VLOOKUP('Données projet'!$B$13,Paramètres!$A$1:$I$89,3,0)*0.475*44/12</f>
        <v>7.8814361901311002E-12</v>
      </c>
      <c r="DI116" s="22">
        <f t="shared" si="69"/>
        <v>2.2213505562644067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-5.6843418860808015E-14</v>
      </c>
      <c r="DP116" s="17">
        <f>DO116*VLOOKUP('Données projet'!$B$14,Paramètres!$A$1:$I$89,3,0)*VLOOKUP('Données projet'!$B$14,Paramètres!$A$1:$I$89,5,0)</f>
        <v>-6.1186256061773749E-14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442.54137223086991</v>
      </c>
      <c r="DU116" s="59">
        <f t="shared" si="98"/>
        <v>454.23406186660714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0.38564058190819867</v>
      </c>
      <c r="EB116" s="21">
        <f>EXP(-LN(2)/25)*EB115+(1-EXP(-LN(2)/25))/(LN(2)/25)*Calculateur!DW116*Calculateur!DY116*VLOOKUP('Données projet'!$B$14,Paramètres!$A$1:$I$89,3,0)*0.475*44/12</f>
        <v>1.1567045585979814</v>
      </c>
      <c r="EC116" s="21">
        <f>EXP(-LN(2)/2)*EC115+(1-EXP(-LN(2)/2))/(LN(2)/2)*DW116*DZ116*VLOOKUP('Données projet'!$B$14,Paramètres!$A$1:$I$89,3,0)*0.475*44/12</f>
        <v>5.8002811914277321E-12</v>
      </c>
      <c r="ED116" s="22">
        <f t="shared" si="72"/>
        <v>1.5423451405119804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201.49055911472067</v>
      </c>
      <c r="T117" s="59">
        <f t="shared" si="88"/>
        <v>403.37692064114719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14.120951025389035</v>
      </c>
      <c r="AA117" s="21">
        <f>EXP(-LN(2)/25)*AA116+(1-EXP(-LN(2)/25))/(LN(2)/25)*Calculateur!V117*Calculateur!X117*VLOOKUP('Données projet'!$B$9,Paramètres!$A$1:$I$89,3,0)*0.475*44/12</f>
        <v>6.5785725939749087</v>
      </c>
      <c r="AB117" s="21">
        <f>EXP(-LN(2)/2)*AB116+(1-EXP(-LN(2)/2))/(LN(2)/2)*V117*Y117*VLOOKUP('Données projet'!$B$9,Paramètres!$A$1:$I$89,3,0)*0.475*44/12</f>
        <v>1.1667410560224459E-10</v>
      </c>
      <c r="AC117" s="22">
        <f t="shared" si="57"/>
        <v>20.699523619480619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39.000000000000057</v>
      </c>
      <c r="AJ117" s="13">
        <f>AI117*VLOOKUP('Données projet'!$B$10,Paramètres!$A$1:$I$89,3,0)*VLOOKUP('Données projet'!$B$10,Paramètres!$A$1:$I$89,5,0)</f>
        <v>34.070400000000056</v>
      </c>
      <c r="AK117" s="13">
        <f t="shared" si="89"/>
        <v>10.412633617059328</v>
      </c>
      <c r="AL117" s="20">
        <f t="shared" si="58"/>
        <v>77.474616883045101</v>
      </c>
      <c r="AM117" s="59">
        <f t="shared" si="59"/>
        <v>370.8079502163784</v>
      </c>
      <c r="AN117" s="59">
        <f ca="1">AVERAGE(OFFSET($AM$3,0,0,'Données projet'!$E$10+1,1))-AVERAGE(OFFSET($H$3,0,0,'Données projet'!$E$10+1,1))</f>
        <v>260.53994021583316</v>
      </c>
      <c r="AO117" s="59">
        <f t="shared" si="90"/>
        <v>669.20238852709122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6.7389297355513517E-11</v>
      </c>
      <c r="AX117" s="21">
        <f t="shared" si="60"/>
        <v>6.7389297355513517E-11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280.79999999999995</v>
      </c>
      <c r="BE117" s="13">
        <f>BD117*VLOOKUP('Données projet'!$B$11,Paramètres!$A$1:$I$89,3,0)*VLOOKUP('Données projet'!$B$11,Paramètres!$A$1:$I$89,5,0)</f>
        <v>284.7312</v>
      </c>
      <c r="BF117" s="13">
        <f t="shared" si="91"/>
        <v>67.96587032005101</v>
      </c>
      <c r="BG117" s="20">
        <f t="shared" si="61"/>
        <v>614.28073080742217</v>
      </c>
      <c r="BH117" s="59">
        <f t="shared" si="62"/>
        <v>907.61406414075554</v>
      </c>
      <c r="BI117" s="59">
        <f ca="1">AVERAGE(OFFSET($BH$3,0,0,'Données projet'!$E$11+1,1))-AVERAGE(OFFSET($H$3,0,0,'Données projet'!$E$11+1,1))</f>
        <v>279.20364724206644</v>
      </c>
      <c r="BJ117" s="59">
        <f t="shared" si="92"/>
        <v>173.99850582760712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0.33901380536697023</v>
      </c>
      <c r="BR117" s="21">
        <f>EXP(-LN(2)/2)*BR116+(1-EXP(-LN(2)/2))/(LN(2)/2)*BL117*BO117*VLOOKUP('Données projet'!$B$11,Paramètres!$A$1:$I$89,3,0)*0.475*44/12</f>
        <v>1.5771406908064619E-12</v>
      </c>
      <c r="BS117" s="22">
        <f t="shared" si="63"/>
        <v>0.33901380536854736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280.79999999999995</v>
      </c>
      <c r="BZ117" s="13">
        <f>BY117*VLOOKUP('Données projet'!$B$12,Paramètres!$A$1:$I$89,3,0)*VLOOKUP('Données projet'!$B$12,Paramètres!$A$1:$I$89,5,0)</f>
        <v>319.77503999999993</v>
      </c>
      <c r="CA117" s="13">
        <f t="shared" si="93"/>
        <v>75.306544444248402</v>
      </c>
      <c r="CB117" s="20">
        <f t="shared" si="64"/>
        <v>688.10042624039909</v>
      </c>
      <c r="CC117" s="59">
        <f t="shared" si="65"/>
        <v>981.43375957373246</v>
      </c>
      <c r="CD117" s="59">
        <f ca="1">AVERAGE(OFFSET($CC$3,0,0,'Données projet'!$E$12+1,1))-AVERAGE(OFFSET($H$3,0,0,'Données projet'!$E$12+1,1))</f>
        <v>327.06866218660838</v>
      </c>
      <c r="CE117" s="59">
        <f t="shared" si="94"/>
        <v>202.18198935334908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0.38073858141213557</v>
      </c>
      <c r="CM117" s="21">
        <f>EXP(-LN(2)/2)*CM116+(1-EXP(-LN(2)/2))/(LN(2)/2)*CG117*CJ117*VLOOKUP('Données projet'!$B$12,Paramètres!$A$1:$I$89,3,0)*0.475*44/12</f>
        <v>1.7712503142903457E-12</v>
      </c>
      <c r="CN117" s="22">
        <f t="shared" si="66"/>
        <v>0.38073858141390682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-5.1159076974727213E-13</v>
      </c>
      <c r="CU117" s="17">
        <f>CT117*VLOOKUP('Données projet'!$B$13,Paramètres!$A$1:$I$89,3,0)*VLOOKUP('Données projet'!$B$13,Paramètres!$A$1:$I$89,5,0)</f>
        <v>-4.1500243241898714E-13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266.72672633301022</v>
      </c>
      <c r="CZ117" s="59">
        <f t="shared" si="96"/>
        <v>314.26991662544219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0.51141040332397214</v>
      </c>
      <c r="DG117" s="21">
        <f>EXP(-LN(2)/25)*DG116+(1-EXP(-LN(2)/25))/(LN(2)/25)*Calculateur!DB117*Calculateur!DD117*VLOOKUP('Données projet'!$B$13,Paramètres!$A$1:$I$89,3,0)*0.475*44/12</f>
        <v>1.6532324317820222</v>
      </c>
      <c r="DH117" s="21">
        <f>EXP(-LN(2)/2)*DH116+(1-EXP(-LN(2)/2))/(LN(2)/2)*DB117*DE117*VLOOKUP('Données projet'!$B$13,Paramètres!$A$1:$I$89,3,0)*0.475*44/12</f>
        <v>5.5730169755307687E-12</v>
      </c>
      <c r="DI117" s="22">
        <f t="shared" si="69"/>
        <v>2.1646428351115672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-5.6843418860808015E-14</v>
      </c>
      <c r="DP117" s="17">
        <f>DO117*VLOOKUP('Données projet'!$B$14,Paramètres!$A$1:$I$89,3,0)*VLOOKUP('Données projet'!$B$14,Paramètres!$A$1:$I$89,5,0)</f>
        <v>-6.1186256061773749E-14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442.54137223086991</v>
      </c>
      <c r="DU117" s="59">
        <f t="shared" si="98"/>
        <v>454.23406186660714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0.37807840531450804</v>
      </c>
      <c r="EB117" s="21">
        <f>EXP(-LN(2)/25)*EB116+(1-EXP(-LN(2)/25))/(LN(2)/25)*Calculateur!DW117*Calculateur!DY117*VLOOKUP('Données projet'!$B$14,Paramètres!$A$1:$I$89,3,0)*0.475*44/12</f>
        <v>1.1250744116146705</v>
      </c>
      <c r="EC117" s="21">
        <f>EXP(-LN(2)/2)*EC116+(1-EXP(-LN(2)/2))/(LN(2)/2)*DW117*DZ117*VLOOKUP('Données projet'!$B$14,Paramètres!$A$1:$I$89,3,0)*0.475*44/12</f>
        <v>4.1014181632473365E-12</v>
      </c>
      <c r="ED117" s="22">
        <f t="shared" si="72"/>
        <v>1.50315281693328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201.49055911472067</v>
      </c>
      <c r="T118" s="59">
        <f t="shared" si="88"/>
        <v>403.37692064114719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13.844047788710824</v>
      </c>
      <c r="AA118" s="21">
        <f>EXP(-LN(2)/25)*AA117+(1-EXP(-LN(2)/25))/(LN(2)/25)*Calculateur!V118*Calculateur!X118*VLOOKUP('Données projet'!$B$9,Paramètres!$A$1:$I$89,3,0)*0.475*44/12</f>
        <v>6.3986811804405672</v>
      </c>
      <c r="AB118" s="21">
        <f>EXP(-LN(2)/2)*AB117+(1-EXP(-LN(2)/2))/(LN(2)/2)*V118*Y118*VLOOKUP('Données projet'!$B$9,Paramètres!$A$1:$I$89,3,0)*0.475*44/12</f>
        <v>8.2501051260222508E-11</v>
      </c>
      <c r="AC118" s="22">
        <f t="shared" si="57"/>
        <v>20.242728969233895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39.000000000000057</v>
      </c>
      <c r="AJ118" s="13">
        <f>AI118*VLOOKUP('Données projet'!$B$10,Paramètres!$A$1:$I$89,3,0)*VLOOKUP('Données projet'!$B$10,Paramètres!$A$1:$I$89,5,0)</f>
        <v>34.070400000000056</v>
      </c>
      <c r="AK118" s="13">
        <f t="shared" si="89"/>
        <v>10.412633617059328</v>
      </c>
      <c r="AL118" s="20">
        <f t="shared" si="58"/>
        <v>77.474616883045101</v>
      </c>
      <c r="AM118" s="59">
        <f t="shared" si="59"/>
        <v>370.8079502163784</v>
      </c>
      <c r="AN118" s="59">
        <f ca="1">AVERAGE(OFFSET($AM$3,0,0,'Données projet'!$E$10+1,1))-AVERAGE(OFFSET($H$3,0,0,'Données projet'!$E$10+1,1))</f>
        <v>260.53994021583316</v>
      </c>
      <c r="AO118" s="59">
        <f t="shared" si="90"/>
        <v>669.20238852709122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4.7651429139480283E-11</v>
      </c>
      <c r="AX118" s="21">
        <f t="shared" si="60"/>
        <v>4.7651429139480283E-11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284.49999999999994</v>
      </c>
      <c r="BE118" s="13">
        <f>BD118*VLOOKUP('Données projet'!$B$11,Paramètres!$A$1:$I$89,3,0)*VLOOKUP('Données projet'!$B$11,Paramètres!$A$1:$I$89,5,0)</f>
        <v>288.483</v>
      </c>
      <c r="BF118" s="13">
        <f t="shared" si="91"/>
        <v>68.756584730508692</v>
      </c>
      <c r="BG118" s="20">
        <f t="shared" si="61"/>
        <v>622.19227673896933</v>
      </c>
      <c r="BH118" s="59">
        <f t="shared" si="62"/>
        <v>915.5256100723027</v>
      </c>
      <c r="BI118" s="59">
        <f ca="1">AVERAGE(OFFSET($BH$3,0,0,'Données projet'!$E$11+1,1))-AVERAGE(OFFSET($H$3,0,0,'Données projet'!$E$11+1,1))</f>
        <v>279.20364724206644</v>
      </c>
      <c r="BJ118" s="59">
        <f t="shared" si="92"/>
        <v>173.99850582760712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0.32974345503124924</v>
      </c>
      <c r="BR118" s="21">
        <f>EXP(-LN(2)/2)*BR117+(1-EXP(-LN(2)/2))/(LN(2)/2)*BL118*BO118*VLOOKUP('Données projet'!$B$11,Paramètres!$A$1:$I$89,3,0)*0.475*44/12</f>
        <v>1.1152068773544853E-12</v>
      </c>
      <c r="BS118" s="22">
        <f t="shared" si="63"/>
        <v>0.32974345503236446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284.49999999999994</v>
      </c>
      <c r="BZ118" s="13">
        <f>BY118*VLOOKUP('Données projet'!$B$12,Paramètres!$A$1:$I$89,3,0)*VLOOKUP('Données projet'!$B$12,Paramètres!$A$1:$I$89,5,0)</f>
        <v>323.98859999999991</v>
      </c>
      <c r="CA118" s="13">
        <f t="shared" si="93"/>
        <v>76.182660200780944</v>
      </c>
      <c r="CB118" s="20">
        <f t="shared" si="64"/>
        <v>696.96494484969332</v>
      </c>
      <c r="CC118" s="59">
        <f t="shared" si="65"/>
        <v>990.2982781830267</v>
      </c>
      <c r="CD118" s="59">
        <f ca="1">AVERAGE(OFFSET($CC$3,0,0,'Données projet'!$E$12+1,1))-AVERAGE(OFFSET($H$3,0,0,'Données projet'!$E$12+1,1))</f>
        <v>327.06866218660838</v>
      </c>
      <c r="CE118" s="59">
        <f t="shared" si="94"/>
        <v>202.18198935334908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0.3703272648812489</v>
      </c>
      <c r="CM118" s="21">
        <f>EXP(-LN(2)/2)*CM117+(1-EXP(-LN(2)/2))/(LN(2)/2)*CG118*CJ118*VLOOKUP('Données projet'!$B$12,Paramètres!$A$1:$I$89,3,0)*0.475*44/12</f>
        <v>1.2524631084135071E-12</v>
      </c>
      <c r="CN118" s="22">
        <f t="shared" si="66"/>
        <v>0.37032726488250134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-5.1159076974727213E-13</v>
      </c>
      <c r="CU118" s="17">
        <f>CT118*VLOOKUP('Données projet'!$B$13,Paramètres!$A$1:$I$89,3,0)*VLOOKUP('Données projet'!$B$13,Paramètres!$A$1:$I$89,5,0)</f>
        <v>-4.1500243241898714E-13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266.72672633301022</v>
      </c>
      <c r="CZ118" s="59">
        <f t="shared" si="96"/>
        <v>314.26991662544219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0.50138195724433454</v>
      </c>
      <c r="DG118" s="21">
        <f>EXP(-LN(2)/25)*DG117+(1-EXP(-LN(2)/25))/(LN(2)/25)*Calculateur!DB118*Calculateur!DD118*VLOOKUP('Données projet'!$B$13,Paramètres!$A$1:$I$89,3,0)*0.475*44/12</f>
        <v>1.6080247039952278</v>
      </c>
      <c r="DH118" s="21">
        <f>EXP(-LN(2)/2)*DH117+(1-EXP(-LN(2)/2))/(LN(2)/2)*DB118*DE118*VLOOKUP('Données projet'!$B$13,Paramètres!$A$1:$I$89,3,0)*0.475*44/12</f>
        <v>3.9407180950655501E-12</v>
      </c>
      <c r="DI118" s="22">
        <f t="shared" si="69"/>
        <v>2.1094066612435034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-5.6843418860808015E-14</v>
      </c>
      <c r="DP118" s="17">
        <f>DO118*VLOOKUP('Données projet'!$B$14,Paramètres!$A$1:$I$89,3,0)*VLOOKUP('Données projet'!$B$14,Paramètres!$A$1:$I$89,5,0)</f>
        <v>-6.1186256061773749E-14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442.54137223086991</v>
      </c>
      <c r="DU118" s="59">
        <f t="shared" si="98"/>
        <v>454.23406186660714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0.3706645183913474</v>
      </c>
      <c r="EB118" s="21">
        <f>EXP(-LN(2)/25)*EB117+(1-EXP(-LN(2)/25))/(LN(2)/25)*Calculateur!DW118*Calculateur!DY118*VLOOKUP('Données projet'!$B$14,Paramètres!$A$1:$I$89,3,0)*0.475*44/12</f>
        <v>1.0943091926639754</v>
      </c>
      <c r="EC118" s="21">
        <f>EXP(-LN(2)/2)*EC117+(1-EXP(-LN(2)/2))/(LN(2)/2)*DW118*DZ118*VLOOKUP('Données projet'!$B$14,Paramètres!$A$1:$I$89,3,0)*0.475*44/12</f>
        <v>2.9001405957138661E-12</v>
      </c>
      <c r="ED118" s="22">
        <f t="shared" si="72"/>
        <v>1.4649737110582228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201.49055911472067</v>
      </c>
      <c r="T119" s="59">
        <f t="shared" si="88"/>
        <v>403.37692064114719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13.572574455609576</v>
      </c>
      <c r="AA119" s="21">
        <f>EXP(-LN(2)/25)*AA118+(1-EXP(-LN(2)/25))/(LN(2)/25)*Calculateur!V119*Calculateur!X119*VLOOKUP('Données projet'!$B$9,Paramètres!$A$1:$I$89,3,0)*0.475*44/12</f>
        <v>6.2237089070694012</v>
      </c>
      <c r="AB119" s="21">
        <f>EXP(-LN(2)/2)*AB118+(1-EXP(-LN(2)/2))/(LN(2)/2)*V119*Y119*VLOOKUP('Données projet'!$B$9,Paramètres!$A$1:$I$89,3,0)*0.475*44/12</f>
        <v>5.8337052801122297E-11</v>
      </c>
      <c r="AC119" s="22">
        <f t="shared" si="57"/>
        <v>19.796283362737313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39.000000000000057</v>
      </c>
      <c r="AJ119" s="13">
        <f>AI119*VLOOKUP('Données projet'!$B$10,Paramètres!$A$1:$I$89,3,0)*VLOOKUP('Données projet'!$B$10,Paramètres!$A$1:$I$89,5,0)</f>
        <v>34.070400000000056</v>
      </c>
      <c r="AK119" s="13">
        <f t="shared" si="89"/>
        <v>10.412633617059328</v>
      </c>
      <c r="AL119" s="20">
        <f t="shared" si="58"/>
        <v>77.474616883045101</v>
      </c>
      <c r="AM119" s="59">
        <f t="shared" si="59"/>
        <v>370.8079502163784</v>
      </c>
      <c r="AN119" s="59">
        <f ca="1">AVERAGE(OFFSET($AM$3,0,0,'Données projet'!$E$10+1,1))-AVERAGE(OFFSET($H$3,0,0,'Données projet'!$E$10+1,1))</f>
        <v>260.53994021583316</v>
      </c>
      <c r="AO119" s="59">
        <f t="shared" si="90"/>
        <v>669.20238852709122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3.3694648677756758E-11</v>
      </c>
      <c r="AX119" s="21">
        <f t="shared" si="60"/>
        <v>3.3694648677756758E-11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288.19999999999993</v>
      </c>
      <c r="BE119" s="13">
        <f>BD119*VLOOKUP('Données projet'!$B$11,Paramètres!$A$1:$I$89,3,0)*VLOOKUP('Données projet'!$B$11,Paramètres!$A$1:$I$89,5,0)</f>
        <v>292.23479999999995</v>
      </c>
      <c r="BF119" s="13">
        <f t="shared" si="91"/>
        <v>69.546103016553758</v>
      </c>
      <c r="BG119" s="20">
        <f t="shared" si="61"/>
        <v>630.10173942049767</v>
      </c>
      <c r="BH119" s="59">
        <f t="shared" si="62"/>
        <v>923.43507275383104</v>
      </c>
      <c r="BI119" s="59">
        <f ca="1">AVERAGE(OFFSET($BH$3,0,0,'Données projet'!$E$11+1,1))-AVERAGE(OFFSET($H$3,0,0,'Données projet'!$E$11+1,1))</f>
        <v>279.20364724206644</v>
      </c>
      <c r="BJ119" s="59">
        <f t="shared" si="92"/>
        <v>173.99850582760712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0.32072660291296506</v>
      </c>
      <c r="BR119" s="21">
        <f>EXP(-LN(2)/2)*BR118+(1-EXP(-LN(2)/2))/(LN(2)/2)*BL119*BO119*VLOOKUP('Données projet'!$B$11,Paramètres!$A$1:$I$89,3,0)*0.475*44/12</f>
        <v>7.8857034540323096E-13</v>
      </c>
      <c r="BS119" s="22">
        <f t="shared" si="63"/>
        <v>0.32072660291375366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288.19999999999993</v>
      </c>
      <c r="BZ119" s="13">
        <f>BY119*VLOOKUP('Données projet'!$B$12,Paramètres!$A$1:$I$89,3,0)*VLOOKUP('Données projet'!$B$12,Paramètres!$A$1:$I$89,5,0)</f>
        <v>328.20215999999994</v>
      </c>
      <c r="CA119" s="13">
        <f t="shared" si="93"/>
        <v>77.057450645126281</v>
      </c>
      <c r="CB119" s="20">
        <f t="shared" si="64"/>
        <v>705.82715520692807</v>
      </c>
      <c r="CC119" s="59">
        <f t="shared" si="65"/>
        <v>999.16048854026144</v>
      </c>
      <c r="CD119" s="59">
        <f ca="1">AVERAGE(OFFSET($CC$3,0,0,'Données projet'!$E$12+1,1))-AVERAGE(OFFSET($H$3,0,0,'Données projet'!$E$12+1,1))</f>
        <v>327.06866218660838</v>
      </c>
      <c r="CE119" s="59">
        <f t="shared" si="94"/>
        <v>202.18198935334908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0.36020064634840671</v>
      </c>
      <c r="CM119" s="21">
        <f>EXP(-LN(2)/2)*CM118+(1-EXP(-LN(2)/2))/(LN(2)/2)*CG119*CJ119*VLOOKUP('Données projet'!$B$12,Paramètres!$A$1:$I$89,3,0)*0.475*44/12</f>
        <v>8.8562515714517297E-13</v>
      </c>
      <c r="CN119" s="22">
        <f t="shared" si="66"/>
        <v>0.36020064634929233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-5.1159076974727213E-13</v>
      </c>
      <c r="CU119" s="17">
        <f>CT119*VLOOKUP('Données projet'!$B$13,Paramètres!$A$1:$I$89,3,0)*VLOOKUP('Données projet'!$B$13,Paramètres!$A$1:$I$89,5,0)</f>
        <v>-4.1500243241898714E-13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266.72672633301022</v>
      </c>
      <c r="CZ119" s="59">
        <f t="shared" si="96"/>
        <v>314.26991662544219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0.49155016287557057</v>
      </c>
      <c r="DG119" s="21">
        <f>EXP(-LN(2)/25)*DG118+(1-EXP(-LN(2)/25))/(LN(2)/25)*Calculateur!DB119*Calculateur!DD119*VLOOKUP('Données projet'!$B$13,Paramètres!$A$1:$I$89,3,0)*0.475*44/12</f>
        <v>1.5640531839021343</v>
      </c>
      <c r="DH119" s="21">
        <f>EXP(-LN(2)/2)*DH118+(1-EXP(-LN(2)/2))/(LN(2)/2)*DB119*DE119*VLOOKUP('Données projet'!$B$13,Paramètres!$A$1:$I$89,3,0)*0.475*44/12</f>
        <v>2.7865084877653844E-12</v>
      </c>
      <c r="DI119" s="22">
        <f t="shared" si="69"/>
        <v>2.0556033467804915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-5.6843418860808015E-14</v>
      </c>
      <c r="DP119" s="17">
        <f>DO119*VLOOKUP('Données projet'!$B$14,Paramètres!$A$1:$I$89,3,0)*VLOOKUP('Données projet'!$B$14,Paramètres!$A$1:$I$89,5,0)</f>
        <v>-6.1186256061773749E-14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442.54137223086991</v>
      </c>
      <c r="DU119" s="59">
        <f t="shared" si="98"/>
        <v>454.23406186660714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0.36339601326872545</v>
      </c>
      <c r="EB119" s="21">
        <f>EXP(-LN(2)/25)*EB118+(1-EXP(-LN(2)/25))/(LN(2)/25)*Calculateur!DW119*Calculateur!DY119*VLOOKUP('Données projet'!$B$14,Paramètres!$A$1:$I$89,3,0)*0.475*44/12</f>
        <v>1.0643852502433597</v>
      </c>
      <c r="EC119" s="21">
        <f>EXP(-LN(2)/2)*EC118+(1-EXP(-LN(2)/2))/(LN(2)/2)*DW119*DZ119*VLOOKUP('Données projet'!$B$14,Paramètres!$A$1:$I$89,3,0)*0.475*44/12</f>
        <v>2.0507090816236683E-12</v>
      </c>
      <c r="ED119" s="22">
        <f t="shared" si="72"/>
        <v>1.427781263514136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201.49055911472067</v>
      </c>
      <c r="T120" s="59">
        <f t="shared" si="88"/>
        <v>403.37692064114719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13.30642454898806</v>
      </c>
      <c r="AA120" s="21">
        <f>EXP(-LN(2)/25)*AA119+(1-EXP(-LN(2)/25))/(LN(2)/25)*Calculateur!V120*Calculateur!X120*VLOOKUP('Données projet'!$B$9,Paramètres!$A$1:$I$89,3,0)*0.475*44/12</f>
        <v>6.0535212597149615</v>
      </c>
      <c r="AB120" s="21">
        <f>EXP(-LN(2)/2)*AB119+(1-EXP(-LN(2)/2))/(LN(2)/2)*V120*Y120*VLOOKUP('Données projet'!$B$9,Paramètres!$A$1:$I$89,3,0)*0.475*44/12</f>
        <v>4.1250525630111254E-11</v>
      </c>
      <c r="AC120" s="22">
        <f t="shared" si="57"/>
        <v>19.359945808744271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39.000000000000057</v>
      </c>
      <c r="AJ120" s="13">
        <f>AI120*VLOOKUP('Données projet'!$B$10,Paramètres!$A$1:$I$89,3,0)*VLOOKUP('Données projet'!$B$10,Paramètres!$A$1:$I$89,5,0)</f>
        <v>34.070400000000056</v>
      </c>
      <c r="AK120" s="13">
        <f t="shared" si="89"/>
        <v>10.412633617059328</v>
      </c>
      <c r="AL120" s="20">
        <f t="shared" si="58"/>
        <v>77.474616883045101</v>
      </c>
      <c r="AM120" s="59">
        <f t="shared" si="59"/>
        <v>370.8079502163784</v>
      </c>
      <c r="AN120" s="59">
        <f ca="1">AVERAGE(OFFSET($AM$3,0,0,'Données projet'!$E$10+1,1))-AVERAGE(OFFSET($H$3,0,0,'Données projet'!$E$10+1,1))</f>
        <v>260.53994021583316</v>
      </c>
      <c r="AO120" s="59">
        <f t="shared" si="90"/>
        <v>669.20238852709122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2.3825714569740142E-11</v>
      </c>
      <c r="AX120" s="21">
        <f t="shared" si="60"/>
        <v>2.3825714569740142E-11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291.89999999999992</v>
      </c>
      <c r="BE120" s="13">
        <f>BD120*VLOOKUP('Données projet'!$B$11,Paramètres!$A$1:$I$89,3,0)*VLOOKUP('Données projet'!$B$11,Paramètres!$A$1:$I$89,5,0)</f>
        <v>295.98659999999995</v>
      </c>
      <c r="BF120" s="13">
        <f t="shared" si="91"/>
        <v>70.334442310004732</v>
      </c>
      <c r="BG120" s="20">
        <f t="shared" si="61"/>
        <v>638.00914868992481</v>
      </c>
      <c r="BH120" s="59">
        <f t="shared" si="62"/>
        <v>931.34248202325807</v>
      </c>
      <c r="BI120" s="59">
        <f ca="1">AVERAGE(OFFSET($BH$3,0,0,'Données projet'!$E$11+1,1))-AVERAGE(OFFSET($H$3,0,0,'Données projet'!$E$11+1,1))</f>
        <v>279.20364724206644</v>
      </c>
      <c r="BJ120" s="59">
        <f t="shared" si="92"/>
        <v>173.99850582760712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0.31195631709003102</v>
      </c>
      <c r="BR120" s="21">
        <f>EXP(-LN(2)/2)*BR119+(1-EXP(-LN(2)/2))/(LN(2)/2)*BL120*BO120*VLOOKUP('Données projet'!$B$11,Paramètres!$A$1:$I$89,3,0)*0.475*44/12</f>
        <v>5.5760343867724263E-13</v>
      </c>
      <c r="BS120" s="22">
        <f t="shared" si="63"/>
        <v>0.31195631709058863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291.89999999999992</v>
      </c>
      <c r="BZ120" s="13">
        <f>BY120*VLOOKUP('Données projet'!$B$12,Paramètres!$A$1:$I$89,3,0)*VLOOKUP('Données projet'!$B$12,Paramètres!$A$1:$I$89,5,0)</f>
        <v>332.41571999999991</v>
      </c>
      <c r="CA120" s="13">
        <f t="shared" si="93"/>
        <v>77.930934759430386</v>
      </c>
      <c r="CB120" s="20">
        <f t="shared" si="64"/>
        <v>714.68709037267445</v>
      </c>
      <c r="CC120" s="59">
        <f t="shared" si="65"/>
        <v>1008.0204237060077</v>
      </c>
      <c r="CD120" s="59">
        <f ca="1">AVERAGE(OFFSET($CC$3,0,0,'Données projet'!$E$12+1,1))-AVERAGE(OFFSET($H$3,0,0,'Données projet'!$E$12+1,1))</f>
        <v>327.06866218660838</v>
      </c>
      <c r="CE120" s="59">
        <f t="shared" si="94"/>
        <v>202.18198935334908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0.35035094073188078</v>
      </c>
      <c r="CM120" s="21">
        <f>EXP(-LN(2)/2)*CM119+(1-EXP(-LN(2)/2))/(LN(2)/2)*CG120*CJ120*VLOOKUP('Données projet'!$B$12,Paramètres!$A$1:$I$89,3,0)*0.475*44/12</f>
        <v>6.2623155420675366E-13</v>
      </c>
      <c r="CN120" s="22">
        <f t="shared" si="66"/>
        <v>0.350350940732507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-5.1159076974727213E-13</v>
      </c>
      <c r="CU120" s="17">
        <f>CT120*VLOOKUP('Données projet'!$B$13,Paramètres!$A$1:$I$89,3,0)*VLOOKUP('Données projet'!$B$13,Paramètres!$A$1:$I$89,5,0)</f>
        <v>-4.1500243241898714E-13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266.72672633301022</v>
      </c>
      <c r="CZ120" s="59">
        <f t="shared" si="96"/>
        <v>314.26991662544219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0.48191116399757561</v>
      </c>
      <c r="DG120" s="21">
        <f>EXP(-LN(2)/25)*DG119+(1-EXP(-LN(2)/25))/(LN(2)/25)*Calculateur!DB120*Calculateur!DD120*VLOOKUP('Données projet'!$B$13,Paramètres!$A$1:$I$89,3,0)*0.475*44/12</f>
        <v>1.5212840673383483</v>
      </c>
      <c r="DH120" s="21">
        <f>EXP(-LN(2)/2)*DH119+(1-EXP(-LN(2)/2))/(LN(2)/2)*DB120*DE120*VLOOKUP('Données projet'!$B$13,Paramètres!$A$1:$I$89,3,0)*0.475*44/12</f>
        <v>1.970359047532775E-12</v>
      </c>
      <c r="DI120" s="22">
        <f t="shared" si="69"/>
        <v>2.0031952313378945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-5.6843418860808015E-14</v>
      </c>
      <c r="DP120" s="17">
        <f>DO120*VLOOKUP('Données projet'!$B$14,Paramètres!$A$1:$I$89,3,0)*VLOOKUP('Données projet'!$B$14,Paramètres!$A$1:$I$89,5,0)</f>
        <v>-6.1186256061773749E-14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442.54137223086991</v>
      </c>
      <c r="DU120" s="59">
        <f t="shared" si="98"/>
        <v>454.23406186660714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0.35627003909820776</v>
      </c>
      <c r="EB120" s="21">
        <f>EXP(-LN(2)/25)*EB119+(1-EXP(-LN(2)/25))/(LN(2)/25)*Calculateur!DW120*Calculateur!DY120*VLOOKUP('Données projet'!$B$14,Paramètres!$A$1:$I$89,3,0)*0.475*44/12</f>
        <v>1.0352795796018675</v>
      </c>
      <c r="EC120" s="21">
        <f>EXP(-LN(2)/2)*EC119+(1-EXP(-LN(2)/2))/(LN(2)/2)*DW120*DZ120*VLOOKUP('Données projet'!$B$14,Paramètres!$A$1:$I$89,3,0)*0.475*44/12</f>
        <v>1.450070297856933E-12</v>
      </c>
      <c r="ED120" s="22">
        <f t="shared" si="72"/>
        <v>1.3915496187015253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201.49055911472067</v>
      </c>
      <c r="T121" s="59">
        <f t="shared" si="88"/>
        <v>403.37692064114719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13.045493679699979</v>
      </c>
      <c r="AA121" s="21">
        <f>EXP(-LN(2)/25)*AA120+(1-EXP(-LN(2)/25))/(LN(2)/25)*Calculateur!V121*Calculateur!X121*VLOOKUP('Données projet'!$B$9,Paramètres!$A$1:$I$89,3,0)*0.475*44/12</f>
        <v>5.8879874025272079</v>
      </c>
      <c r="AB121" s="21">
        <f>EXP(-LN(2)/2)*AB120+(1-EXP(-LN(2)/2))/(LN(2)/2)*V121*Y121*VLOOKUP('Données projet'!$B$9,Paramètres!$A$1:$I$89,3,0)*0.475*44/12</f>
        <v>2.9168526400561149E-11</v>
      </c>
      <c r="AC121" s="22">
        <f t="shared" si="57"/>
        <v>18.933481082256353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39.000000000000057</v>
      </c>
      <c r="AJ121" s="13">
        <f>AI121*VLOOKUP('Données projet'!$B$10,Paramètres!$A$1:$I$89,3,0)*VLOOKUP('Données projet'!$B$10,Paramètres!$A$1:$I$89,5,0)</f>
        <v>34.070400000000056</v>
      </c>
      <c r="AK121" s="13">
        <f t="shared" si="89"/>
        <v>10.412633617059328</v>
      </c>
      <c r="AL121" s="20">
        <f t="shared" si="58"/>
        <v>77.474616883045101</v>
      </c>
      <c r="AM121" s="59">
        <f t="shared" si="59"/>
        <v>370.8079502163784</v>
      </c>
      <c r="AN121" s="59">
        <f ca="1">AVERAGE(OFFSET($AM$3,0,0,'Données projet'!$E$10+1,1))-AVERAGE(OFFSET($H$3,0,0,'Données projet'!$E$10+1,1))</f>
        <v>260.53994021583316</v>
      </c>
      <c r="AO121" s="59">
        <f t="shared" si="90"/>
        <v>669.20238852709122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1.6847324338878379E-11</v>
      </c>
      <c r="AX121" s="21">
        <f t="shared" si="60"/>
        <v>1.6847324338878379E-11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295.59999999999991</v>
      </c>
      <c r="BE121" s="13">
        <f>BD121*VLOOKUP('Données projet'!$B$11,Paramètres!$A$1:$I$89,3,0)*VLOOKUP('Données projet'!$B$11,Paramètres!$A$1:$I$89,5,0)</f>
        <v>299.73839999999996</v>
      </c>
      <c r="BF121" s="13">
        <f t="shared" si="91"/>
        <v>71.12161928339448</v>
      </c>
      <c r="BG121" s="20">
        <f t="shared" si="61"/>
        <v>645.91453358524529</v>
      </c>
      <c r="BH121" s="59">
        <f t="shared" si="62"/>
        <v>939.24786691857867</v>
      </c>
      <c r="BI121" s="59">
        <f ca="1">AVERAGE(OFFSET($BH$3,0,0,'Données projet'!$E$11+1,1))-AVERAGE(OFFSET($H$3,0,0,'Données projet'!$E$11+1,1))</f>
        <v>279.20364724206644</v>
      </c>
      <c r="BJ121" s="59">
        <f t="shared" si="92"/>
        <v>173.99850582760712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0.3034258551941344</v>
      </c>
      <c r="BR121" s="21">
        <f>EXP(-LN(2)/2)*BR120+(1-EXP(-LN(2)/2))/(LN(2)/2)*BL121*BO121*VLOOKUP('Données projet'!$B$11,Paramètres!$A$1:$I$89,3,0)*0.475*44/12</f>
        <v>3.9428517270161548E-13</v>
      </c>
      <c r="BS121" s="22">
        <f t="shared" si="63"/>
        <v>0.30342585519452869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295.59999999999991</v>
      </c>
      <c r="BZ121" s="13">
        <f>BY121*VLOOKUP('Données projet'!$B$12,Paramètres!$A$1:$I$89,3,0)*VLOOKUP('Données projet'!$B$12,Paramètres!$A$1:$I$89,5,0)</f>
        <v>336.62927999999988</v>
      </c>
      <c r="CA121" s="13">
        <f t="shared" si="93"/>
        <v>78.803131016947759</v>
      </c>
      <c r="CB121" s="20">
        <f t="shared" si="64"/>
        <v>723.54478252118372</v>
      </c>
      <c r="CC121" s="59">
        <f t="shared" si="65"/>
        <v>1016.8781158545171</v>
      </c>
      <c r="CD121" s="59">
        <f ca="1">AVERAGE(OFFSET($CC$3,0,0,'Données projet'!$E$12+1,1))-AVERAGE(OFFSET($H$3,0,0,'Données projet'!$E$12+1,1))</f>
        <v>327.06866218660838</v>
      </c>
      <c r="CE121" s="59">
        <f t="shared" si="94"/>
        <v>202.18198935334908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0.34077057583341225</v>
      </c>
      <c r="CM121" s="21">
        <f>EXP(-LN(2)/2)*CM120+(1-EXP(-LN(2)/2))/(LN(2)/2)*CG121*CJ121*VLOOKUP('Données projet'!$B$12,Paramètres!$A$1:$I$89,3,0)*0.475*44/12</f>
        <v>4.4281257857258658E-13</v>
      </c>
      <c r="CN121" s="22">
        <f t="shared" si="66"/>
        <v>0.34077057583385506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-5.1159076974727213E-13</v>
      </c>
      <c r="CU121" s="17">
        <f>CT121*VLOOKUP('Données projet'!$B$13,Paramètres!$A$1:$I$89,3,0)*VLOOKUP('Données projet'!$B$13,Paramètres!$A$1:$I$89,5,0)</f>
        <v>-4.1500243241898714E-13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266.72672633301022</v>
      </c>
      <c r="CZ121" s="59">
        <f t="shared" si="96"/>
        <v>314.26991662544219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0.47246118000836934</v>
      </c>
      <c r="DG121" s="21">
        <f>EXP(-LN(2)/25)*DG120+(1-EXP(-LN(2)/25))/(LN(2)/25)*Calculateur!DB121*Calculateur!DD121*VLOOKUP('Données projet'!$B$13,Paramètres!$A$1:$I$89,3,0)*0.475*44/12</f>
        <v>1.4796844745161291</v>
      </c>
      <c r="DH121" s="21">
        <f>EXP(-LN(2)/2)*DH120+(1-EXP(-LN(2)/2))/(LN(2)/2)*DB121*DE121*VLOOKUP('Données projet'!$B$13,Paramètres!$A$1:$I$89,3,0)*0.475*44/12</f>
        <v>1.3932542438826922E-12</v>
      </c>
      <c r="DI121" s="22">
        <f t="shared" si="69"/>
        <v>1.9521456545258917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-5.6843418860808015E-14</v>
      </c>
      <c r="DP121" s="17">
        <f>DO121*VLOOKUP('Données projet'!$B$14,Paramètres!$A$1:$I$89,3,0)*VLOOKUP('Données projet'!$B$14,Paramètres!$A$1:$I$89,5,0)</f>
        <v>-6.1186256061773749E-14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442.54137223086991</v>
      </c>
      <c r="DU121" s="59">
        <f t="shared" si="98"/>
        <v>454.23406186660714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0.34928380093475886</v>
      </c>
      <c r="EB121" s="21">
        <f>EXP(-LN(2)/25)*EB120+(1-EXP(-LN(2)/25))/(LN(2)/25)*Calculateur!DW121*Calculateur!DY121*VLOOKUP('Données projet'!$B$14,Paramètres!$A$1:$I$89,3,0)*0.475*44/12</f>
        <v>1.0069698050546674</v>
      </c>
      <c r="EC121" s="21">
        <f>EXP(-LN(2)/2)*EC120+(1-EXP(-LN(2)/2))/(LN(2)/2)*DW121*DZ121*VLOOKUP('Données projet'!$B$14,Paramètres!$A$1:$I$89,3,0)*0.475*44/12</f>
        <v>1.0253545408118341E-12</v>
      </c>
      <c r="ED121" s="22">
        <f t="shared" si="72"/>
        <v>1.3562536059904517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201.49055911472067</v>
      </c>
      <c r="T122" s="59">
        <f t="shared" si="88"/>
        <v>403.37692064114719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12.789679505606522</v>
      </c>
      <c r="AA122" s="21">
        <f>EXP(-LN(2)/25)*AA121+(1-EXP(-LN(2)/25))/(LN(2)/25)*Calculateur!V122*Calculateur!X122*VLOOKUP('Données projet'!$B$9,Paramètres!$A$1:$I$89,3,0)*0.475*44/12</f>
        <v>5.7269800773693014</v>
      </c>
      <c r="AB122" s="21">
        <f>EXP(-LN(2)/2)*AB121+(1-EXP(-LN(2)/2))/(LN(2)/2)*V122*Y122*VLOOKUP('Données projet'!$B$9,Paramètres!$A$1:$I$89,3,0)*0.475*44/12</f>
        <v>2.0625262815055627E-11</v>
      </c>
      <c r="AC122" s="22">
        <f t="shared" si="57"/>
        <v>18.516659582996446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39.000000000000057</v>
      </c>
      <c r="AJ122" s="13">
        <f>AI122*VLOOKUP('Données projet'!$B$10,Paramètres!$A$1:$I$89,3,0)*VLOOKUP('Données projet'!$B$10,Paramètres!$A$1:$I$89,5,0)</f>
        <v>34.070400000000056</v>
      </c>
      <c r="AK122" s="13">
        <f t="shared" si="89"/>
        <v>10.412633617059328</v>
      </c>
      <c r="AL122" s="20">
        <f t="shared" si="58"/>
        <v>77.474616883045101</v>
      </c>
      <c r="AM122" s="59">
        <f t="shared" si="59"/>
        <v>370.8079502163784</v>
      </c>
      <c r="AN122" s="59">
        <f ca="1">AVERAGE(OFFSET($AM$3,0,0,'Données projet'!$E$10+1,1))-AVERAGE(OFFSET($H$3,0,0,'Données projet'!$E$10+1,1))</f>
        <v>260.53994021583316</v>
      </c>
      <c r="AO122" s="59">
        <f t="shared" si="90"/>
        <v>669.20238852709122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1.1912857284870071E-11</v>
      </c>
      <c r="AX122" s="21">
        <f t="shared" si="60"/>
        <v>1.1912857284870071E-11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299.2999999999999</v>
      </c>
      <c r="BE122" s="13">
        <f>BD122*VLOOKUP('Données projet'!$B$11,Paramètres!$A$1:$I$89,3,0)*VLOOKUP('Données projet'!$B$11,Paramètres!$A$1:$I$89,5,0)</f>
        <v>303.4901999999999</v>
      </c>
      <c r="BF122" s="13">
        <f t="shared" si="91"/>
        <v>71.907650167874195</v>
      </c>
      <c r="BG122" s="20">
        <f t="shared" si="61"/>
        <v>653.81792237571403</v>
      </c>
      <c r="BH122" s="59">
        <f t="shared" si="62"/>
        <v>947.15125570904729</v>
      </c>
      <c r="BI122" s="59">
        <f ca="1">AVERAGE(OFFSET($BH$3,0,0,'Données projet'!$E$11+1,1))-AVERAGE(OFFSET($H$3,0,0,'Données projet'!$E$11+1,1))</f>
        <v>279.20364724206644</v>
      </c>
      <c r="BJ122" s="59">
        <f t="shared" si="92"/>
        <v>173.99850582760712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0.29512865922737858</v>
      </c>
      <c r="BR122" s="21">
        <f>EXP(-LN(2)/2)*BR121+(1-EXP(-LN(2)/2))/(LN(2)/2)*BL122*BO122*VLOOKUP('Données projet'!$B$11,Paramètres!$A$1:$I$89,3,0)*0.475*44/12</f>
        <v>2.7880171933862132E-13</v>
      </c>
      <c r="BS122" s="22">
        <f t="shared" si="63"/>
        <v>0.29512865922765735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299.2999999999999</v>
      </c>
      <c r="BZ122" s="13">
        <f>BY122*VLOOKUP('Données projet'!$B$12,Paramètres!$A$1:$I$89,3,0)*VLOOKUP('Données projet'!$B$12,Paramètres!$A$1:$I$89,5,0)</f>
        <v>340.84283999999991</v>
      </c>
      <c r="CA122" s="13">
        <f t="shared" si="93"/>
        <v>79.674057401880191</v>
      </c>
      <c r="CB122" s="20">
        <f t="shared" si="64"/>
        <v>732.40026297494114</v>
      </c>
      <c r="CC122" s="59">
        <f t="shared" si="65"/>
        <v>1025.7335963082744</v>
      </c>
      <c r="CD122" s="59">
        <f ca="1">AVERAGE(OFFSET($CC$3,0,0,'Données projet'!$E$12+1,1))-AVERAGE(OFFSET($H$3,0,0,'Données projet'!$E$12+1,1))</f>
        <v>327.06866218660838</v>
      </c>
      <c r="CE122" s="59">
        <f t="shared" si="94"/>
        <v>202.18198935334908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0.33145218651690184</v>
      </c>
      <c r="CM122" s="21">
        <f>EXP(-LN(2)/2)*CM121+(1-EXP(-LN(2)/2))/(LN(2)/2)*CG122*CJ122*VLOOKUP('Données projet'!$B$12,Paramètres!$A$1:$I$89,3,0)*0.475*44/12</f>
        <v>3.1311577710337688E-13</v>
      </c>
      <c r="CN122" s="22">
        <f t="shared" si="66"/>
        <v>0.33145218651721498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-5.1159076974727213E-13</v>
      </c>
      <c r="CU122" s="17">
        <f>CT122*VLOOKUP('Données projet'!$B$13,Paramètres!$A$1:$I$89,3,0)*VLOOKUP('Données projet'!$B$13,Paramètres!$A$1:$I$89,5,0)</f>
        <v>-4.1500243241898714E-13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266.72672633301022</v>
      </c>
      <c r="CZ122" s="59">
        <f t="shared" si="96"/>
        <v>314.26991662544219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0.46319650444127031</v>
      </c>
      <c r="DG122" s="21">
        <f>EXP(-LN(2)/25)*DG121+(1-EXP(-LN(2)/25))/(LN(2)/25)*Calculateur!DB122*Calculateur!DD122*VLOOKUP('Données projet'!$B$13,Paramètres!$A$1:$I$89,3,0)*0.475*44/12</f>
        <v>1.4392224247472609</v>
      </c>
      <c r="DH122" s="21">
        <f>EXP(-LN(2)/2)*DH121+(1-EXP(-LN(2)/2))/(LN(2)/2)*DB122*DE122*VLOOKUP('Données projet'!$B$13,Paramètres!$A$1:$I$89,3,0)*0.475*44/12</f>
        <v>9.8517952376638752E-13</v>
      </c>
      <c r="DI122" s="22">
        <f t="shared" si="69"/>
        <v>1.9024189291895164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-5.6843418860808015E-14</v>
      </c>
      <c r="DP122" s="17">
        <f>DO122*VLOOKUP('Données projet'!$B$14,Paramètres!$A$1:$I$89,3,0)*VLOOKUP('Données projet'!$B$14,Paramètres!$A$1:$I$89,5,0)</f>
        <v>-6.1186256061773749E-14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442.54137223086991</v>
      </c>
      <c r="DU122" s="59">
        <f t="shared" si="98"/>
        <v>454.23406186660714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0.34243455864051064</v>
      </c>
      <c r="EB122" s="21">
        <f>EXP(-LN(2)/25)*EB121+(1-EXP(-LN(2)/25))/(LN(2)/25)*Calculateur!DW122*Calculateur!DY122*VLOOKUP('Données projet'!$B$14,Paramètres!$A$1:$I$89,3,0)*0.475*44/12</f>
        <v>0.97943416278120687</v>
      </c>
      <c r="EC122" s="21">
        <f>EXP(-LN(2)/2)*EC121+(1-EXP(-LN(2)/2))/(LN(2)/2)*DW122*DZ122*VLOOKUP('Données projet'!$B$14,Paramètres!$A$1:$I$89,3,0)*0.475*44/12</f>
        <v>7.2503514892846651E-13</v>
      </c>
      <c r="ED122" s="22">
        <f t="shared" si="72"/>
        <v>1.3218687214224425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201.49055911472067</v>
      </c>
      <c r="T123" s="59">
        <f t="shared" si="88"/>
        <v>403.37692064114719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12.538881691435797</v>
      </c>
      <c r="AA123" s="21">
        <f>EXP(-LN(2)/25)*AA122+(1-EXP(-LN(2)/25))/(LN(2)/25)*Calculateur!V123*Calculateur!X123*VLOOKUP('Données projet'!$B$9,Paramètres!$A$1:$I$89,3,0)*0.475*44/12</f>
        <v>5.5703755059848445</v>
      </c>
      <c r="AB123" s="21">
        <f>EXP(-LN(2)/2)*AB122+(1-EXP(-LN(2)/2))/(LN(2)/2)*V123*Y123*VLOOKUP('Données projet'!$B$9,Paramètres!$A$1:$I$89,3,0)*0.475*44/12</f>
        <v>1.4584263200280574E-11</v>
      </c>
      <c r="AC123" s="22">
        <f t="shared" si="57"/>
        <v>18.109257197435227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39.000000000000057</v>
      </c>
      <c r="AJ123" s="13">
        <f>AI123*VLOOKUP('Données projet'!$B$10,Paramètres!$A$1:$I$89,3,0)*VLOOKUP('Données projet'!$B$10,Paramètres!$A$1:$I$89,5,0)</f>
        <v>34.070400000000056</v>
      </c>
      <c r="AK123" s="13">
        <f t="shared" si="89"/>
        <v>10.412633617059328</v>
      </c>
      <c r="AL123" s="20">
        <f t="shared" si="58"/>
        <v>77.474616883045101</v>
      </c>
      <c r="AM123" s="59">
        <f t="shared" si="59"/>
        <v>370.8079502163784</v>
      </c>
      <c r="AN123" s="59">
        <f ca="1">AVERAGE(OFFSET($AM$3,0,0,'Données projet'!$E$10+1,1))-AVERAGE(OFFSET($H$3,0,0,'Données projet'!$E$10+1,1))</f>
        <v>260.53994021583316</v>
      </c>
      <c r="AO123" s="59">
        <f t="shared" si="90"/>
        <v>669.20238852709122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8.4236621694391896E-12</v>
      </c>
      <c r="AX123" s="21">
        <f t="shared" si="60"/>
        <v>8.4236621694391896E-12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303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302.99999999999989</v>
      </c>
      <c r="BE123" s="13">
        <f>BD123*VLOOKUP('Données projet'!$B$11,Paramètres!$A$1:$I$89,3,0)*VLOOKUP('Données projet'!$B$11,Paramètres!$A$1:$I$89,5,0)</f>
        <v>307.2419999999999</v>
      </c>
      <c r="BF123" s="13">
        <f t="shared" si="91"/>
        <v>72.692550770207774</v>
      </c>
      <c r="BG123" s="20">
        <f t="shared" si="61"/>
        <v>661.71934259144507</v>
      </c>
      <c r="BH123" s="59">
        <f t="shared" si="62"/>
        <v>955.05267592477844</v>
      </c>
      <c r="BI123" s="59">
        <f ca="1">AVERAGE(OFFSET($BH$3,0,0,'Données projet'!$E$11+1,1))-AVERAGE(OFFSET($H$3,0,0,'Données projet'!$E$11+1,1))</f>
        <v>279.20364724206644</v>
      </c>
      <c r="BJ123" s="59">
        <f t="shared" si="92"/>
        <v>173.99850582760712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303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0.28705835052066425</v>
      </c>
      <c r="BR123" s="21">
        <f>EXP(-LN(2)/2)*BR122+(1-EXP(-LN(2)/2))/(LN(2)/2)*BL123*BO123*VLOOKUP('Données projet'!$B$11,Paramètres!$A$1:$I$89,3,0)*0.475*44/12</f>
        <v>1.9714258635080774E-13</v>
      </c>
      <c r="BS123" s="22">
        <f t="shared" si="63"/>
        <v>0.28705835052086137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302.99999999999989</v>
      </c>
      <c r="BZ123" s="13">
        <f>BY123*VLOOKUP('Données projet'!$B$12,Paramètres!$A$1:$I$89,3,0)*VLOOKUP('Données projet'!$B$12,Paramètres!$A$1:$I$89,5,0)</f>
        <v>345.05639999999988</v>
      </c>
      <c r="CA123" s="13">
        <f t="shared" si="93"/>
        <v>80.543731428205618</v>
      </c>
      <c r="CB123" s="20">
        <f t="shared" si="64"/>
        <v>741.25356223745791</v>
      </c>
      <c r="CC123" s="59">
        <f t="shared" si="65"/>
        <v>1034.5868955707913</v>
      </c>
      <c r="CD123" s="59">
        <f ca="1">AVERAGE(OFFSET($CC$3,0,0,'Données projet'!$E$12+1,1))-AVERAGE(OFFSET($H$3,0,0,'Données projet'!$E$12+1,1))</f>
        <v>327.06866218660838</v>
      </c>
      <c r="CE123" s="59">
        <f t="shared" si="94"/>
        <v>202.18198935334908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303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0.32238860904628419</v>
      </c>
      <c r="CM123" s="21">
        <f>EXP(-LN(2)/2)*CM122+(1-EXP(-LN(2)/2))/(LN(2)/2)*CG123*CJ123*VLOOKUP('Données projet'!$B$12,Paramètres!$A$1:$I$89,3,0)*0.475*44/12</f>
        <v>2.2140628928629332E-13</v>
      </c>
      <c r="CN123" s="22">
        <f t="shared" si="66"/>
        <v>0.32238860904650563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-5.1159076974727213E-13</v>
      </c>
      <c r="CU123" s="17">
        <f>CT123*VLOOKUP('Données projet'!$B$13,Paramètres!$A$1:$I$89,3,0)*VLOOKUP('Données projet'!$B$13,Paramètres!$A$1:$I$89,5,0)</f>
        <v>-4.1500243241898714E-13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266.72672633301022</v>
      </c>
      <c r="CZ123" s="59">
        <f t="shared" si="96"/>
        <v>314.26991662544219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0.45411350351114799</v>
      </c>
      <c r="DG123" s="21">
        <f>EXP(-LN(2)/25)*DG122+(1-EXP(-LN(2)/25))/(LN(2)/25)*Calculateur!DB123*Calculateur!DD123*VLOOKUP('Données projet'!$B$13,Paramètres!$A$1:$I$89,3,0)*0.475*44/12</f>
        <v>1.3998668118571291</v>
      </c>
      <c r="DH123" s="21">
        <f>EXP(-LN(2)/2)*DH122+(1-EXP(-LN(2)/2))/(LN(2)/2)*DB123*DE123*VLOOKUP('Données projet'!$B$13,Paramètres!$A$1:$I$89,3,0)*0.475*44/12</f>
        <v>6.9662712194134609E-13</v>
      </c>
      <c r="DI123" s="22">
        <f t="shared" si="69"/>
        <v>1.8539803153689738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-5.6843418860808015E-14</v>
      </c>
      <c r="DP123" s="17">
        <f>DO123*VLOOKUP('Données projet'!$B$14,Paramètres!$A$1:$I$89,3,0)*VLOOKUP('Données projet'!$B$14,Paramètres!$A$1:$I$89,5,0)</f>
        <v>-6.1186256061773749E-14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442.54137223086991</v>
      </c>
      <c r="DU123" s="59">
        <f t="shared" si="98"/>
        <v>454.23406186660714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0.33571962581002734</v>
      </c>
      <c r="EB123" s="21">
        <f>EXP(-LN(2)/25)*EB122+(1-EXP(-LN(2)/25))/(LN(2)/25)*Calculateur!DW123*Calculateur!DY123*VLOOKUP('Données projet'!$B$14,Paramètres!$A$1:$I$89,3,0)*0.475*44/12</f>
        <v>0.95265148409375067</v>
      </c>
      <c r="EC123" s="21">
        <f>EXP(-LN(2)/2)*EC122+(1-EXP(-LN(2)/2))/(LN(2)/2)*DW123*DZ123*VLOOKUP('Données projet'!$B$14,Paramètres!$A$1:$I$89,3,0)*0.475*44/12</f>
        <v>5.1267727040591707E-13</v>
      </c>
      <c r="ED123" s="22">
        <f t="shared" si="72"/>
        <v>1.2883711099042907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201.49055911472067</v>
      </c>
      <c r="T124" s="59">
        <f t="shared" si="88"/>
        <v>403.37692064114719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12.2930018694294</v>
      </c>
      <c r="AA124" s="21">
        <f>EXP(-LN(2)/25)*AA123+(1-EXP(-LN(2)/25))/(LN(2)/25)*Calculateur!V124*Calculateur!X124*VLOOKUP('Données projet'!$B$9,Paramètres!$A$1:$I$89,3,0)*0.475*44/12</f>
        <v>5.4180532948403721</v>
      </c>
      <c r="AB124" s="21">
        <f>EXP(-LN(2)/2)*AB123+(1-EXP(-LN(2)/2))/(LN(2)/2)*V124*Y124*VLOOKUP('Données projet'!$B$9,Paramètres!$A$1:$I$89,3,0)*0.475*44/12</f>
        <v>1.0312631407527814E-11</v>
      </c>
      <c r="AC124" s="22">
        <f t="shared" si="57"/>
        <v>17.711055164280086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39.000000000000057</v>
      </c>
      <c r="AJ124" s="13">
        <f>AI124*VLOOKUP('Données projet'!$B$10,Paramètres!$A$1:$I$89,3,0)*VLOOKUP('Données projet'!$B$10,Paramètres!$A$1:$I$89,5,0)</f>
        <v>34.070400000000056</v>
      </c>
      <c r="AK124" s="13">
        <f t="shared" si="89"/>
        <v>10.412633617059328</v>
      </c>
      <c r="AL124" s="20">
        <f t="shared" si="58"/>
        <v>77.474616883045101</v>
      </c>
      <c r="AM124" s="59">
        <f t="shared" si="59"/>
        <v>370.8079502163784</v>
      </c>
      <c r="AN124" s="59">
        <f ca="1">AVERAGE(OFFSET($AM$3,0,0,'Données projet'!$E$10+1,1))-AVERAGE(OFFSET($H$3,0,0,'Données projet'!$E$10+1,1))</f>
        <v>260.53994021583316</v>
      </c>
      <c r="AO124" s="59">
        <f t="shared" si="90"/>
        <v>669.20238852709122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5.9564286424350354E-12</v>
      </c>
      <c r="AX124" s="21">
        <f t="shared" si="60"/>
        <v>5.9564286424350354E-12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-1.1527845344971866E-13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279.20364724206644</v>
      </c>
      <c r="BJ124" s="59">
        <f t="shared" si="92"/>
        <v>173.99850582760712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0.27920872482993414</v>
      </c>
      <c r="BR124" s="21">
        <f>EXP(-LN(2)/2)*BR123+(1-EXP(-LN(2)/2))/(LN(2)/2)*BL124*BO124*VLOOKUP('Données projet'!$B$11,Paramètres!$A$1:$I$89,3,0)*0.475*44/12</f>
        <v>1.3940085966931066E-13</v>
      </c>
      <c r="BS124" s="22">
        <f t="shared" si="63"/>
        <v>0.27920872483007353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-1.2946657079737634E-13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327.06866218660838</v>
      </c>
      <c r="CE124" s="59">
        <f t="shared" si="94"/>
        <v>202.18198935334908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0.31357287557823343</v>
      </c>
      <c r="CM124" s="21">
        <f>EXP(-LN(2)/2)*CM123+(1-EXP(-LN(2)/2))/(LN(2)/2)*CG124*CJ124*VLOOKUP('Données projet'!$B$12,Paramètres!$A$1:$I$89,3,0)*0.475*44/12</f>
        <v>1.5655788855168847E-13</v>
      </c>
      <c r="CN124" s="22">
        <f t="shared" si="66"/>
        <v>0.31357287557838998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-5.1159076974727213E-13</v>
      </c>
      <c r="CU124" s="17">
        <f>CT124*VLOOKUP('Données projet'!$B$13,Paramètres!$A$1:$I$89,3,0)*VLOOKUP('Données projet'!$B$13,Paramètres!$A$1:$I$89,5,0)</f>
        <v>-4.1500243241898714E-13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266.72672633301022</v>
      </c>
      <c r="CZ124" s="59">
        <f t="shared" si="96"/>
        <v>314.26991662544219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0.44520861468918183</v>
      </c>
      <c r="DG124" s="21">
        <f>EXP(-LN(2)/25)*DG123+(1-EXP(-LN(2)/25))/(LN(2)/25)*Calculateur!DB124*Calculateur!DD124*VLOOKUP('Données projet'!$B$13,Paramètres!$A$1:$I$89,3,0)*0.475*44/12</f>
        <v>1.3615873802710998</v>
      </c>
      <c r="DH124" s="21">
        <f>EXP(-LN(2)/2)*DH123+(1-EXP(-LN(2)/2))/(LN(2)/2)*DB124*DE124*VLOOKUP('Données projet'!$B$13,Paramètres!$A$1:$I$89,3,0)*0.475*44/12</f>
        <v>4.9258976188319376E-13</v>
      </c>
      <c r="DI124" s="22">
        <f t="shared" si="69"/>
        <v>1.8067959949607741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-5.6843418860808015E-14</v>
      </c>
      <c r="DP124" s="17">
        <f>DO124*VLOOKUP('Données projet'!$B$14,Paramètres!$A$1:$I$89,3,0)*VLOOKUP('Données projet'!$B$14,Paramètres!$A$1:$I$89,5,0)</f>
        <v>-6.1186256061773749E-14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442.54137223086991</v>
      </c>
      <c r="DU124" s="59">
        <f t="shared" si="98"/>
        <v>454.23406186660714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0.3291363687166452</v>
      </c>
      <c r="EB124" s="21">
        <f>EXP(-LN(2)/25)*EB123+(1-EXP(-LN(2)/25))/(LN(2)/25)*Calculateur!DW124*Calculateur!DY124*VLOOKUP('Données projet'!$B$14,Paramètres!$A$1:$I$89,3,0)*0.475*44/12</f>
        <v>0.92660117916344287</v>
      </c>
      <c r="EC124" s="21">
        <f>EXP(-LN(2)/2)*EC123+(1-EXP(-LN(2)/2))/(LN(2)/2)*DW124*DZ124*VLOOKUP('Données projet'!$B$14,Paramètres!$A$1:$I$89,3,0)*0.475*44/12</f>
        <v>3.6251757446423326E-13</v>
      </c>
      <c r="ED124" s="22">
        <f t="shared" si="72"/>
        <v>1.2557375478804507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201.49055911472067</v>
      </c>
      <c r="T125" s="59">
        <f t="shared" si="88"/>
        <v>403.37692064114719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12.051943600760664</v>
      </c>
      <c r="AA125" s="21">
        <f>EXP(-LN(2)/25)*AA124+(1-EXP(-LN(2)/25))/(LN(2)/25)*Calculateur!V125*Calculateur!X125*VLOOKUP('Données projet'!$B$9,Paramètres!$A$1:$I$89,3,0)*0.475*44/12</f>
        <v>5.2698963425699228</v>
      </c>
      <c r="AB125" s="21">
        <f>EXP(-LN(2)/2)*AB124+(1-EXP(-LN(2)/2))/(LN(2)/2)*V125*Y125*VLOOKUP('Données projet'!$B$9,Paramètres!$A$1:$I$89,3,0)*0.475*44/12</f>
        <v>7.2921316001402871E-12</v>
      </c>
      <c r="AC125" s="22">
        <f t="shared" si="57"/>
        <v>17.321839943337881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39.000000000000057</v>
      </c>
      <c r="AJ125" s="13">
        <f>AI125*VLOOKUP('Données projet'!$B$10,Paramètres!$A$1:$I$89,3,0)*VLOOKUP('Données projet'!$B$10,Paramètres!$A$1:$I$89,5,0)</f>
        <v>34.070400000000056</v>
      </c>
      <c r="AK125" s="13">
        <f t="shared" si="89"/>
        <v>10.412633617059328</v>
      </c>
      <c r="AL125" s="20">
        <f t="shared" si="58"/>
        <v>77.474616883045101</v>
      </c>
      <c r="AM125" s="59">
        <f t="shared" si="59"/>
        <v>370.8079502163784</v>
      </c>
      <c r="AN125" s="59">
        <f ca="1">AVERAGE(OFFSET($AM$3,0,0,'Données projet'!$E$10+1,1))-AVERAGE(OFFSET($H$3,0,0,'Données projet'!$E$10+1,1))</f>
        <v>260.53994021583316</v>
      </c>
      <c r="AO125" s="59">
        <f t="shared" si="90"/>
        <v>669.20238852709122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4.2118310847195948E-12</v>
      </c>
      <c r="AX125" s="21">
        <f t="shared" si="60"/>
        <v>4.2118310847195948E-12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-1.1527845344971866E-13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279.20364724206644</v>
      </c>
      <c r="BJ125" s="59">
        <f t="shared" si="92"/>
        <v>173.99850582760712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0.27157374756651087</v>
      </c>
      <c r="BR125" s="21">
        <f>EXP(-LN(2)/2)*BR124+(1-EXP(-LN(2)/2))/(LN(2)/2)*BL125*BO125*VLOOKUP('Données projet'!$B$11,Paramètres!$A$1:$I$89,3,0)*0.475*44/12</f>
        <v>9.857129317540387E-14</v>
      </c>
      <c r="BS125" s="22">
        <f t="shared" si="63"/>
        <v>0.27157374756660946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-1.2946657079737634E-13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327.06866218660838</v>
      </c>
      <c r="CE125" s="59">
        <f t="shared" si="94"/>
        <v>202.18198935334908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0.3049982088054658</v>
      </c>
      <c r="CM125" s="21">
        <f>EXP(-LN(2)/2)*CM124+(1-EXP(-LN(2)/2))/(LN(2)/2)*CG125*CJ125*VLOOKUP('Données projet'!$B$12,Paramètres!$A$1:$I$89,3,0)*0.475*44/12</f>
        <v>1.1070314464314667E-13</v>
      </c>
      <c r="CN125" s="22">
        <f t="shared" si="66"/>
        <v>0.30499820880557649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-5.1159076974727213E-13</v>
      </c>
      <c r="CU125" s="17">
        <f>CT125*VLOOKUP('Données projet'!$B$13,Paramètres!$A$1:$I$89,3,0)*VLOOKUP('Données projet'!$B$13,Paramètres!$A$1:$I$89,5,0)</f>
        <v>-4.1500243241898714E-13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266.72672633301022</v>
      </c>
      <c r="CZ125" s="59">
        <f t="shared" si="96"/>
        <v>314.26991662544219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0.43647834530556856</v>
      </c>
      <c r="DG125" s="21">
        <f>EXP(-LN(2)/25)*DG124+(1-EXP(-LN(2)/25))/(LN(2)/25)*Calculateur!DB125*Calculateur!DD125*VLOOKUP('Données projet'!$B$13,Paramètres!$A$1:$I$89,3,0)*0.475*44/12</f>
        <v>1.3243547017548183</v>
      </c>
      <c r="DH125" s="21">
        <f>EXP(-LN(2)/2)*DH124+(1-EXP(-LN(2)/2))/(LN(2)/2)*DB125*DE125*VLOOKUP('Données projet'!$B$13,Paramètres!$A$1:$I$89,3,0)*0.475*44/12</f>
        <v>3.4831356097067305E-13</v>
      </c>
      <c r="DI125" s="22">
        <f t="shared" si="69"/>
        <v>1.7608330470607352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-5.6843418860808015E-14</v>
      </c>
      <c r="DP125" s="17">
        <f>DO125*VLOOKUP('Données projet'!$B$14,Paramètres!$A$1:$I$89,3,0)*VLOOKUP('Données projet'!$B$14,Paramètres!$A$1:$I$89,5,0)</f>
        <v>-6.1186256061773749E-14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442.54137223086991</v>
      </c>
      <c r="DU125" s="59">
        <f t="shared" si="98"/>
        <v>454.23406186660714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0.32268220527947394</v>
      </c>
      <c r="EB125" s="21">
        <f>EXP(-LN(2)/25)*EB124+(1-EXP(-LN(2)/25))/(LN(2)/25)*Calculateur!DW125*Calculateur!DY125*VLOOKUP('Données projet'!$B$14,Paramètres!$A$1:$I$89,3,0)*0.475*44/12</f>
        <v>0.90126322119138025</v>
      </c>
      <c r="EC125" s="21">
        <f>EXP(-LN(2)/2)*EC124+(1-EXP(-LN(2)/2))/(LN(2)/2)*DW125*DZ125*VLOOKUP('Données projet'!$B$14,Paramètres!$A$1:$I$89,3,0)*0.475*44/12</f>
        <v>2.5633863520295853E-13</v>
      </c>
      <c r="ED125" s="22">
        <f t="shared" si="72"/>
        <v>1.2239454264711105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201.49055911472067</v>
      </c>
      <c r="T126" s="59">
        <f t="shared" si="88"/>
        <v>403.37692064114719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11.815612337709497</v>
      </c>
      <c r="AA126" s="21">
        <f>EXP(-LN(2)/25)*AA125+(1-EXP(-LN(2)/25))/(LN(2)/25)*Calculateur!V126*Calculateur!X126*VLOOKUP('Données projet'!$B$9,Paramètres!$A$1:$I$89,3,0)*0.475*44/12</f>
        <v>5.1257907499505437</v>
      </c>
      <c r="AB126" s="21">
        <f>EXP(-LN(2)/2)*AB125+(1-EXP(-LN(2)/2))/(LN(2)/2)*V126*Y126*VLOOKUP('Données projet'!$B$9,Paramètres!$A$1:$I$89,3,0)*0.475*44/12</f>
        <v>5.1563157037639068E-12</v>
      </c>
      <c r="AC126" s="22">
        <f t="shared" si="57"/>
        <v>16.941403087665197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39.000000000000057</v>
      </c>
      <c r="AJ126" s="13">
        <f>AI126*VLOOKUP('Données projet'!$B$10,Paramètres!$A$1:$I$89,3,0)*VLOOKUP('Données projet'!$B$10,Paramètres!$A$1:$I$89,5,0)</f>
        <v>34.070400000000056</v>
      </c>
      <c r="AK126" s="13">
        <f t="shared" si="89"/>
        <v>10.412633617059328</v>
      </c>
      <c r="AL126" s="20">
        <f t="shared" si="58"/>
        <v>77.474616883045101</v>
      </c>
      <c r="AM126" s="59">
        <f t="shared" si="59"/>
        <v>370.8079502163784</v>
      </c>
      <c r="AN126" s="59">
        <f ca="1">AVERAGE(OFFSET($AM$3,0,0,'Données projet'!$E$10+1,1))-AVERAGE(OFFSET($H$3,0,0,'Données projet'!$E$10+1,1))</f>
        <v>260.53994021583316</v>
      </c>
      <c r="AO126" s="59">
        <f t="shared" si="90"/>
        <v>669.20238852709122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2.9782143212175177E-12</v>
      </c>
      <c r="AX126" s="21">
        <f t="shared" si="60"/>
        <v>2.9782143212175177E-12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-1.1527845344971866E-13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279.20364724206644</v>
      </c>
      <c r="BJ126" s="59">
        <f t="shared" si="92"/>
        <v>173.99850582760712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0.26414754915786193</v>
      </c>
      <c r="BR126" s="21">
        <f>EXP(-LN(2)/2)*BR125+(1-EXP(-LN(2)/2))/(LN(2)/2)*BL126*BO126*VLOOKUP('Données projet'!$B$11,Paramètres!$A$1:$I$89,3,0)*0.475*44/12</f>
        <v>6.9700429834655329E-14</v>
      </c>
      <c r="BS126" s="22">
        <f t="shared" si="63"/>
        <v>0.26414754915793165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-1.2946657079737634E-13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327.06866218660838</v>
      </c>
      <c r="CE126" s="59">
        <f t="shared" si="94"/>
        <v>202.18198935334908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0.29665801674652159</v>
      </c>
      <c r="CM126" s="21">
        <f>EXP(-LN(2)/2)*CM125+(1-EXP(-LN(2)/2))/(LN(2)/2)*CG126*CJ126*VLOOKUP('Données projet'!$B$12,Paramètres!$A$1:$I$89,3,0)*0.475*44/12</f>
        <v>7.8278944275844246E-14</v>
      </c>
      <c r="CN126" s="22">
        <f t="shared" si="66"/>
        <v>0.29665801674659986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-5.1159076974727213E-13</v>
      </c>
      <c r="CU126" s="17">
        <f>CT126*VLOOKUP('Données projet'!$B$13,Paramètres!$A$1:$I$89,3,0)*VLOOKUP('Données projet'!$B$13,Paramètres!$A$1:$I$89,5,0)</f>
        <v>-4.1500243241898714E-13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266.72672633301022</v>
      </c>
      <c r="CZ126" s="59">
        <f t="shared" si="96"/>
        <v>314.26991662544219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0.42791927117962941</v>
      </c>
      <c r="DG126" s="21">
        <f>EXP(-LN(2)/25)*DG125+(1-EXP(-LN(2)/25))/(LN(2)/25)*Calculateur!DB126*Calculateur!DD126*VLOOKUP('Données projet'!$B$13,Paramètres!$A$1:$I$89,3,0)*0.475*44/12</f>
        <v>1.2881401527905458</v>
      </c>
      <c r="DH126" s="21">
        <f>EXP(-LN(2)/2)*DH125+(1-EXP(-LN(2)/2))/(LN(2)/2)*DB126*DE126*VLOOKUP('Données projet'!$B$13,Paramètres!$A$1:$I$89,3,0)*0.475*44/12</f>
        <v>2.4629488094159688E-13</v>
      </c>
      <c r="DI126" s="22">
        <f t="shared" si="69"/>
        <v>1.7160594239704214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-5.6843418860808015E-14</v>
      </c>
      <c r="DP126" s="17">
        <f>DO126*VLOOKUP('Données projet'!$B$14,Paramètres!$A$1:$I$89,3,0)*VLOOKUP('Données projet'!$B$14,Paramètres!$A$1:$I$89,5,0)</f>
        <v>-6.1186256061773749E-14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442.54137223086991</v>
      </c>
      <c r="DU126" s="59">
        <f t="shared" si="98"/>
        <v>454.23406186660714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0.31635460405065463</v>
      </c>
      <c r="EB126" s="21">
        <f>EXP(-LN(2)/25)*EB125+(1-EXP(-LN(2)/25))/(LN(2)/25)*Calculateur!DW126*Calculateur!DY126*VLOOKUP('Données projet'!$B$14,Paramètres!$A$1:$I$89,3,0)*0.475*44/12</f>
        <v>0.87661813101252906</v>
      </c>
      <c r="EC126" s="21">
        <f>EXP(-LN(2)/2)*EC125+(1-EXP(-LN(2)/2))/(LN(2)/2)*DW126*DZ126*VLOOKUP('Données projet'!$B$14,Paramètres!$A$1:$I$89,3,0)*0.475*44/12</f>
        <v>1.8125878723211663E-13</v>
      </c>
      <c r="ED126" s="22">
        <f t="shared" si="72"/>
        <v>1.192972735063365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201.49055911472067</v>
      </c>
      <c r="T127" s="59">
        <f t="shared" si="88"/>
        <v>403.37692064114719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11.583915386578926</v>
      </c>
      <c r="AA127" s="21">
        <f>EXP(-LN(2)/25)*AA126+(1-EXP(-LN(2)/25))/(LN(2)/25)*Calculateur!V127*Calculateur!X127*VLOOKUP('Données projet'!$B$9,Paramètres!$A$1:$I$89,3,0)*0.475*44/12</f>
        <v>4.9856257323395257</v>
      </c>
      <c r="AB127" s="21">
        <f>EXP(-LN(2)/2)*AB126+(1-EXP(-LN(2)/2))/(LN(2)/2)*V127*Y127*VLOOKUP('Données projet'!$B$9,Paramètres!$A$1:$I$89,3,0)*0.475*44/12</f>
        <v>3.6460658000701436E-12</v>
      </c>
      <c r="AC127" s="22">
        <f t="shared" si="57"/>
        <v>16.569541118922096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39.000000000000057</v>
      </c>
      <c r="AJ127" s="13">
        <f>AI127*VLOOKUP('Données projet'!$B$10,Paramètres!$A$1:$I$89,3,0)*VLOOKUP('Données projet'!$B$10,Paramètres!$A$1:$I$89,5,0)</f>
        <v>34.070400000000056</v>
      </c>
      <c r="AK127" s="13">
        <f t="shared" si="89"/>
        <v>10.412633617059328</v>
      </c>
      <c r="AL127" s="20">
        <f t="shared" si="58"/>
        <v>77.474616883045101</v>
      </c>
      <c r="AM127" s="59">
        <f t="shared" si="59"/>
        <v>370.8079502163784</v>
      </c>
      <c r="AN127" s="59">
        <f ca="1">AVERAGE(OFFSET($AM$3,0,0,'Données projet'!$E$10+1,1))-AVERAGE(OFFSET($H$3,0,0,'Données projet'!$E$10+1,1))</f>
        <v>260.53994021583316</v>
      </c>
      <c r="AO127" s="59">
        <f t="shared" si="90"/>
        <v>669.20238852709122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2.1059155423597974E-12</v>
      </c>
      <c r="AX127" s="21">
        <f t="shared" si="60"/>
        <v>2.1059155423597974E-12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-1.1527845344971866E-13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279.20364724206644</v>
      </c>
      <c r="BJ127" s="59">
        <f t="shared" si="92"/>
        <v>173.99850582760712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0.2569244205352243</v>
      </c>
      <c r="BR127" s="21">
        <f>EXP(-LN(2)/2)*BR126+(1-EXP(-LN(2)/2))/(LN(2)/2)*BL127*BO127*VLOOKUP('Données projet'!$B$11,Paramètres!$A$1:$I$89,3,0)*0.475*44/12</f>
        <v>4.9285646587701935E-14</v>
      </c>
      <c r="BS127" s="22">
        <f t="shared" si="63"/>
        <v>0.25692442053527359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-1.2946657079737634E-13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327.06866218660838</v>
      </c>
      <c r="CE127" s="59">
        <f t="shared" si="94"/>
        <v>202.18198935334908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0.28854588767802086</v>
      </c>
      <c r="CM127" s="21">
        <f>EXP(-LN(2)/2)*CM126+(1-EXP(-LN(2)/2))/(LN(2)/2)*CG127*CJ127*VLOOKUP('Données projet'!$B$12,Paramètres!$A$1:$I$89,3,0)*0.475*44/12</f>
        <v>5.5351572321573348E-14</v>
      </c>
      <c r="CN127" s="22">
        <f t="shared" si="66"/>
        <v>0.28854588767807621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-5.1159076974727213E-13</v>
      </c>
      <c r="CU127" s="17">
        <f>CT127*VLOOKUP('Données projet'!$B$13,Paramètres!$A$1:$I$89,3,0)*VLOOKUP('Données projet'!$B$13,Paramètres!$A$1:$I$89,5,0)</f>
        <v>-4.1500243241898714E-13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266.72672633301022</v>
      </c>
      <c r="CZ127" s="59">
        <f t="shared" si="96"/>
        <v>314.26991662544219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0.41952803527678018</v>
      </c>
      <c r="DG127" s="21">
        <f>EXP(-LN(2)/25)*DG126+(1-EXP(-LN(2)/25))/(LN(2)/25)*Calculateur!DB127*Calculateur!DD127*VLOOKUP('Données projet'!$B$13,Paramètres!$A$1:$I$89,3,0)*0.475*44/12</f>
        <v>1.2529158925721418</v>
      </c>
      <c r="DH127" s="21">
        <f>EXP(-LN(2)/2)*DH126+(1-EXP(-LN(2)/2))/(LN(2)/2)*DB127*DE127*VLOOKUP('Données projet'!$B$13,Paramètres!$A$1:$I$89,3,0)*0.475*44/12</f>
        <v>1.7415678048533652E-13</v>
      </c>
      <c r="DI127" s="22">
        <f t="shared" si="69"/>
        <v>1.6724439278490961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-5.6843418860808015E-14</v>
      </c>
      <c r="DP127" s="17">
        <f>DO127*VLOOKUP('Données projet'!$B$14,Paramètres!$A$1:$I$89,3,0)*VLOOKUP('Données projet'!$B$14,Paramètres!$A$1:$I$89,5,0)</f>
        <v>-6.1186256061773749E-14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442.54137223086991</v>
      </c>
      <c r="DU127" s="59">
        <f t="shared" si="98"/>
        <v>454.23406186660714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0.31015108322247681</v>
      </c>
      <c r="EB127" s="21">
        <f>EXP(-LN(2)/25)*EB126+(1-EXP(-LN(2)/25))/(LN(2)/25)*Calculateur!DW127*Calculateur!DY127*VLOOKUP('Données projet'!$B$14,Paramètres!$A$1:$I$89,3,0)*0.475*44/12</f>
        <v>0.8526469621206475</v>
      </c>
      <c r="EC127" s="21">
        <f>EXP(-LN(2)/2)*EC126+(1-EXP(-LN(2)/2))/(LN(2)/2)*DW127*DZ127*VLOOKUP('Données projet'!$B$14,Paramètres!$A$1:$I$89,3,0)*0.475*44/12</f>
        <v>1.2816931760147927E-13</v>
      </c>
      <c r="ED127" s="22">
        <f t="shared" si="72"/>
        <v>1.1627980453432525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201.49055911472067</v>
      </c>
      <c r="T128" s="59">
        <f t="shared" si="88"/>
        <v>403.37692064114719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11.35676187133884</v>
      </c>
      <c r="AA128" s="21">
        <f>EXP(-LN(2)/25)*AA127+(1-EXP(-LN(2)/25))/(LN(2)/25)*Calculateur!V128*Calculateur!X128*VLOOKUP('Données projet'!$B$9,Paramètres!$A$1:$I$89,3,0)*0.475*44/12</f>
        <v>4.8492935345060388</v>
      </c>
      <c r="AB128" s="21">
        <f>EXP(-LN(2)/2)*AB127+(1-EXP(-LN(2)/2))/(LN(2)/2)*V128*Y128*VLOOKUP('Données projet'!$B$9,Paramètres!$A$1:$I$89,3,0)*0.475*44/12</f>
        <v>2.5781578518819534E-12</v>
      </c>
      <c r="AC128" s="22">
        <f t="shared" si="57"/>
        <v>16.206055405847458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39.000000000000057</v>
      </c>
      <c r="AJ128" s="13">
        <f>AI128*VLOOKUP('Données projet'!$B$10,Paramètres!$A$1:$I$89,3,0)*VLOOKUP('Données projet'!$B$10,Paramètres!$A$1:$I$89,5,0)</f>
        <v>34.070400000000056</v>
      </c>
      <c r="AK128" s="13">
        <f t="shared" si="89"/>
        <v>10.412633617059328</v>
      </c>
      <c r="AL128" s="20">
        <f t="shared" si="58"/>
        <v>77.474616883045101</v>
      </c>
      <c r="AM128" s="59">
        <f t="shared" si="59"/>
        <v>370.8079502163784</v>
      </c>
      <c r="AN128" s="59">
        <f ca="1">AVERAGE(OFFSET($AM$3,0,0,'Données projet'!$E$10+1,1))-AVERAGE(OFFSET($H$3,0,0,'Données projet'!$E$10+1,1))</f>
        <v>260.53994021583316</v>
      </c>
      <c r="AO128" s="59">
        <f t="shared" si="90"/>
        <v>669.20238852709122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1.4891071606087588E-12</v>
      </c>
      <c r="AX128" s="21">
        <f t="shared" si="60"/>
        <v>1.4891071606087588E-12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-1.1527845344971866E-13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279.20364724206644</v>
      </c>
      <c r="BJ128" s="59">
        <f t="shared" si="92"/>
        <v>173.99850582760712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0.24989880874462053</v>
      </c>
      <c r="BR128" s="21">
        <f>EXP(-LN(2)/2)*BR127+(1-EXP(-LN(2)/2))/(LN(2)/2)*BL128*BO128*VLOOKUP('Données projet'!$B$11,Paramètres!$A$1:$I$89,3,0)*0.475*44/12</f>
        <v>3.4850214917327665E-14</v>
      </c>
      <c r="BS128" s="22">
        <f t="shared" si="63"/>
        <v>0.24989880874465539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-1.2946657079737634E-13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327.06866218660838</v>
      </c>
      <c r="CE128" s="59">
        <f t="shared" si="94"/>
        <v>202.18198935334908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0.2806555852054966</v>
      </c>
      <c r="CM128" s="21">
        <f>EXP(-LN(2)/2)*CM127+(1-EXP(-LN(2)/2))/(LN(2)/2)*CG128*CJ128*VLOOKUP('Données projet'!$B$12,Paramètres!$A$1:$I$89,3,0)*0.475*44/12</f>
        <v>3.9139472137922129E-14</v>
      </c>
      <c r="CN128" s="22">
        <f t="shared" si="66"/>
        <v>0.28065558520553574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-5.1159076974727213E-13</v>
      </c>
      <c r="CU128" s="17">
        <f>CT128*VLOOKUP('Données projet'!$B$13,Paramètres!$A$1:$I$89,3,0)*VLOOKUP('Données projet'!$B$13,Paramètres!$A$1:$I$89,5,0)</f>
        <v>-4.1500243241898714E-13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266.72672633301022</v>
      </c>
      <c r="CZ128" s="59">
        <f t="shared" si="96"/>
        <v>314.26991662544219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0.4113013463918373</v>
      </c>
      <c r="DG128" s="21">
        <f>EXP(-LN(2)/25)*DG127+(1-EXP(-LN(2)/25))/(LN(2)/25)*Calculateur!DB128*Calculateur!DD128*VLOOKUP('Données projet'!$B$13,Paramètres!$A$1:$I$89,3,0)*0.475*44/12</f>
        <v>1.2186548416017733</v>
      </c>
      <c r="DH128" s="21">
        <f>EXP(-LN(2)/2)*DH127+(1-EXP(-LN(2)/2))/(LN(2)/2)*DB128*DE128*VLOOKUP('Données projet'!$B$13,Paramètres!$A$1:$I$89,3,0)*0.475*44/12</f>
        <v>1.2314744047079844E-13</v>
      </c>
      <c r="DI128" s="22">
        <f t="shared" si="69"/>
        <v>1.6299561879937339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-5.6843418860808015E-14</v>
      </c>
      <c r="DP128" s="17">
        <f>DO128*VLOOKUP('Données projet'!$B$14,Paramètres!$A$1:$I$89,3,0)*VLOOKUP('Données projet'!$B$14,Paramètres!$A$1:$I$89,5,0)</f>
        <v>-6.1186256061773749E-14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442.54137223086991</v>
      </c>
      <c r="DU128" s="59">
        <f t="shared" si="98"/>
        <v>454.23406186660714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0.3040692096539655</v>
      </c>
      <c r="EB128" s="21">
        <f>EXP(-LN(2)/25)*EB127+(1-EXP(-LN(2)/25))/(LN(2)/25)*Calculateur!DW128*Calculateur!DY128*VLOOKUP('Données projet'!$B$14,Paramètres!$A$1:$I$89,3,0)*0.475*44/12</f>
        <v>0.82933128610270346</v>
      </c>
      <c r="EC128" s="21">
        <f>EXP(-LN(2)/2)*EC127+(1-EXP(-LN(2)/2))/(LN(2)/2)*DW128*DZ128*VLOOKUP('Données projet'!$B$14,Paramètres!$A$1:$I$89,3,0)*0.475*44/12</f>
        <v>9.0629393616058314E-14</v>
      </c>
      <c r="ED128" s="22">
        <f t="shared" si="72"/>
        <v>1.1334004957567596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201.49055911472067</v>
      </c>
      <c r="T129" s="59">
        <f t="shared" si="88"/>
        <v>403.37692064114719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11.134062697982648</v>
      </c>
      <c r="AA129" s="21">
        <f>EXP(-LN(2)/25)*AA128+(1-EXP(-LN(2)/25))/(LN(2)/25)*Calculateur!V129*Calculateur!X129*VLOOKUP('Données projet'!$B$9,Paramètres!$A$1:$I$89,3,0)*0.475*44/12</f>
        <v>4.7166893477917071</v>
      </c>
      <c r="AB129" s="21">
        <f>EXP(-LN(2)/2)*AB128+(1-EXP(-LN(2)/2))/(LN(2)/2)*V129*Y129*VLOOKUP('Données projet'!$B$9,Paramètres!$A$1:$I$89,3,0)*0.475*44/12</f>
        <v>1.8230329000350718E-12</v>
      </c>
      <c r="AC129" s="22">
        <f t="shared" si="57"/>
        <v>15.850752045776177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39.000000000000057</v>
      </c>
      <c r="AJ129" s="13">
        <f>AI129*VLOOKUP('Données projet'!$B$10,Paramètres!$A$1:$I$89,3,0)*VLOOKUP('Données projet'!$B$10,Paramètres!$A$1:$I$89,5,0)</f>
        <v>34.070400000000056</v>
      </c>
      <c r="AK129" s="13">
        <f t="shared" si="89"/>
        <v>10.412633617059328</v>
      </c>
      <c r="AL129" s="20">
        <f t="shared" si="58"/>
        <v>77.474616883045101</v>
      </c>
      <c r="AM129" s="59">
        <f t="shared" si="59"/>
        <v>370.8079502163784</v>
      </c>
      <c r="AN129" s="59">
        <f ca="1">AVERAGE(OFFSET($AM$3,0,0,'Données projet'!$E$10+1,1))-AVERAGE(OFFSET($H$3,0,0,'Données projet'!$E$10+1,1))</f>
        <v>260.53994021583316</v>
      </c>
      <c r="AO129" s="59">
        <f t="shared" si="90"/>
        <v>669.20238852709122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1.0529577711798987E-12</v>
      </c>
      <c r="AX129" s="21">
        <f t="shared" si="60"/>
        <v>1.0529577711798987E-12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-1.1527845344971866E-13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279.20364724206644</v>
      </c>
      <c r="BJ129" s="59">
        <f t="shared" si="92"/>
        <v>173.99850582760712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0.24306531267789169</v>
      </c>
      <c r="BR129" s="21">
        <f>EXP(-LN(2)/2)*BR128+(1-EXP(-LN(2)/2))/(LN(2)/2)*BL129*BO129*VLOOKUP('Données projet'!$B$11,Paramètres!$A$1:$I$89,3,0)*0.475*44/12</f>
        <v>2.4642823293850967E-14</v>
      </c>
      <c r="BS129" s="22">
        <f t="shared" si="63"/>
        <v>0.24306531267791634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-1.2946657079737634E-13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327.06866218660838</v>
      </c>
      <c r="CE129" s="59">
        <f t="shared" si="94"/>
        <v>202.18198935334908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0.27298104346901653</v>
      </c>
      <c r="CM129" s="21">
        <f>EXP(-LN(2)/2)*CM128+(1-EXP(-LN(2)/2))/(LN(2)/2)*CG129*CJ129*VLOOKUP('Données projet'!$B$12,Paramètres!$A$1:$I$89,3,0)*0.475*44/12</f>
        <v>2.7675786160786677E-14</v>
      </c>
      <c r="CN129" s="22">
        <f t="shared" si="66"/>
        <v>0.27298104346904423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-5.1159076974727213E-13</v>
      </c>
      <c r="CU129" s="17">
        <f>CT129*VLOOKUP('Données projet'!$B$13,Paramètres!$A$1:$I$89,3,0)*VLOOKUP('Données projet'!$B$13,Paramètres!$A$1:$I$89,5,0)</f>
        <v>-4.1500243241898714E-13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266.72672633301022</v>
      </c>
      <c r="CZ129" s="59">
        <f t="shared" si="96"/>
        <v>314.26991662544219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0.40323597785814341</v>
      </c>
      <c r="DG129" s="21">
        <f>EXP(-LN(2)/25)*DG128+(1-EXP(-LN(2)/25))/(LN(2)/25)*Calculateur!DB129*Calculateur!DD129*VLOOKUP('Données projet'!$B$13,Paramètres!$A$1:$I$89,3,0)*0.475*44/12</f>
        <v>1.1853306608718999</v>
      </c>
      <c r="DH129" s="21">
        <f>EXP(-LN(2)/2)*DH128+(1-EXP(-LN(2)/2))/(LN(2)/2)*DB129*DE129*VLOOKUP('Données projet'!$B$13,Paramètres!$A$1:$I$89,3,0)*0.475*44/12</f>
        <v>8.7078390242668261E-14</v>
      </c>
      <c r="DI129" s="22">
        <f t="shared" si="69"/>
        <v>1.5885666387301303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-5.6843418860808015E-14</v>
      </c>
      <c r="DP129" s="17">
        <f>DO129*VLOOKUP('Données projet'!$B$14,Paramètres!$A$1:$I$89,3,0)*VLOOKUP('Données projet'!$B$14,Paramètres!$A$1:$I$89,5,0)</f>
        <v>-6.1186256061773749E-14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442.54137223086991</v>
      </c>
      <c r="DU129" s="59">
        <f t="shared" si="98"/>
        <v>454.23406186660714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0.29810659791655608</v>
      </c>
      <c r="EB129" s="21">
        <f>EXP(-LN(2)/25)*EB128+(1-EXP(-LN(2)/25))/(LN(2)/25)*Calculateur!DW129*Calculateur!DY129*VLOOKUP('Données projet'!$B$14,Paramètres!$A$1:$I$89,3,0)*0.475*44/12</f>
        <v>0.80665317847158813</v>
      </c>
      <c r="EC129" s="21">
        <f>EXP(-LN(2)/2)*EC128+(1-EXP(-LN(2)/2))/(LN(2)/2)*DW129*DZ129*VLOOKUP('Données projet'!$B$14,Paramètres!$A$1:$I$89,3,0)*0.475*44/12</f>
        <v>6.4084658800739633E-14</v>
      </c>
      <c r="ED129" s="22">
        <f t="shared" si="72"/>
        <v>1.1047597763882084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201.49055911472067</v>
      </c>
      <c r="T130" s="59">
        <f t="shared" si="88"/>
        <v>403.37692064114719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10.915730519582887</v>
      </c>
      <c r="AA130" s="21">
        <f>EXP(-LN(2)/25)*AA129+(1-EXP(-LN(2)/25))/(LN(2)/25)*Calculateur!V130*Calculateur!X130*VLOOKUP('Données projet'!$B$9,Paramètres!$A$1:$I$89,3,0)*0.475*44/12</f>
        <v>4.5877112295364304</v>
      </c>
      <c r="AB130" s="21">
        <f>EXP(-LN(2)/2)*AB129+(1-EXP(-LN(2)/2))/(LN(2)/2)*V130*Y130*VLOOKUP('Données projet'!$B$9,Paramètres!$A$1:$I$89,3,0)*0.475*44/12</f>
        <v>1.2890789259409767E-12</v>
      </c>
      <c r="AC130" s="22">
        <f t="shared" si="57"/>
        <v>15.503441749120608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39.000000000000057</v>
      </c>
      <c r="AJ130" s="13">
        <f>AI130*VLOOKUP('Données projet'!$B$10,Paramètres!$A$1:$I$89,3,0)*VLOOKUP('Données projet'!$B$10,Paramètres!$A$1:$I$89,5,0)</f>
        <v>34.070400000000056</v>
      </c>
      <c r="AK130" s="13">
        <f t="shared" si="89"/>
        <v>10.412633617059328</v>
      </c>
      <c r="AL130" s="20">
        <f t="shared" si="58"/>
        <v>77.474616883045101</v>
      </c>
      <c r="AM130" s="59">
        <f t="shared" si="59"/>
        <v>370.8079502163784</v>
      </c>
      <c r="AN130" s="59">
        <f ca="1">AVERAGE(OFFSET($AM$3,0,0,'Données projet'!$E$10+1,1))-AVERAGE(OFFSET($H$3,0,0,'Données projet'!$E$10+1,1))</f>
        <v>260.53994021583316</v>
      </c>
      <c r="AO130" s="59">
        <f t="shared" si="90"/>
        <v>669.20238852709122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7.4455358030437942E-13</v>
      </c>
      <c r="AX130" s="21">
        <f t="shared" si="60"/>
        <v>7.4455358030437942E-13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-1.1527845344971866E-13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279.20364724206644</v>
      </c>
      <c r="BJ130" s="59">
        <f t="shared" si="92"/>
        <v>173.99850582760712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0.23641867892046547</v>
      </c>
      <c r="BR130" s="21">
        <f>EXP(-LN(2)/2)*BR129+(1-EXP(-LN(2)/2))/(LN(2)/2)*BL130*BO130*VLOOKUP('Données projet'!$B$11,Paramètres!$A$1:$I$89,3,0)*0.475*44/12</f>
        <v>1.7425107458663832E-14</v>
      </c>
      <c r="BS130" s="22">
        <f t="shared" si="63"/>
        <v>0.23641867892048291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-1.2946657079737634E-13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327.06866218660838</v>
      </c>
      <c r="CE130" s="59">
        <f t="shared" si="94"/>
        <v>202.18198935334908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0.26551636247990712</v>
      </c>
      <c r="CM130" s="21">
        <f>EXP(-LN(2)/2)*CM129+(1-EXP(-LN(2)/2))/(LN(2)/2)*CG130*CJ130*VLOOKUP('Données projet'!$B$12,Paramètres!$A$1:$I$89,3,0)*0.475*44/12</f>
        <v>1.9569736068961068E-14</v>
      </c>
      <c r="CN130" s="22">
        <f t="shared" si="66"/>
        <v>0.26551636247992672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-5.1159076974727213E-13</v>
      </c>
      <c r="CU130" s="17">
        <f>CT130*VLOOKUP('Données projet'!$B$13,Paramètres!$A$1:$I$89,3,0)*VLOOKUP('Données projet'!$B$13,Paramètres!$A$1:$I$89,5,0)</f>
        <v>-4.1500243241898714E-13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266.72672633301022</v>
      </c>
      <c r="CZ130" s="59">
        <f t="shared" si="96"/>
        <v>314.26991662544219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0.39532876628200619</v>
      </c>
      <c r="DG130" s="21">
        <f>EXP(-LN(2)/25)*DG129+(1-EXP(-LN(2)/25))/(LN(2)/25)*Calculateur!DB130*Calculateur!DD130*VLOOKUP('Données projet'!$B$13,Paramètres!$A$1:$I$89,3,0)*0.475*44/12</f>
        <v>1.1529177316165273</v>
      </c>
      <c r="DH130" s="21">
        <f>EXP(-LN(2)/2)*DH129+(1-EXP(-LN(2)/2))/(LN(2)/2)*DB130*DE130*VLOOKUP('Données projet'!$B$13,Paramètres!$A$1:$I$89,3,0)*0.475*44/12</f>
        <v>6.157372023539922E-14</v>
      </c>
      <c r="DI130" s="22">
        <f t="shared" si="69"/>
        <v>1.548246497898595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-5.6843418860808015E-14</v>
      </c>
      <c r="DP130" s="17">
        <f>DO130*VLOOKUP('Données projet'!$B$14,Paramètres!$A$1:$I$89,3,0)*VLOOKUP('Données projet'!$B$14,Paramètres!$A$1:$I$89,5,0)</f>
        <v>-6.1186256061773749E-14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442.54137223086991</v>
      </c>
      <c r="DU130" s="59">
        <f t="shared" si="98"/>
        <v>454.23406186660714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0.2922609093584832</v>
      </c>
      <c r="EB130" s="21">
        <f>EXP(-LN(2)/25)*EB129+(1-EXP(-LN(2)/25))/(LN(2)/25)*Calculateur!DW130*Calculateur!DY130*VLOOKUP('Données projet'!$B$14,Paramètres!$A$1:$I$89,3,0)*0.475*44/12</f>
        <v>0.78459520488623558</v>
      </c>
      <c r="EC130" s="21">
        <f>EXP(-LN(2)/2)*EC129+(1-EXP(-LN(2)/2))/(LN(2)/2)*DW130*DZ130*VLOOKUP('Données projet'!$B$14,Paramètres!$A$1:$I$89,3,0)*0.475*44/12</f>
        <v>4.5314696808029157E-14</v>
      </c>
      <c r="ED130" s="22">
        <f t="shared" si="72"/>
        <v>1.0768561142447641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201.49055911472067</v>
      </c>
      <c r="T131" s="59">
        <f t="shared" si="88"/>
        <v>403.37692064114719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10.701679702032067</v>
      </c>
      <c r="AA131" s="21">
        <f>EXP(-LN(2)/25)*AA130+(1-EXP(-LN(2)/25))/(LN(2)/25)*Calculateur!V131*Calculateur!X131*VLOOKUP('Données projet'!$B$9,Paramètres!$A$1:$I$89,3,0)*0.475*44/12</f>
        <v>4.4622600247075086</v>
      </c>
      <c r="AB131" s="21">
        <f>EXP(-LN(2)/2)*AB130+(1-EXP(-LN(2)/2))/(LN(2)/2)*V131*Y131*VLOOKUP('Données projet'!$B$9,Paramètres!$A$1:$I$89,3,0)*0.475*44/12</f>
        <v>9.1151645001753589E-13</v>
      </c>
      <c r="AC131" s="22">
        <f t="shared" si="57"/>
        <v>15.163939726740486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39.000000000000057</v>
      </c>
      <c r="AJ131" s="13">
        <f>AI131*VLOOKUP('Données projet'!$B$10,Paramètres!$A$1:$I$89,3,0)*VLOOKUP('Données projet'!$B$10,Paramètres!$A$1:$I$89,5,0)</f>
        <v>34.070400000000056</v>
      </c>
      <c r="AK131" s="13">
        <f t="shared" si="89"/>
        <v>10.412633617059328</v>
      </c>
      <c r="AL131" s="20">
        <f t="shared" si="58"/>
        <v>77.474616883045101</v>
      </c>
      <c r="AM131" s="59">
        <f t="shared" si="59"/>
        <v>370.8079502163784</v>
      </c>
      <c r="AN131" s="59">
        <f ca="1">AVERAGE(OFFSET($AM$3,0,0,'Données projet'!$E$10+1,1))-AVERAGE(OFFSET($H$3,0,0,'Données projet'!$E$10+1,1))</f>
        <v>260.53994021583316</v>
      </c>
      <c r="AO131" s="59">
        <f t="shared" si="90"/>
        <v>669.20238852709122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5.2647888558994935E-13</v>
      </c>
      <c r="AX131" s="21">
        <f t="shared" si="60"/>
        <v>5.2647888558994935E-13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-1.1527845344971866E-13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279.20364724206644</v>
      </c>
      <c r="BJ131" s="59">
        <f t="shared" si="92"/>
        <v>173.99850582760712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0.22995379771266736</v>
      </c>
      <c r="BR131" s="21">
        <f>EXP(-LN(2)/2)*BR130+(1-EXP(-LN(2)/2))/(LN(2)/2)*BL131*BO131*VLOOKUP('Données projet'!$B$11,Paramètres!$A$1:$I$89,3,0)*0.475*44/12</f>
        <v>1.2321411646925484E-14</v>
      </c>
      <c r="BS131" s="22">
        <f t="shared" si="63"/>
        <v>0.22995379771267968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-1.2946657079737634E-13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327.06866218660838</v>
      </c>
      <c r="CE131" s="59">
        <f t="shared" si="94"/>
        <v>202.18198935334908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0.25825580358499539</v>
      </c>
      <c r="CM131" s="21">
        <f>EXP(-LN(2)/2)*CM130+(1-EXP(-LN(2)/2))/(LN(2)/2)*CG131*CJ131*VLOOKUP('Données projet'!$B$12,Paramètres!$A$1:$I$89,3,0)*0.475*44/12</f>
        <v>1.3837893080393342E-14</v>
      </c>
      <c r="CN131" s="22">
        <f t="shared" si="66"/>
        <v>0.25825580358500921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-5.1159076974727213E-13</v>
      </c>
      <c r="CU131" s="17">
        <f>CT131*VLOOKUP('Données projet'!$B$13,Paramètres!$A$1:$I$89,3,0)*VLOOKUP('Données projet'!$B$13,Paramètres!$A$1:$I$89,5,0)</f>
        <v>-4.1500243241898714E-13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266.72672633301022</v>
      </c>
      <c r="CZ131" s="59">
        <f t="shared" si="96"/>
        <v>314.26991662544219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0.38757661030195417</v>
      </c>
      <c r="DG131" s="21">
        <f>EXP(-LN(2)/25)*DG130+(1-EXP(-LN(2)/25))/(LN(2)/25)*Calculateur!DB131*Calculateur!DD131*VLOOKUP('Données projet'!$B$13,Paramètres!$A$1:$I$89,3,0)*0.475*44/12</f>
        <v>1.121391135616165</v>
      </c>
      <c r="DH131" s="21">
        <f>EXP(-LN(2)/2)*DH130+(1-EXP(-LN(2)/2))/(LN(2)/2)*DB131*DE131*VLOOKUP('Données projet'!$B$13,Paramètres!$A$1:$I$89,3,0)*0.475*44/12</f>
        <v>4.3539195121334131E-14</v>
      </c>
      <c r="DI131" s="22">
        <f t="shared" si="69"/>
        <v>1.5089677459181627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-5.6843418860808015E-14</v>
      </c>
      <c r="DP131" s="17">
        <f>DO131*VLOOKUP('Données projet'!$B$14,Paramètres!$A$1:$I$89,3,0)*VLOOKUP('Données projet'!$B$14,Paramètres!$A$1:$I$89,5,0)</f>
        <v>-6.1186256061773749E-14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442.54137223086991</v>
      </c>
      <c r="DU131" s="59">
        <f t="shared" si="98"/>
        <v>454.23406186660714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0.28652985118751617</v>
      </c>
      <c r="EB131" s="21">
        <f>EXP(-LN(2)/25)*EB130+(1-EXP(-LN(2)/25))/(LN(2)/25)*Calculateur!DW131*Calculateur!DY131*VLOOKUP('Données projet'!$B$14,Paramètres!$A$1:$I$89,3,0)*0.475*44/12</f>
        <v>0.76314040774855285</v>
      </c>
      <c r="EC131" s="21">
        <f>EXP(-LN(2)/2)*EC130+(1-EXP(-LN(2)/2))/(LN(2)/2)*DW131*DZ131*VLOOKUP('Données projet'!$B$14,Paramètres!$A$1:$I$89,3,0)*0.475*44/12</f>
        <v>3.2042329400369817E-14</v>
      </c>
      <c r="ED131" s="22">
        <f t="shared" si="72"/>
        <v>1.0496702589361009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201.49055911472067</v>
      </c>
      <c r="T132" s="59">
        <f t="shared" si="88"/>
        <v>403.37692064114719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10.491826290455311</v>
      </c>
      <c r="AA132" s="21">
        <f>EXP(-LN(2)/25)*AA131+(1-EXP(-LN(2)/25))/(LN(2)/25)*Calculateur!V132*Calculateur!X132*VLOOKUP('Données projet'!$B$9,Paramètres!$A$1:$I$89,3,0)*0.475*44/12</f>
        <v>4.3402392896718256</v>
      </c>
      <c r="AB132" s="21">
        <f>EXP(-LN(2)/2)*AB131+(1-EXP(-LN(2)/2))/(LN(2)/2)*V132*Y132*VLOOKUP('Données projet'!$B$9,Paramètres!$A$1:$I$89,3,0)*0.475*44/12</f>
        <v>6.4453946297048835E-13</v>
      </c>
      <c r="AC132" s="22">
        <f t="shared" ref="AC132:AC153" si="111">SUM(Z132:AB132)</f>
        <v>14.832065580127781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39.000000000000057</v>
      </c>
      <c r="AJ132" s="13">
        <f>AI132*VLOOKUP('Données projet'!$B$10,Paramètres!$A$1:$I$89,3,0)*VLOOKUP('Données projet'!$B$10,Paramètres!$A$1:$I$89,5,0)</f>
        <v>34.070400000000056</v>
      </c>
      <c r="AK132" s="13">
        <f t="shared" si="89"/>
        <v>10.412633617059328</v>
      </c>
      <c r="AL132" s="20">
        <f t="shared" ref="AL132:AL153" si="112">(AJ132+AK132)*0.475*44/12</f>
        <v>77.474616883045101</v>
      </c>
      <c r="AM132" s="59">
        <f t="shared" ref="AM132:AM195" si="113">AL132+(AD132+AE132)*44/12</f>
        <v>370.8079502163784</v>
      </c>
      <c r="AN132" s="59">
        <f ca="1">AVERAGE(OFFSET($AM$3,0,0,'Données projet'!$E$10+1,1))-AVERAGE(OFFSET($H$3,0,0,'Données projet'!$E$10+1,1))</f>
        <v>260.53994021583316</v>
      </c>
      <c r="AO132" s="59">
        <f t="shared" si="90"/>
        <v>669.20238852709122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3.7227679015218971E-13</v>
      </c>
      <c r="AX132" s="21">
        <f t="shared" ref="AX132:AX153" si="114">SUM(AU132:AW132)</f>
        <v>3.7227679015218971E-13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-1.1527845344971866E-13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279.20364724206644</v>
      </c>
      <c r="BJ132" s="59">
        <f t="shared" si="92"/>
        <v>173.99850582760712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0.22366569902146982</v>
      </c>
      <c r="BR132" s="21">
        <f>EXP(-LN(2)/2)*BR131+(1-EXP(-LN(2)/2))/(LN(2)/2)*BL132*BO132*VLOOKUP('Données projet'!$B$11,Paramètres!$A$1:$I$89,3,0)*0.475*44/12</f>
        <v>8.7125537293319161E-15</v>
      </c>
      <c r="BS132" s="22">
        <f t="shared" ref="BS132:BS153" si="117">SUM(BP132:BR132)</f>
        <v>0.22366569902147854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-1.2946657079737634E-13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327.06866218660838</v>
      </c>
      <c r="CE132" s="59">
        <f t="shared" si="94"/>
        <v>202.18198935334908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0.25119378505488121</v>
      </c>
      <c r="CM132" s="21">
        <f>EXP(-LN(2)/2)*CM131+(1-EXP(-LN(2)/2))/(LN(2)/2)*CG132*CJ132*VLOOKUP('Données projet'!$B$12,Paramètres!$A$1:$I$89,3,0)*0.475*44/12</f>
        <v>9.7848680344805354E-15</v>
      </c>
      <c r="CN132" s="22">
        <f t="shared" ref="CN132:CN153" si="120">SUM(CK132:CM132)</f>
        <v>0.25119378505489098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-5.1159076974727213E-13</v>
      </c>
      <c r="CU132" s="17">
        <f>CT132*VLOOKUP('Données projet'!$B$13,Paramètres!$A$1:$I$89,3,0)*VLOOKUP('Données projet'!$B$13,Paramètres!$A$1:$I$89,5,0)</f>
        <v>-4.1500243241898714E-13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266.72672633301022</v>
      </c>
      <c r="CZ132" s="59">
        <f t="shared" si="96"/>
        <v>314.26991662544219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0.37997646937232271</v>
      </c>
      <c r="DG132" s="21">
        <f>EXP(-LN(2)/25)*DG131+(1-EXP(-LN(2)/25))/(LN(2)/25)*Calculateur!DB132*Calculateur!DD132*VLOOKUP('Données projet'!$B$13,Paramètres!$A$1:$I$89,3,0)*0.475*44/12</f>
        <v>1.0907266360413441</v>
      </c>
      <c r="DH132" s="21">
        <f>EXP(-LN(2)/2)*DH131+(1-EXP(-LN(2)/2))/(LN(2)/2)*DB132*DE132*VLOOKUP('Données projet'!$B$13,Paramètres!$A$1:$I$89,3,0)*0.475*44/12</f>
        <v>3.078686011769961E-14</v>
      </c>
      <c r="DI132" s="22">
        <f t="shared" ref="DI132:DI153" si="123">SUM(DF132:DH132)</f>
        <v>1.4707031054136976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-5.6843418860808015E-14</v>
      </c>
      <c r="DP132" s="17">
        <f>DO132*VLOOKUP('Données projet'!$B$14,Paramètres!$A$1:$I$89,3,0)*VLOOKUP('Données projet'!$B$14,Paramètres!$A$1:$I$89,5,0)</f>
        <v>-6.1186256061773749E-14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442.54137223086991</v>
      </c>
      <c r="DU132" s="59">
        <f t="shared" si="98"/>
        <v>454.23406186660714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0.28091117557168149</v>
      </c>
      <c r="EB132" s="21">
        <f>EXP(-LN(2)/25)*EB131+(1-EXP(-LN(2)/25))/(LN(2)/25)*Calculateur!DW132*Calculateur!DY132*VLOOKUP('Données projet'!$B$14,Paramètres!$A$1:$I$89,3,0)*0.475*44/12</f>
        <v>0.74227229316685883</v>
      </c>
      <c r="EC132" s="21">
        <f>EXP(-LN(2)/2)*EC131+(1-EXP(-LN(2)/2))/(LN(2)/2)*DW132*DZ132*VLOOKUP('Données projet'!$B$14,Paramètres!$A$1:$I$89,3,0)*0.475*44/12</f>
        <v>2.2657348404014579E-14</v>
      </c>
      <c r="ED132" s="22">
        <f t="shared" ref="ED132:ED153" si="126">SUM(EA132:EC132)</f>
        <v>1.023183468738563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201.49055911472067</v>
      </c>
      <c r="T133" s="59">
        <f t="shared" ref="T133:T196" si="142">$T$3</f>
        <v>403.37692064114719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10.286087976281634</v>
      </c>
      <c r="AA133" s="21">
        <f>EXP(-LN(2)/25)*AA132+(1-EXP(-LN(2)/25))/(LN(2)/25)*Calculateur!V133*Calculateur!X133*VLOOKUP('Données projet'!$B$9,Paramètres!$A$1:$I$89,3,0)*0.475*44/12</f>
        <v>4.2215552180524849</v>
      </c>
      <c r="AB133" s="21">
        <f>EXP(-LN(2)/2)*AB132+(1-EXP(-LN(2)/2))/(LN(2)/2)*V133*Y133*VLOOKUP('Données projet'!$B$9,Paramètres!$A$1:$I$89,3,0)*0.475*44/12</f>
        <v>4.5575822500876795E-13</v>
      </c>
      <c r="AC133" s="22">
        <f t="shared" si="111"/>
        <v>14.507643194334575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39.000000000000057</v>
      </c>
      <c r="AJ133" s="13">
        <f>AI133*VLOOKUP('Données projet'!$B$10,Paramètres!$A$1:$I$89,3,0)*VLOOKUP('Données projet'!$B$10,Paramètres!$A$1:$I$89,5,0)</f>
        <v>34.070400000000056</v>
      </c>
      <c r="AK133" s="13">
        <f t="shared" ref="AK133:AK153" si="143">EXP(-1.0587+0.8836*LN(AJ133)+0.284)</f>
        <v>10.412633617059328</v>
      </c>
      <c r="AL133" s="20">
        <f t="shared" si="112"/>
        <v>77.474616883045101</v>
      </c>
      <c r="AM133" s="59">
        <f t="shared" si="113"/>
        <v>370.8079502163784</v>
      </c>
      <c r="AN133" s="59">
        <f ca="1">AVERAGE(OFFSET($AM$3,0,0,'Données projet'!$E$10+1,1))-AVERAGE(OFFSET($H$3,0,0,'Données projet'!$E$10+1,1))</f>
        <v>260.53994021583316</v>
      </c>
      <c r="AO133" s="59">
        <f t="shared" ref="AO133:AO196" si="144">$AO$3</f>
        <v>669.20238852709122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2.6323944279497467E-13</v>
      </c>
      <c r="AX133" s="21">
        <f t="shared" si="114"/>
        <v>2.6323944279497467E-13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-1.1527845344971866E-13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279.20364724206644</v>
      </c>
      <c r="BJ133" s="59">
        <f t="shared" ref="BJ133:BJ196" si="146">$BJ$3</f>
        <v>173.99850582760712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0.21754954871965981</v>
      </c>
      <c r="BR133" s="21">
        <f>EXP(-LN(2)/2)*BR132+(1-EXP(-LN(2)/2))/(LN(2)/2)*BL133*BO133*VLOOKUP('Données projet'!$B$11,Paramètres!$A$1:$I$89,3,0)*0.475*44/12</f>
        <v>6.1607058234627419E-15</v>
      </c>
      <c r="BS133" s="22">
        <f t="shared" si="117"/>
        <v>0.21754954871966597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-1.2946657079737634E-13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327.06866218660838</v>
      </c>
      <c r="CE133" s="59">
        <f t="shared" ref="CE133:CE196" si="148">$CE$3</f>
        <v>202.18198935334908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0.24432487779284845</v>
      </c>
      <c r="CM133" s="21">
        <f>EXP(-LN(2)/2)*CM132+(1-EXP(-LN(2)/2))/(LN(2)/2)*CG133*CJ133*VLOOKUP('Données projet'!$B$12,Paramètres!$A$1:$I$89,3,0)*0.475*44/12</f>
        <v>6.9189465401966717E-15</v>
      </c>
      <c r="CN133" s="22">
        <f t="shared" si="120"/>
        <v>0.24432487779285536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-5.1159076974727213E-13</v>
      </c>
      <c r="CU133" s="17">
        <f>CT133*VLOOKUP('Données projet'!$B$13,Paramètres!$A$1:$I$89,3,0)*VLOOKUP('Données projet'!$B$13,Paramètres!$A$1:$I$89,5,0)</f>
        <v>-4.1500243241898714E-13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266.72672633301022</v>
      </c>
      <c r="CZ133" s="59">
        <f t="shared" ref="CZ133:CZ196" si="150">$CZ$3</f>
        <v>314.26991662544219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0.37252536257069313</v>
      </c>
      <c r="DG133" s="21">
        <f>EXP(-LN(2)/25)*DG132+(1-EXP(-LN(2)/25))/(LN(2)/25)*Calculateur!DB133*Calculateur!DD133*VLOOKUP('Données projet'!$B$13,Paramètres!$A$1:$I$89,3,0)*0.475*44/12</f>
        <v>1.0609006588199728</v>
      </c>
      <c r="DH133" s="21">
        <f>EXP(-LN(2)/2)*DH132+(1-EXP(-LN(2)/2))/(LN(2)/2)*DB133*DE133*VLOOKUP('Données projet'!$B$13,Paramètres!$A$1:$I$89,3,0)*0.475*44/12</f>
        <v>2.1769597560667065E-14</v>
      </c>
      <c r="DI133" s="22">
        <f t="shared" si="123"/>
        <v>1.4334260213906878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-5.6843418860808015E-14</v>
      </c>
      <c r="DP133" s="17">
        <f>DO133*VLOOKUP('Données projet'!$B$14,Paramètres!$A$1:$I$89,3,0)*VLOOKUP('Données projet'!$B$14,Paramètres!$A$1:$I$89,5,0)</f>
        <v>-6.1186256061773749E-14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442.54137223086991</v>
      </c>
      <c r="DU133" s="59">
        <f t="shared" ref="DU133:DU196" si="152">$DU$3</f>
        <v>454.23406186660714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0.27540267875761959</v>
      </c>
      <c r="EB133" s="21">
        <f>EXP(-LN(2)/25)*EB132+(1-EXP(-LN(2)/25))/(LN(2)/25)*Calculateur!DW133*Calculateur!DY133*VLOOKUP('Données projet'!$B$14,Paramètres!$A$1:$I$89,3,0)*0.475*44/12</f>
        <v>0.72197481827580767</v>
      </c>
      <c r="EC133" s="21">
        <f>EXP(-LN(2)/2)*EC132+(1-EXP(-LN(2)/2))/(LN(2)/2)*DW133*DZ133*VLOOKUP('Données projet'!$B$14,Paramètres!$A$1:$I$89,3,0)*0.475*44/12</f>
        <v>1.6021164700184908E-14</v>
      </c>
      <c r="ED133" s="22">
        <f t="shared" si="126"/>
        <v>0.99737749703344325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201.49055911472067</v>
      </c>
      <c r="T134" s="59">
        <f t="shared" si="142"/>
        <v>403.37692064114719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10.08438406496092</v>
      </c>
      <c r="AA134" s="21">
        <f>EXP(-LN(2)/25)*AA133+(1-EXP(-LN(2)/25))/(LN(2)/25)*Calculateur!V134*Calculateur!X134*VLOOKUP('Données projet'!$B$9,Paramètres!$A$1:$I$89,3,0)*0.475*44/12</f>
        <v>4.1061165686128991</v>
      </c>
      <c r="AB134" s="21">
        <f>EXP(-LN(2)/2)*AB133+(1-EXP(-LN(2)/2))/(LN(2)/2)*V134*Y134*VLOOKUP('Données projet'!$B$9,Paramètres!$A$1:$I$89,3,0)*0.475*44/12</f>
        <v>3.2226973148524417E-13</v>
      </c>
      <c r="AC134" s="22">
        <f t="shared" si="111"/>
        <v>14.190500633574141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39.000000000000057</v>
      </c>
      <c r="AJ134" s="13">
        <f>AI134*VLOOKUP('Données projet'!$B$10,Paramètres!$A$1:$I$89,3,0)*VLOOKUP('Données projet'!$B$10,Paramètres!$A$1:$I$89,5,0)</f>
        <v>34.070400000000056</v>
      </c>
      <c r="AK134" s="13">
        <f t="shared" si="143"/>
        <v>10.412633617059328</v>
      </c>
      <c r="AL134" s="20">
        <f t="shared" si="112"/>
        <v>77.474616883045101</v>
      </c>
      <c r="AM134" s="59">
        <f t="shared" si="113"/>
        <v>370.8079502163784</v>
      </c>
      <c r="AN134" s="59">
        <f ca="1">AVERAGE(OFFSET($AM$3,0,0,'Données projet'!$E$10+1,1))-AVERAGE(OFFSET($H$3,0,0,'Données projet'!$E$10+1,1))</f>
        <v>260.53994021583316</v>
      </c>
      <c r="AO134" s="59">
        <f t="shared" si="144"/>
        <v>669.20238852709122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1.8613839507609486E-13</v>
      </c>
      <c r="AX134" s="21">
        <f t="shared" si="114"/>
        <v>1.8613839507609486E-13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-1.1527845344971866E-13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279.20364724206644</v>
      </c>
      <c r="BJ134" s="59">
        <f t="shared" si="146"/>
        <v>173.99850582760712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0.21160064486948715</v>
      </c>
      <c r="BR134" s="21">
        <f>EXP(-LN(2)/2)*BR133+(1-EXP(-LN(2)/2))/(LN(2)/2)*BL134*BO134*VLOOKUP('Données projet'!$B$11,Paramètres!$A$1:$I$89,3,0)*0.475*44/12</f>
        <v>4.3562768646659581E-15</v>
      </c>
      <c r="BS134" s="22">
        <f t="shared" si="117"/>
        <v>0.21160064486949151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-1.2946657079737634E-13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327.06866218660838</v>
      </c>
      <c r="CE134" s="59">
        <f t="shared" si="148"/>
        <v>202.18198935334908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0.23764380116111611</v>
      </c>
      <c r="CM134" s="21">
        <f>EXP(-LN(2)/2)*CM133+(1-EXP(-LN(2)/2))/(LN(2)/2)*CG134*CJ134*VLOOKUP('Données projet'!$B$12,Paramètres!$A$1:$I$89,3,0)*0.475*44/12</f>
        <v>4.8924340172402685E-15</v>
      </c>
      <c r="CN134" s="22">
        <f t="shared" si="120"/>
        <v>0.23764380116112099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-5.1159076974727213E-13</v>
      </c>
      <c r="CU134" s="17">
        <f>CT134*VLOOKUP('Données projet'!$B$13,Paramètres!$A$1:$I$89,3,0)*VLOOKUP('Données projet'!$B$13,Paramètres!$A$1:$I$89,5,0)</f>
        <v>-4.1500243241898714E-13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266.72672633301022</v>
      </c>
      <c r="CZ134" s="59">
        <f t="shared" si="150"/>
        <v>314.26991662544219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0.36522036742871711</v>
      </c>
      <c r="DG134" s="21">
        <f>EXP(-LN(2)/25)*DG133+(1-EXP(-LN(2)/25))/(LN(2)/25)*Calculateur!DB134*Calculateur!DD134*VLOOKUP('Données projet'!$B$13,Paramètres!$A$1:$I$89,3,0)*0.475*44/12</f>
        <v>1.0318902745141996</v>
      </c>
      <c r="DH134" s="21">
        <f>EXP(-LN(2)/2)*DH133+(1-EXP(-LN(2)/2))/(LN(2)/2)*DB134*DE134*VLOOKUP('Données projet'!$B$13,Paramètres!$A$1:$I$89,3,0)*0.475*44/12</f>
        <v>1.5393430058849805E-14</v>
      </c>
      <c r="DI134" s="22">
        <f t="shared" si="123"/>
        <v>1.397110641942932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-5.6843418860808015E-14</v>
      </c>
      <c r="DP134" s="17">
        <f>DO134*VLOOKUP('Données projet'!$B$14,Paramètres!$A$1:$I$89,3,0)*VLOOKUP('Données projet'!$B$14,Paramètres!$A$1:$I$89,5,0)</f>
        <v>-6.1186256061773749E-14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442.54137223086991</v>
      </c>
      <c r="DU134" s="59">
        <f t="shared" si="152"/>
        <v>454.23406186660714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0.27000220020623017</v>
      </c>
      <c r="EB134" s="21">
        <f>EXP(-LN(2)/25)*EB133+(1-EXP(-LN(2)/25))/(LN(2)/25)*Calculateur!DW134*Calculateur!DY134*VLOOKUP('Données projet'!$B$14,Paramètres!$A$1:$I$89,3,0)*0.475*44/12</f>
        <v>0.70223237890305013</v>
      </c>
      <c r="EC134" s="21">
        <f>EXP(-LN(2)/2)*EC133+(1-EXP(-LN(2)/2))/(LN(2)/2)*DW134*DZ134*VLOOKUP('Données projet'!$B$14,Paramètres!$A$1:$I$89,3,0)*0.475*44/12</f>
        <v>1.1328674202007289E-14</v>
      </c>
      <c r="ED134" s="22">
        <f t="shared" si="126"/>
        <v>0.97223457910929167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201.49055911472067</v>
      </c>
      <c r="T135" s="59">
        <f t="shared" si="142"/>
        <v>403.37692064114719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9.8866354443139688</v>
      </c>
      <c r="AA135" s="21">
        <f>EXP(-LN(2)/25)*AA134+(1-EXP(-LN(2)/25))/(LN(2)/25)*Calculateur!V135*Calculateur!X135*VLOOKUP('Données projet'!$B$9,Paramètres!$A$1:$I$89,3,0)*0.475*44/12</f>
        <v>3.9938345951128937</v>
      </c>
      <c r="AB135" s="21">
        <f>EXP(-LN(2)/2)*AB134+(1-EXP(-LN(2)/2))/(LN(2)/2)*V135*Y135*VLOOKUP('Données projet'!$B$9,Paramètres!$A$1:$I$89,3,0)*0.475*44/12</f>
        <v>2.2787911250438397E-13</v>
      </c>
      <c r="AC135" s="22">
        <f t="shared" si="111"/>
        <v>13.88047003942709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39.000000000000057</v>
      </c>
      <c r="AJ135" s="13">
        <f>AI135*VLOOKUP('Données projet'!$B$10,Paramètres!$A$1:$I$89,3,0)*VLOOKUP('Données projet'!$B$10,Paramètres!$A$1:$I$89,5,0)</f>
        <v>34.070400000000056</v>
      </c>
      <c r="AK135" s="13">
        <f t="shared" si="143"/>
        <v>10.412633617059328</v>
      </c>
      <c r="AL135" s="20">
        <f t="shared" si="112"/>
        <v>77.474616883045101</v>
      </c>
      <c r="AM135" s="59">
        <f t="shared" si="113"/>
        <v>370.8079502163784</v>
      </c>
      <c r="AN135" s="59">
        <f ca="1">AVERAGE(OFFSET($AM$3,0,0,'Données projet'!$E$10+1,1))-AVERAGE(OFFSET($H$3,0,0,'Données projet'!$E$10+1,1))</f>
        <v>260.53994021583316</v>
      </c>
      <c r="AO135" s="59">
        <f t="shared" si="144"/>
        <v>669.20238852709122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1.3161972139748734E-13</v>
      </c>
      <c r="AX135" s="21">
        <f t="shared" si="114"/>
        <v>1.3161972139748734E-13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-1.1527845344971866E-13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279.20364724206644</v>
      </c>
      <c r="BJ135" s="59">
        <f t="shared" si="146"/>
        <v>173.99850582760712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0.20581441410793674</v>
      </c>
      <c r="BR135" s="21">
        <f>EXP(-LN(2)/2)*BR134+(1-EXP(-LN(2)/2))/(LN(2)/2)*BL135*BO135*VLOOKUP('Données projet'!$B$11,Paramètres!$A$1:$I$89,3,0)*0.475*44/12</f>
        <v>3.0803529117313709E-15</v>
      </c>
      <c r="BS135" s="22">
        <f t="shared" si="117"/>
        <v>0.20581441410793982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-1.2946657079737634E-13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327.06866218660838</v>
      </c>
      <c r="CE135" s="59">
        <f t="shared" si="148"/>
        <v>202.18198935334908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0.23114541892122104</v>
      </c>
      <c r="CM135" s="21">
        <f>EXP(-LN(2)/2)*CM134+(1-EXP(-LN(2)/2))/(LN(2)/2)*CG135*CJ135*VLOOKUP('Données projet'!$B$12,Paramètres!$A$1:$I$89,3,0)*0.475*44/12</f>
        <v>3.4594732700983366E-15</v>
      </c>
      <c r="CN135" s="22">
        <f t="shared" si="120"/>
        <v>0.2311454189212245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-5.1159076974727213E-13</v>
      </c>
      <c r="CU135" s="17">
        <f>CT135*VLOOKUP('Données projet'!$B$13,Paramètres!$A$1:$I$89,3,0)*VLOOKUP('Données projet'!$B$13,Paramètres!$A$1:$I$89,5,0)</f>
        <v>-4.1500243241898714E-13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266.72672633301022</v>
      </c>
      <c r="CZ135" s="59">
        <f t="shared" si="150"/>
        <v>314.26991662544219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0.35805861878586814</v>
      </c>
      <c r="DG135" s="21">
        <f>EXP(-LN(2)/25)*DG134+(1-EXP(-LN(2)/25))/(LN(2)/25)*Calculateur!DB135*Calculateur!DD135*VLOOKUP('Données projet'!$B$13,Paramètres!$A$1:$I$89,3,0)*0.475*44/12</f>
        <v>1.0036731806928576</v>
      </c>
      <c r="DH135" s="21">
        <f>EXP(-LN(2)/2)*DH134+(1-EXP(-LN(2)/2))/(LN(2)/2)*DB135*DE135*VLOOKUP('Données projet'!$B$13,Paramètres!$A$1:$I$89,3,0)*0.475*44/12</f>
        <v>1.0884798780333533E-14</v>
      </c>
      <c r="DI135" s="22">
        <f t="shared" si="123"/>
        <v>1.3617317994787366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-5.6843418860808015E-14</v>
      </c>
      <c r="DP135" s="17">
        <f>DO135*VLOOKUP('Données projet'!$B$14,Paramètres!$A$1:$I$89,3,0)*VLOOKUP('Données projet'!$B$14,Paramètres!$A$1:$I$89,5,0)</f>
        <v>-6.1186256061773749E-14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442.54137223086991</v>
      </c>
      <c r="DU135" s="59">
        <f t="shared" si="152"/>
        <v>454.23406186660714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0.2647076217452668</v>
      </c>
      <c r="EB135" s="21">
        <f>EXP(-LN(2)/25)*EB134+(1-EXP(-LN(2)/25))/(LN(2)/25)*Calculateur!DW135*Calculateur!DY135*VLOOKUP('Données projet'!$B$14,Paramètres!$A$1:$I$89,3,0)*0.475*44/12</f>
        <v>0.68302979757315041</v>
      </c>
      <c r="EC135" s="21">
        <f>EXP(-LN(2)/2)*EC134+(1-EXP(-LN(2)/2))/(LN(2)/2)*DW135*DZ135*VLOOKUP('Données projet'!$B$14,Paramètres!$A$1:$I$89,3,0)*0.475*44/12</f>
        <v>8.0105823500924542E-15</v>
      </c>
      <c r="ED135" s="22">
        <f t="shared" si="126"/>
        <v>0.94773741931842514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201.49055911472067</v>
      </c>
      <c r="T136" s="59">
        <f t="shared" si="142"/>
        <v>403.37692064114719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9.6927645535031548</v>
      </c>
      <c r="AA136" s="21">
        <f>EXP(-LN(2)/25)*AA135+(1-EXP(-LN(2)/25))/(LN(2)/25)*Calculateur!V136*Calculateur!X136*VLOOKUP('Données projet'!$B$9,Paramètres!$A$1:$I$89,3,0)*0.475*44/12</f>
        <v>3.8846229780828985</v>
      </c>
      <c r="AB136" s="21">
        <f>EXP(-LN(2)/2)*AB135+(1-EXP(-LN(2)/2))/(LN(2)/2)*V136*Y136*VLOOKUP('Données projet'!$B$9,Paramètres!$A$1:$I$89,3,0)*0.475*44/12</f>
        <v>1.6113486574262209E-13</v>
      </c>
      <c r="AC136" s="22">
        <f t="shared" si="111"/>
        <v>13.577387531586215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39.000000000000057</v>
      </c>
      <c r="AJ136" s="13">
        <f>AI136*VLOOKUP('Données projet'!$B$10,Paramètres!$A$1:$I$89,3,0)*VLOOKUP('Données projet'!$B$10,Paramètres!$A$1:$I$89,5,0)</f>
        <v>34.070400000000056</v>
      </c>
      <c r="AK136" s="13">
        <f t="shared" si="143"/>
        <v>10.412633617059328</v>
      </c>
      <c r="AL136" s="20">
        <f t="shared" si="112"/>
        <v>77.474616883045101</v>
      </c>
      <c r="AM136" s="59">
        <f t="shared" si="113"/>
        <v>370.8079502163784</v>
      </c>
      <c r="AN136" s="59">
        <f ca="1">AVERAGE(OFFSET($AM$3,0,0,'Données projet'!$E$10+1,1))-AVERAGE(OFFSET($H$3,0,0,'Données projet'!$E$10+1,1))</f>
        <v>260.53994021583316</v>
      </c>
      <c r="AO136" s="59">
        <f t="shared" si="144"/>
        <v>669.20238852709122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9.3069197538047428E-14</v>
      </c>
      <c r="AX136" s="21">
        <f t="shared" si="114"/>
        <v>9.3069197538047428E-14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-1.1527845344971866E-13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279.20364724206644</v>
      </c>
      <c r="BJ136" s="59">
        <f t="shared" si="146"/>
        <v>173.99850582760712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0.20018640813084557</v>
      </c>
      <c r="BR136" s="21">
        <f>EXP(-LN(2)/2)*BR135+(1-EXP(-LN(2)/2))/(LN(2)/2)*BL136*BO136*VLOOKUP('Données projet'!$B$11,Paramètres!$A$1:$I$89,3,0)*0.475*44/12</f>
        <v>2.178138432332979E-15</v>
      </c>
      <c r="BS136" s="22">
        <f t="shared" si="117"/>
        <v>0.20018640813084773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-1.2946657079737634E-13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327.06866218660838</v>
      </c>
      <c r="CE136" s="59">
        <f t="shared" si="148"/>
        <v>202.18198935334908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0.22482473528541094</v>
      </c>
      <c r="CM136" s="21">
        <f>EXP(-LN(2)/2)*CM135+(1-EXP(-LN(2)/2))/(LN(2)/2)*CG136*CJ136*VLOOKUP('Données projet'!$B$12,Paramètres!$A$1:$I$89,3,0)*0.475*44/12</f>
        <v>2.4462170086201346E-15</v>
      </c>
      <c r="CN136" s="22">
        <f t="shared" si="120"/>
        <v>0.22482473528541339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-5.1159076974727213E-13</v>
      </c>
      <c r="CU136" s="17">
        <f>CT136*VLOOKUP('Données projet'!$B$13,Paramètres!$A$1:$I$89,3,0)*VLOOKUP('Données projet'!$B$13,Paramètres!$A$1:$I$89,5,0)</f>
        <v>-4.1500243241898714E-13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266.72672633301022</v>
      </c>
      <c r="CZ136" s="59">
        <f t="shared" si="150"/>
        <v>314.26991662544219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0.3510373076656701</v>
      </c>
      <c r="DG136" s="21">
        <f>EXP(-LN(2)/25)*DG135+(1-EXP(-LN(2)/25))/(LN(2)/25)*Calculateur!DB136*Calculateur!DD136*VLOOKUP('Données projet'!$B$13,Paramètres!$A$1:$I$89,3,0)*0.475*44/12</f>
        <v>0.9762276847859328</v>
      </c>
      <c r="DH136" s="21">
        <f>EXP(-LN(2)/2)*DH135+(1-EXP(-LN(2)/2))/(LN(2)/2)*DB136*DE136*VLOOKUP('Données projet'!$B$13,Paramètres!$A$1:$I$89,3,0)*0.475*44/12</f>
        <v>7.6967150294249025E-15</v>
      </c>
      <c r="DI136" s="22">
        <f t="shared" si="123"/>
        <v>1.3272649924516107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-5.6843418860808015E-14</v>
      </c>
      <c r="DP136" s="17">
        <f>DO136*VLOOKUP('Données projet'!$B$14,Paramètres!$A$1:$I$89,3,0)*VLOOKUP('Données projet'!$B$14,Paramètres!$A$1:$I$89,5,0)</f>
        <v>-6.1186256061773749E-14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442.54137223086991</v>
      </c>
      <c r="DU136" s="59">
        <f t="shared" si="152"/>
        <v>454.23406186660714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0.25951686673854896</v>
      </c>
      <c r="EB136" s="21">
        <f>EXP(-LN(2)/25)*EB135+(1-EXP(-LN(2)/25))/(LN(2)/25)*Calculateur!DW136*Calculateur!DY136*VLOOKUP('Données projet'!$B$14,Paramètres!$A$1:$I$89,3,0)*0.475*44/12</f>
        <v>0.66435231183953669</v>
      </c>
      <c r="EC136" s="21">
        <f>EXP(-LN(2)/2)*EC135+(1-EXP(-LN(2)/2))/(LN(2)/2)*DW136*DZ136*VLOOKUP('Données projet'!$B$14,Paramètres!$A$1:$I$89,3,0)*0.475*44/12</f>
        <v>5.6643371010036446E-15</v>
      </c>
      <c r="ED136" s="22">
        <f t="shared" si="126"/>
        <v>0.92386917857809137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201.49055911472067</v>
      </c>
      <c r="T137" s="59">
        <f t="shared" si="142"/>
        <v>403.37692064114719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9.5026953526115729</v>
      </c>
      <c r="AA137" s="21">
        <f>EXP(-LN(2)/25)*AA136+(1-EXP(-LN(2)/25))/(LN(2)/25)*Calculateur!V137*Calculateur!X137*VLOOKUP('Données projet'!$B$9,Paramètres!$A$1:$I$89,3,0)*0.475*44/12</f>
        <v>3.7783977584637776</v>
      </c>
      <c r="AB137" s="21">
        <f>EXP(-LN(2)/2)*AB136+(1-EXP(-LN(2)/2))/(LN(2)/2)*V137*Y137*VLOOKUP('Données projet'!$B$9,Paramètres!$A$1:$I$89,3,0)*0.475*44/12</f>
        <v>1.1393955625219199E-13</v>
      </c>
      <c r="AC137" s="22">
        <f t="shared" si="111"/>
        <v>13.281093111075464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39.000000000000057</v>
      </c>
      <c r="AJ137" s="13">
        <f>AI137*VLOOKUP('Données projet'!$B$10,Paramètres!$A$1:$I$89,3,0)*VLOOKUP('Données projet'!$B$10,Paramètres!$A$1:$I$89,5,0)</f>
        <v>34.070400000000056</v>
      </c>
      <c r="AK137" s="13">
        <f t="shared" si="143"/>
        <v>10.412633617059328</v>
      </c>
      <c r="AL137" s="20">
        <f t="shared" si="112"/>
        <v>77.474616883045101</v>
      </c>
      <c r="AM137" s="59">
        <f t="shared" si="113"/>
        <v>370.8079502163784</v>
      </c>
      <c r="AN137" s="59">
        <f ca="1">AVERAGE(OFFSET($AM$3,0,0,'Données projet'!$E$10+1,1))-AVERAGE(OFFSET($H$3,0,0,'Données projet'!$E$10+1,1))</f>
        <v>260.53994021583316</v>
      </c>
      <c r="AO137" s="59">
        <f t="shared" si="144"/>
        <v>669.20238852709122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6.5809860698743669E-14</v>
      </c>
      <c r="AX137" s="21">
        <f t="shared" si="114"/>
        <v>6.5809860698743669E-14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-1.1527845344971866E-13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279.20364724206644</v>
      </c>
      <c r="BJ137" s="59">
        <f t="shared" si="146"/>
        <v>173.99850582760712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0.19471230027316191</v>
      </c>
      <c r="BR137" s="21">
        <f>EXP(-LN(2)/2)*BR136+(1-EXP(-LN(2)/2))/(LN(2)/2)*BL137*BO137*VLOOKUP('Données projet'!$B$11,Paramètres!$A$1:$I$89,3,0)*0.475*44/12</f>
        <v>1.5401764558656855E-15</v>
      </c>
      <c r="BS137" s="22">
        <f t="shared" si="117"/>
        <v>0.19471230027316344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-1.2946657079737634E-13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327.06866218660838</v>
      </c>
      <c r="CE137" s="59">
        <f t="shared" si="148"/>
        <v>202.18198935334908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0.2186768910760124</v>
      </c>
      <c r="CM137" s="21">
        <f>EXP(-LN(2)/2)*CM136+(1-EXP(-LN(2)/2))/(LN(2)/2)*CG137*CJ137*VLOOKUP('Données projet'!$B$12,Paramètres!$A$1:$I$89,3,0)*0.475*44/12</f>
        <v>1.7297366350491685E-15</v>
      </c>
      <c r="CN137" s="22">
        <f t="shared" si="120"/>
        <v>0.21867689107601412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-5.1159076974727213E-13</v>
      </c>
      <c r="CU137" s="17">
        <f>CT137*VLOOKUP('Données projet'!$B$13,Paramètres!$A$1:$I$89,3,0)*VLOOKUP('Données projet'!$B$13,Paramètres!$A$1:$I$89,5,0)</f>
        <v>-4.1500243241898714E-13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266.72672633301022</v>
      </c>
      <c r="CZ137" s="59">
        <f t="shared" si="150"/>
        <v>314.26991662544219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0.3441536801739622</v>
      </c>
      <c r="DG137" s="21">
        <f>EXP(-LN(2)/25)*DG136+(1-EXP(-LN(2)/25))/(LN(2)/25)*Calculateur!DB137*Calculateur!DD137*VLOOKUP('Données projet'!$B$13,Paramètres!$A$1:$I$89,3,0)*0.475*44/12</f>
        <v>0.94953268740787877</v>
      </c>
      <c r="DH137" s="21">
        <f>EXP(-LN(2)/2)*DH136+(1-EXP(-LN(2)/2))/(LN(2)/2)*DB137*DE137*VLOOKUP('Données projet'!$B$13,Paramètres!$A$1:$I$89,3,0)*0.475*44/12</f>
        <v>5.4423993901667663E-15</v>
      </c>
      <c r="DI137" s="22">
        <f t="shared" si="123"/>
        <v>1.2936863675818466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-5.6843418860808015E-14</v>
      </c>
      <c r="DP137" s="17">
        <f>DO137*VLOOKUP('Données projet'!$B$14,Paramètres!$A$1:$I$89,3,0)*VLOOKUP('Données projet'!$B$14,Paramètres!$A$1:$I$89,5,0)</f>
        <v>-6.1186256061773749E-14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442.54137223086991</v>
      </c>
      <c r="DU137" s="59">
        <f t="shared" si="152"/>
        <v>454.23406186660714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0.25442789927146492</v>
      </c>
      <c r="EB137" s="21">
        <f>EXP(-LN(2)/25)*EB136+(1-EXP(-LN(2)/25))/(LN(2)/25)*Calculateur!DW137*Calculateur!DY137*VLOOKUP('Données projet'!$B$14,Paramètres!$A$1:$I$89,3,0)*0.475*44/12</f>
        <v>0.64618556293551488</v>
      </c>
      <c r="EC137" s="21">
        <f>EXP(-LN(2)/2)*EC136+(1-EXP(-LN(2)/2))/(LN(2)/2)*DW137*DZ137*VLOOKUP('Données projet'!$B$14,Paramètres!$A$1:$I$89,3,0)*0.475*44/12</f>
        <v>4.0052911750462271E-15</v>
      </c>
      <c r="ED137" s="22">
        <f t="shared" si="126"/>
        <v>0.90061346220698379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201.49055911472067</v>
      </c>
      <c r="T138" s="59">
        <f t="shared" si="142"/>
        <v>403.37692064114719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9.3163532928187109</v>
      </c>
      <c r="AA138" s="21">
        <f>EXP(-LN(2)/25)*AA137+(1-EXP(-LN(2)/25))/(LN(2)/25)*Calculateur!V138*Calculateur!X138*VLOOKUP('Données projet'!$B$9,Paramètres!$A$1:$I$89,3,0)*0.475*44/12</f>
        <v>3.6750772730612833</v>
      </c>
      <c r="AB138" s="21">
        <f>EXP(-LN(2)/2)*AB137+(1-EXP(-LN(2)/2))/(LN(2)/2)*V138*Y138*VLOOKUP('Données projet'!$B$9,Paramètres!$A$1:$I$89,3,0)*0.475*44/12</f>
        <v>8.0567432871311043E-14</v>
      </c>
      <c r="AC138" s="22">
        <f t="shared" si="111"/>
        <v>12.991430565880075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39.000000000000057</v>
      </c>
      <c r="AJ138" s="13">
        <f>AI138*VLOOKUP('Données projet'!$B$10,Paramètres!$A$1:$I$89,3,0)*VLOOKUP('Données projet'!$B$10,Paramètres!$A$1:$I$89,5,0)</f>
        <v>34.070400000000056</v>
      </c>
      <c r="AK138" s="13">
        <f t="shared" si="143"/>
        <v>10.412633617059328</v>
      </c>
      <c r="AL138" s="20">
        <f t="shared" si="112"/>
        <v>77.474616883045101</v>
      </c>
      <c r="AM138" s="59">
        <f t="shared" si="113"/>
        <v>370.8079502163784</v>
      </c>
      <c r="AN138" s="59">
        <f ca="1">AVERAGE(OFFSET($AM$3,0,0,'Données projet'!$E$10+1,1))-AVERAGE(OFFSET($H$3,0,0,'Données projet'!$E$10+1,1))</f>
        <v>260.53994021583316</v>
      </c>
      <c r="AO138" s="59">
        <f t="shared" si="144"/>
        <v>669.20238852709122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4.6534598769023714E-14</v>
      </c>
      <c r="AX138" s="21">
        <f t="shared" si="114"/>
        <v>4.6534598769023714E-14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-1.1527845344971866E-13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279.20364724206644</v>
      </c>
      <c r="BJ138" s="59">
        <f t="shared" si="146"/>
        <v>173.99850582760712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0.18938788218271746</v>
      </c>
      <c r="BR138" s="21">
        <f>EXP(-LN(2)/2)*BR137+(1-EXP(-LN(2)/2))/(LN(2)/2)*BL138*BO138*VLOOKUP('Données projet'!$B$11,Paramètres!$A$1:$I$89,3,0)*0.475*44/12</f>
        <v>1.0890692161664895E-15</v>
      </c>
      <c r="BS138" s="22">
        <f t="shared" si="117"/>
        <v>0.18938788218271854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-1.2946657079737634E-13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327.06866218660838</v>
      </c>
      <c r="CE138" s="59">
        <f t="shared" si="148"/>
        <v>202.18198935334908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0.21269715998982094</v>
      </c>
      <c r="CM138" s="21">
        <f>EXP(-LN(2)/2)*CM137+(1-EXP(-LN(2)/2))/(LN(2)/2)*CG138*CJ138*VLOOKUP('Données projet'!$B$12,Paramètres!$A$1:$I$89,3,0)*0.475*44/12</f>
        <v>1.2231085043100675E-15</v>
      </c>
      <c r="CN138" s="22">
        <f t="shared" si="120"/>
        <v>0.21269715998982217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-5.1159076974727213E-13</v>
      </c>
      <c r="CU138" s="17">
        <f>CT138*VLOOKUP('Données projet'!$B$13,Paramètres!$A$1:$I$89,3,0)*VLOOKUP('Données projet'!$B$13,Paramètres!$A$1:$I$89,5,0)</f>
        <v>-4.1500243241898714E-13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266.72672633301022</v>
      </c>
      <c r="CZ138" s="59">
        <f t="shared" si="150"/>
        <v>314.26991662544219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0.33740503641876851</v>
      </c>
      <c r="DG138" s="21">
        <f>EXP(-LN(2)/25)*DG137+(1-EXP(-LN(2)/25))/(LN(2)/25)*Calculateur!DB138*Calculateur!DD138*VLOOKUP('Données projet'!$B$13,Paramètres!$A$1:$I$89,3,0)*0.475*44/12</f>
        <v>0.92356766613695651</v>
      </c>
      <c r="DH138" s="21">
        <f>EXP(-LN(2)/2)*DH137+(1-EXP(-LN(2)/2))/(LN(2)/2)*DB138*DE138*VLOOKUP('Données projet'!$B$13,Paramètres!$A$1:$I$89,3,0)*0.475*44/12</f>
        <v>3.8483575147124513E-15</v>
      </c>
      <c r="DI138" s="22">
        <f t="shared" si="123"/>
        <v>1.2609727025557287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-5.6843418860808015E-14</v>
      </c>
      <c r="DP138" s="17">
        <f>DO138*VLOOKUP('Données projet'!$B$14,Paramètres!$A$1:$I$89,3,0)*VLOOKUP('Données projet'!$B$14,Paramètres!$A$1:$I$89,5,0)</f>
        <v>-6.1186256061773749E-14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442.54137223086991</v>
      </c>
      <c r="DU138" s="59">
        <f t="shared" si="152"/>
        <v>454.23406186660714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0.24943872335244674</v>
      </c>
      <c r="EB138" s="21">
        <f>EXP(-LN(2)/25)*EB137+(1-EXP(-LN(2)/25))/(LN(2)/25)*Calculateur!DW138*Calculateur!DY138*VLOOKUP('Données projet'!$B$14,Paramètres!$A$1:$I$89,3,0)*0.475*44/12</f>
        <v>0.6285155847356213</v>
      </c>
      <c r="EC138" s="21">
        <f>EXP(-LN(2)/2)*EC137+(1-EXP(-LN(2)/2))/(LN(2)/2)*DW138*DZ138*VLOOKUP('Données projet'!$B$14,Paramètres!$A$1:$I$89,3,0)*0.475*44/12</f>
        <v>2.8321685505018223E-15</v>
      </c>
      <c r="ED138" s="22">
        <f t="shared" si="126"/>
        <v>0.87795430808807096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201.49055911472067</v>
      </c>
      <c r="T139" s="59">
        <f t="shared" si="142"/>
        <v>403.37692064114719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9.1336652871609534</v>
      </c>
      <c r="AA139" s="21">
        <f>EXP(-LN(2)/25)*AA138+(1-EXP(-LN(2)/25))/(LN(2)/25)*Calculateur!V139*Calculateur!X139*VLOOKUP('Données projet'!$B$9,Paramètres!$A$1:$I$89,3,0)*0.475*44/12</f>
        <v>3.574582091765508</v>
      </c>
      <c r="AB139" s="21">
        <f>EXP(-LN(2)/2)*AB138+(1-EXP(-LN(2)/2))/(LN(2)/2)*V139*Y139*VLOOKUP('Données projet'!$B$9,Paramètres!$A$1:$I$89,3,0)*0.475*44/12</f>
        <v>5.6969778126095993E-14</v>
      </c>
      <c r="AC139" s="22">
        <f t="shared" si="111"/>
        <v>12.708247378926519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39.000000000000057</v>
      </c>
      <c r="AJ139" s="13">
        <f>AI139*VLOOKUP('Données projet'!$B$10,Paramètres!$A$1:$I$89,3,0)*VLOOKUP('Données projet'!$B$10,Paramètres!$A$1:$I$89,5,0)</f>
        <v>34.070400000000056</v>
      </c>
      <c r="AK139" s="13">
        <f t="shared" si="143"/>
        <v>10.412633617059328</v>
      </c>
      <c r="AL139" s="20">
        <f t="shared" si="112"/>
        <v>77.474616883045101</v>
      </c>
      <c r="AM139" s="59">
        <f t="shared" si="113"/>
        <v>370.8079502163784</v>
      </c>
      <c r="AN139" s="59">
        <f ca="1">AVERAGE(OFFSET($AM$3,0,0,'Données projet'!$E$10+1,1))-AVERAGE(OFFSET($H$3,0,0,'Données projet'!$E$10+1,1))</f>
        <v>260.53994021583316</v>
      </c>
      <c r="AO139" s="59">
        <f t="shared" si="144"/>
        <v>669.20238852709122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3.2904930349371834E-14</v>
      </c>
      <c r="AX139" s="21">
        <f t="shared" si="114"/>
        <v>3.2904930349371834E-14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-1.1527845344971866E-13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279.20364724206644</v>
      </c>
      <c r="BJ139" s="59">
        <f t="shared" si="146"/>
        <v>173.99850582760712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0.18420906058495518</v>
      </c>
      <c r="BR139" s="21">
        <f>EXP(-LN(2)/2)*BR138+(1-EXP(-LN(2)/2))/(LN(2)/2)*BL139*BO139*VLOOKUP('Données projet'!$B$11,Paramètres!$A$1:$I$89,3,0)*0.475*44/12</f>
        <v>7.7008822793284273E-16</v>
      </c>
      <c r="BS139" s="22">
        <f t="shared" si="117"/>
        <v>0.18420906058495595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-1.2946657079737634E-13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327.06866218660838</v>
      </c>
      <c r="CE139" s="59">
        <f t="shared" si="148"/>
        <v>202.18198935334908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0.20688094496464177</v>
      </c>
      <c r="CM139" s="21">
        <f>EXP(-LN(2)/2)*CM138+(1-EXP(-LN(2)/2))/(LN(2)/2)*CG139*CJ139*VLOOKUP('Données projet'!$B$12,Paramètres!$A$1:$I$89,3,0)*0.475*44/12</f>
        <v>8.6486831752458435E-16</v>
      </c>
      <c r="CN139" s="22">
        <f t="shared" si="120"/>
        <v>0.20688094496464263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-5.1159076974727213E-13</v>
      </c>
      <c r="CU139" s="17">
        <f>CT139*VLOOKUP('Données projet'!$B$13,Paramètres!$A$1:$I$89,3,0)*VLOOKUP('Données projet'!$B$13,Paramètres!$A$1:$I$89,5,0)</f>
        <v>-4.1500243241898714E-13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266.72672633301022</v>
      </c>
      <c r="CZ139" s="59">
        <f t="shared" si="150"/>
        <v>314.26991662544219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0.33078872945134796</v>
      </c>
      <c r="DG139" s="21">
        <f>EXP(-LN(2)/25)*DG138+(1-EXP(-LN(2)/25))/(LN(2)/25)*Calculateur!DB139*Calculateur!DD139*VLOOKUP('Données projet'!$B$13,Paramètres!$A$1:$I$89,3,0)*0.475*44/12</f>
        <v>0.89831265973812868</v>
      </c>
      <c r="DH139" s="21">
        <f>EXP(-LN(2)/2)*DH138+(1-EXP(-LN(2)/2))/(LN(2)/2)*DB139*DE139*VLOOKUP('Données projet'!$B$13,Paramètres!$A$1:$I$89,3,0)*0.475*44/12</f>
        <v>2.7211996950833832E-15</v>
      </c>
      <c r="DI139" s="22">
        <f t="shared" si="123"/>
        <v>1.2291013891894793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-5.6843418860808015E-14</v>
      </c>
      <c r="DP139" s="17">
        <f>DO139*VLOOKUP('Données projet'!$B$14,Paramètres!$A$1:$I$89,3,0)*VLOOKUP('Données projet'!$B$14,Paramètres!$A$1:$I$89,5,0)</f>
        <v>-6.1186256061773749E-14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442.54137223086991</v>
      </c>
      <c r="DU139" s="59">
        <f t="shared" si="152"/>
        <v>454.23406186660714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0.24454738213010366</v>
      </c>
      <c r="EB139" s="21">
        <f>EXP(-LN(2)/25)*EB138+(1-EXP(-LN(2)/25))/(LN(2)/25)*Calculateur!DW139*Calculateur!DY139*VLOOKUP('Données projet'!$B$14,Paramètres!$A$1:$I$89,3,0)*0.475*44/12</f>
        <v>0.61132879301882759</v>
      </c>
      <c r="EC139" s="21">
        <f>EXP(-LN(2)/2)*EC138+(1-EXP(-LN(2)/2))/(LN(2)/2)*DW139*DZ139*VLOOKUP('Données projet'!$B$14,Paramètres!$A$1:$I$89,3,0)*0.475*44/12</f>
        <v>2.0026455875231135E-15</v>
      </c>
      <c r="ED139" s="22">
        <f t="shared" si="126"/>
        <v>0.85587617514893322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201.49055911472067</v>
      </c>
      <c r="T140" s="59">
        <f t="shared" si="142"/>
        <v>403.37692064114719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8.9545596818654634</v>
      </c>
      <c r="AA140" s="21">
        <f>EXP(-LN(2)/25)*AA139+(1-EXP(-LN(2)/25))/(LN(2)/25)*Calculateur!V140*Calculateur!X140*VLOOKUP('Données projet'!$B$9,Paramètres!$A$1:$I$89,3,0)*0.475*44/12</f>
        <v>3.4768349564870777</v>
      </c>
      <c r="AB140" s="21">
        <f>EXP(-LN(2)/2)*AB139+(1-EXP(-LN(2)/2))/(LN(2)/2)*V140*Y140*VLOOKUP('Données projet'!$B$9,Paramètres!$A$1:$I$89,3,0)*0.475*44/12</f>
        <v>4.0283716435655522E-14</v>
      </c>
      <c r="AC140" s="22">
        <f t="shared" si="111"/>
        <v>12.431394638352582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39.000000000000057</v>
      </c>
      <c r="AJ140" s="13">
        <f>AI140*VLOOKUP('Données projet'!$B$10,Paramètres!$A$1:$I$89,3,0)*VLOOKUP('Données projet'!$B$10,Paramètres!$A$1:$I$89,5,0)</f>
        <v>34.070400000000056</v>
      </c>
      <c r="AK140" s="13">
        <f t="shared" si="143"/>
        <v>10.412633617059328</v>
      </c>
      <c r="AL140" s="20">
        <f t="shared" si="112"/>
        <v>77.474616883045101</v>
      </c>
      <c r="AM140" s="59">
        <f t="shared" si="113"/>
        <v>370.8079502163784</v>
      </c>
      <c r="AN140" s="59">
        <f ca="1">AVERAGE(OFFSET($AM$3,0,0,'Données projet'!$E$10+1,1))-AVERAGE(OFFSET($H$3,0,0,'Données projet'!$E$10+1,1))</f>
        <v>260.53994021583316</v>
      </c>
      <c r="AO140" s="59">
        <f t="shared" si="144"/>
        <v>669.20238852709122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2.3267299384511857E-14</v>
      </c>
      <c r="AX140" s="21">
        <f t="shared" si="114"/>
        <v>2.3267299384511857E-14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-1.1527845344971866E-13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279.20364724206644</v>
      </c>
      <c r="BJ140" s="59">
        <f t="shared" si="146"/>
        <v>173.99850582760712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0.1791718541361261</v>
      </c>
      <c r="BR140" s="21">
        <f>EXP(-LN(2)/2)*BR139+(1-EXP(-LN(2)/2))/(LN(2)/2)*BL140*BO140*VLOOKUP('Données projet'!$B$11,Paramètres!$A$1:$I$89,3,0)*0.475*44/12</f>
        <v>5.4453460808324476E-16</v>
      </c>
      <c r="BS140" s="22">
        <f t="shared" si="117"/>
        <v>0.17917185413612666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-1.2946657079737634E-13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327.06866218660838</v>
      </c>
      <c r="CE140" s="59">
        <f t="shared" si="148"/>
        <v>202.18198935334908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0.20122377464518756</v>
      </c>
      <c r="CM140" s="21">
        <f>EXP(-LN(2)/2)*CM139+(1-EXP(-LN(2)/2))/(LN(2)/2)*CG140*CJ140*VLOOKUP('Données projet'!$B$12,Paramètres!$A$1:$I$89,3,0)*0.475*44/12</f>
        <v>6.1155425215503386E-16</v>
      </c>
      <c r="CN140" s="22">
        <f t="shared" si="120"/>
        <v>0.20122377464518817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-5.1159076974727213E-13</v>
      </c>
      <c r="CU140" s="17">
        <f>CT140*VLOOKUP('Données projet'!$B$13,Paramètres!$A$1:$I$89,3,0)*VLOOKUP('Données projet'!$B$13,Paramètres!$A$1:$I$89,5,0)</f>
        <v>-4.1500243241898714E-13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266.72672633301022</v>
      </c>
      <c r="CZ140" s="59">
        <f t="shared" si="150"/>
        <v>314.26991662544219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0.32430216422800973</v>
      </c>
      <c r="DG140" s="21">
        <f>EXP(-LN(2)/25)*DG139+(1-EXP(-LN(2)/25))/(LN(2)/25)*Calculateur!DB140*Calculateur!DD140*VLOOKUP('Données projet'!$B$13,Paramètres!$A$1:$I$89,3,0)*0.475*44/12</f>
        <v>0.87374825281737989</v>
      </c>
      <c r="DH140" s="21">
        <f>EXP(-LN(2)/2)*DH139+(1-EXP(-LN(2)/2))/(LN(2)/2)*DB140*DE140*VLOOKUP('Données projet'!$B$13,Paramètres!$A$1:$I$89,3,0)*0.475*44/12</f>
        <v>1.9241787573562256E-15</v>
      </c>
      <c r="DI140" s="22">
        <f t="shared" si="123"/>
        <v>1.1980504170453916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-5.6843418860808015E-14</v>
      </c>
      <c r="DP140" s="17">
        <f>DO140*VLOOKUP('Données projet'!$B$14,Paramètres!$A$1:$I$89,3,0)*VLOOKUP('Données projet'!$B$14,Paramètres!$A$1:$I$89,5,0)</f>
        <v>-6.1186256061773749E-14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442.54137223086991</v>
      </c>
      <c r="DU140" s="59">
        <f t="shared" si="152"/>
        <v>454.23406186660714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0.23975195712570718</v>
      </c>
      <c r="EB140" s="21">
        <f>EXP(-LN(2)/25)*EB139+(1-EXP(-LN(2)/25))/(LN(2)/25)*Calculateur!DW140*Calculateur!DY140*VLOOKUP('Données projet'!$B$14,Paramètres!$A$1:$I$89,3,0)*0.475*44/12</f>
        <v>0.59461197502534369</v>
      </c>
      <c r="EC140" s="21">
        <f>EXP(-LN(2)/2)*EC139+(1-EXP(-LN(2)/2))/(LN(2)/2)*DW140*DZ140*VLOOKUP('Données projet'!$B$14,Paramètres!$A$1:$I$89,3,0)*0.475*44/12</f>
        <v>1.4160842752509112E-15</v>
      </c>
      <c r="ED140" s="22">
        <f t="shared" si="126"/>
        <v>0.83436393215105231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201.49055911472067</v>
      </c>
      <c r="T141" s="59">
        <f t="shared" si="142"/>
        <v>403.37692064114719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8.7789662282461851</v>
      </c>
      <c r="AA141" s="21">
        <f>EXP(-LN(2)/25)*AA140+(1-EXP(-LN(2)/25))/(LN(2)/25)*Calculateur!V141*Calculateur!X141*VLOOKUP('Données projet'!$B$9,Paramètres!$A$1:$I$89,3,0)*0.475*44/12</f>
        <v>3.3817607217631345</v>
      </c>
      <c r="AB141" s="21">
        <f>EXP(-LN(2)/2)*AB140+(1-EXP(-LN(2)/2))/(LN(2)/2)*V141*Y141*VLOOKUP('Données projet'!$B$9,Paramètres!$A$1:$I$89,3,0)*0.475*44/12</f>
        <v>2.8484889063047997E-14</v>
      </c>
      <c r="AC141" s="22">
        <f t="shared" si="111"/>
        <v>12.160726950009348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39.000000000000057</v>
      </c>
      <c r="AJ141" s="13">
        <f>AI141*VLOOKUP('Données projet'!$B$10,Paramètres!$A$1:$I$89,3,0)*VLOOKUP('Données projet'!$B$10,Paramètres!$A$1:$I$89,5,0)</f>
        <v>34.070400000000056</v>
      </c>
      <c r="AK141" s="13">
        <f t="shared" si="143"/>
        <v>10.412633617059328</v>
      </c>
      <c r="AL141" s="20">
        <f t="shared" si="112"/>
        <v>77.474616883045101</v>
      </c>
      <c r="AM141" s="59">
        <f t="shared" si="113"/>
        <v>370.8079502163784</v>
      </c>
      <c r="AN141" s="59">
        <f ca="1">AVERAGE(OFFSET($AM$3,0,0,'Données projet'!$E$10+1,1))-AVERAGE(OFFSET($H$3,0,0,'Données projet'!$E$10+1,1))</f>
        <v>260.53994021583316</v>
      </c>
      <c r="AO141" s="59">
        <f t="shared" si="144"/>
        <v>669.20238852709122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1.6452465174685917E-14</v>
      </c>
      <c r="AX141" s="21">
        <f t="shared" si="114"/>
        <v>1.6452465174685917E-14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-1.1527845344971866E-13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279.20364724206644</v>
      </c>
      <c r="BJ141" s="59">
        <f t="shared" si="146"/>
        <v>173.99850582760712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0.17427239036253542</v>
      </c>
      <c r="BR141" s="21">
        <f>EXP(-LN(2)/2)*BR140+(1-EXP(-LN(2)/2))/(LN(2)/2)*BL141*BO141*VLOOKUP('Données projet'!$B$11,Paramètres!$A$1:$I$89,3,0)*0.475*44/12</f>
        <v>3.8504411396642137E-16</v>
      </c>
      <c r="BS141" s="22">
        <f t="shared" si="117"/>
        <v>0.17427239036253581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-1.2946657079737634E-13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327.06866218660838</v>
      </c>
      <c r="CE141" s="59">
        <f t="shared" si="148"/>
        <v>202.18198935334908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0.19572129994561652</v>
      </c>
      <c r="CM141" s="21">
        <f>EXP(-LN(2)/2)*CM140+(1-EXP(-LN(2)/2))/(LN(2)/2)*CG141*CJ141*VLOOKUP('Données projet'!$B$12,Paramètres!$A$1:$I$89,3,0)*0.475*44/12</f>
        <v>4.3243415876229228E-16</v>
      </c>
      <c r="CN141" s="22">
        <f t="shared" si="120"/>
        <v>0.19572129994561696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-5.1159076974727213E-13</v>
      </c>
      <c r="CU141" s="17">
        <f>CT141*VLOOKUP('Données projet'!$B$13,Paramètres!$A$1:$I$89,3,0)*VLOOKUP('Données projet'!$B$13,Paramètres!$A$1:$I$89,5,0)</f>
        <v>-4.1500243241898714E-13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266.72672633301022</v>
      </c>
      <c r="CZ141" s="59">
        <f t="shared" si="150"/>
        <v>314.26991662544219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0.31794279659228702</v>
      </c>
      <c r="DG141" s="21">
        <f>EXP(-LN(2)/25)*DG140+(1-EXP(-LN(2)/25))/(LN(2)/25)*Calculateur!DB141*Calculateur!DD141*VLOOKUP('Données projet'!$B$13,Paramètres!$A$1:$I$89,3,0)*0.475*44/12</f>
        <v>0.84985556089566505</v>
      </c>
      <c r="DH141" s="21">
        <f>EXP(-LN(2)/2)*DH140+(1-EXP(-LN(2)/2))/(LN(2)/2)*DB141*DE141*VLOOKUP('Données projet'!$B$13,Paramètres!$A$1:$I$89,3,0)*0.475*44/12</f>
        <v>1.3605998475416916E-15</v>
      </c>
      <c r="DI141" s="22">
        <f t="shared" si="123"/>
        <v>1.1677983574879534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-5.6843418860808015E-14</v>
      </c>
      <c r="DP141" s="17">
        <f>DO141*VLOOKUP('Données projet'!$B$14,Paramètres!$A$1:$I$89,3,0)*VLOOKUP('Données projet'!$B$14,Paramètres!$A$1:$I$89,5,0)</f>
        <v>-6.1186256061773749E-14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442.54137223086991</v>
      </c>
      <c r="DU141" s="59">
        <f t="shared" si="152"/>
        <v>454.23406186660714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0.23505056748072647</v>
      </c>
      <c r="EB141" s="21">
        <f>EXP(-LN(2)/25)*EB140+(1-EXP(-LN(2)/25))/(LN(2)/25)*Calculateur!DW141*Calculateur!DY141*VLOOKUP('Données projet'!$B$14,Paramètres!$A$1:$I$89,3,0)*0.475*44/12</f>
        <v>0.57835227929899091</v>
      </c>
      <c r="EC141" s="21">
        <f>EXP(-LN(2)/2)*EC140+(1-EXP(-LN(2)/2))/(LN(2)/2)*DW141*DZ141*VLOOKUP('Données projet'!$B$14,Paramètres!$A$1:$I$89,3,0)*0.475*44/12</f>
        <v>1.0013227937615568E-15</v>
      </c>
      <c r="ED141" s="22">
        <f t="shared" si="126"/>
        <v>0.81340284677971841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201.49055911472067</v>
      </c>
      <c r="T142" s="59">
        <f t="shared" si="142"/>
        <v>403.37692064114719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8.6068160551509489</v>
      </c>
      <c r="AA142" s="21">
        <f>EXP(-LN(2)/25)*AA141+(1-EXP(-LN(2)/25))/(LN(2)/25)*Calculateur!V142*Calculateur!X142*VLOOKUP('Données projet'!$B$9,Paramètres!$A$1:$I$89,3,0)*0.475*44/12</f>
        <v>3.2892862969874543</v>
      </c>
      <c r="AB142" s="21">
        <f>EXP(-LN(2)/2)*AB141+(1-EXP(-LN(2)/2))/(LN(2)/2)*V142*Y142*VLOOKUP('Données projet'!$B$9,Paramètres!$A$1:$I$89,3,0)*0.475*44/12</f>
        <v>2.0141858217827761E-14</v>
      </c>
      <c r="AC142" s="22">
        <f t="shared" si="111"/>
        <v>11.896102352138422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39.000000000000057</v>
      </c>
      <c r="AJ142" s="13">
        <f>AI142*VLOOKUP('Données projet'!$B$10,Paramètres!$A$1:$I$89,3,0)*VLOOKUP('Données projet'!$B$10,Paramètres!$A$1:$I$89,5,0)</f>
        <v>34.070400000000056</v>
      </c>
      <c r="AK142" s="13">
        <f t="shared" si="143"/>
        <v>10.412633617059328</v>
      </c>
      <c r="AL142" s="20">
        <f t="shared" si="112"/>
        <v>77.474616883045101</v>
      </c>
      <c r="AM142" s="59">
        <f t="shared" si="113"/>
        <v>370.8079502163784</v>
      </c>
      <c r="AN142" s="59">
        <f ca="1">AVERAGE(OFFSET($AM$3,0,0,'Données projet'!$E$10+1,1))-AVERAGE(OFFSET($H$3,0,0,'Données projet'!$E$10+1,1))</f>
        <v>260.53994021583316</v>
      </c>
      <c r="AO142" s="59">
        <f t="shared" si="144"/>
        <v>669.20238852709122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1.1633649692255928E-14</v>
      </c>
      <c r="AX142" s="21">
        <f t="shared" si="114"/>
        <v>1.1633649692255928E-14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-1.1527845344971866E-13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279.20364724206644</v>
      </c>
      <c r="BJ142" s="59">
        <f t="shared" si="146"/>
        <v>173.99850582760712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0.16950690268348517</v>
      </c>
      <c r="BR142" s="21">
        <f>EXP(-LN(2)/2)*BR141+(1-EXP(-LN(2)/2))/(LN(2)/2)*BL142*BO142*VLOOKUP('Données projet'!$B$11,Paramètres!$A$1:$I$89,3,0)*0.475*44/12</f>
        <v>2.7226730404162238E-16</v>
      </c>
      <c r="BS142" s="22">
        <f t="shared" si="117"/>
        <v>0.16950690268348545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-1.2946657079737634E-13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327.06866218660838</v>
      </c>
      <c r="CE142" s="59">
        <f t="shared" si="148"/>
        <v>202.18198935334908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0.19036929070606778</v>
      </c>
      <c r="CM142" s="21">
        <f>EXP(-LN(2)/2)*CM141+(1-EXP(-LN(2)/2))/(LN(2)/2)*CG142*CJ142*VLOOKUP('Données projet'!$B$12,Paramètres!$A$1:$I$89,3,0)*0.475*44/12</f>
        <v>3.0577712607751698E-16</v>
      </c>
      <c r="CN142" s="22">
        <f t="shared" si="120"/>
        <v>0.19036929070606809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-5.1159076974727213E-13</v>
      </c>
      <c r="CU142" s="17">
        <f>CT142*VLOOKUP('Données projet'!$B$13,Paramètres!$A$1:$I$89,3,0)*VLOOKUP('Données projet'!$B$13,Paramètres!$A$1:$I$89,5,0)</f>
        <v>-4.1500243241898714E-13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266.72672633301022</v>
      </c>
      <c r="CZ142" s="59">
        <f t="shared" si="150"/>
        <v>314.26991662544219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0.31170813227706962</v>
      </c>
      <c r="DG142" s="21">
        <f>EXP(-LN(2)/25)*DG141+(1-EXP(-LN(2)/25))/(LN(2)/25)*Calculateur!DB142*Calculateur!DD142*VLOOKUP('Données projet'!$B$13,Paramètres!$A$1:$I$89,3,0)*0.475*44/12</f>
        <v>0.82661621589101153</v>
      </c>
      <c r="DH142" s="21">
        <f>EXP(-LN(2)/2)*DH141+(1-EXP(-LN(2)/2))/(LN(2)/2)*DB142*DE142*VLOOKUP('Données projet'!$B$13,Paramètres!$A$1:$I$89,3,0)*0.475*44/12</f>
        <v>9.6208937867811282E-16</v>
      </c>
      <c r="DI142" s="22">
        <f t="shared" si="123"/>
        <v>1.138324348168082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-5.6843418860808015E-14</v>
      </c>
      <c r="DP142" s="17">
        <f>DO142*VLOOKUP('Données projet'!$B$14,Paramètres!$A$1:$I$89,3,0)*VLOOKUP('Données projet'!$B$14,Paramètres!$A$1:$I$89,5,0)</f>
        <v>-6.1186256061773749E-14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442.54137223086991</v>
      </c>
      <c r="DU142" s="59">
        <f t="shared" si="152"/>
        <v>454.23406186660714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0.23044136921911931</v>
      </c>
      <c r="EB142" s="21">
        <f>EXP(-LN(2)/25)*EB141+(1-EXP(-LN(2)/25))/(LN(2)/25)*Calculateur!DW142*Calculateur!DY142*VLOOKUP('Données projet'!$B$14,Paramètres!$A$1:$I$89,3,0)*0.475*44/12</f>
        <v>0.56253720580733546</v>
      </c>
      <c r="EC142" s="21">
        <f>EXP(-LN(2)/2)*EC141+(1-EXP(-LN(2)/2))/(LN(2)/2)*DW142*DZ142*VLOOKUP('Données projet'!$B$14,Paramètres!$A$1:$I$89,3,0)*0.475*44/12</f>
        <v>7.0804213762545558E-16</v>
      </c>
      <c r="ED142" s="22">
        <f t="shared" si="126"/>
        <v>0.79297857502645541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201.49055911472067</v>
      </c>
      <c r="T143" s="59">
        <f t="shared" si="142"/>
        <v>403.37692064114719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8.4380416419488729</v>
      </c>
      <c r="AA143" s="21">
        <f>EXP(-LN(2)/25)*AA142+(1-EXP(-LN(2)/25))/(LN(2)/25)*Calculateur!V143*Calculateur!X143*VLOOKUP('Données projet'!$B$9,Paramètres!$A$1:$I$89,3,0)*0.475*44/12</f>
        <v>3.1993405902202836</v>
      </c>
      <c r="AB143" s="21">
        <f>EXP(-LN(2)/2)*AB142+(1-EXP(-LN(2)/2))/(LN(2)/2)*V143*Y143*VLOOKUP('Données projet'!$B$9,Paramètres!$A$1:$I$89,3,0)*0.475*44/12</f>
        <v>1.4242444531523998E-14</v>
      </c>
      <c r="AC143" s="22">
        <f t="shared" si="111"/>
        <v>11.63738223216917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39.000000000000057</v>
      </c>
      <c r="AJ143" s="13">
        <f>AI143*VLOOKUP('Données projet'!$B$10,Paramètres!$A$1:$I$89,3,0)*VLOOKUP('Données projet'!$B$10,Paramètres!$A$1:$I$89,5,0)</f>
        <v>34.070400000000056</v>
      </c>
      <c r="AK143" s="13">
        <f t="shared" si="143"/>
        <v>10.412633617059328</v>
      </c>
      <c r="AL143" s="20">
        <f t="shared" si="112"/>
        <v>77.474616883045101</v>
      </c>
      <c r="AM143" s="59">
        <f t="shared" si="113"/>
        <v>370.8079502163784</v>
      </c>
      <c r="AN143" s="59">
        <f ca="1">AVERAGE(OFFSET($AM$3,0,0,'Données projet'!$E$10+1,1))-AVERAGE(OFFSET($H$3,0,0,'Données projet'!$E$10+1,1))</f>
        <v>260.53994021583316</v>
      </c>
      <c r="AO143" s="59">
        <f t="shared" si="144"/>
        <v>669.20238852709122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8.2262325873429586E-15</v>
      </c>
      <c r="AX143" s="21">
        <f t="shared" si="114"/>
        <v>8.2262325873429586E-15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-1.1527845344971866E-13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279.20364724206644</v>
      </c>
      <c r="BJ143" s="59">
        <f t="shared" si="146"/>
        <v>173.99850582760712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0.16487172751562468</v>
      </c>
      <c r="BR143" s="21">
        <f>EXP(-LN(2)/2)*BR142+(1-EXP(-LN(2)/2))/(LN(2)/2)*BL143*BO143*VLOOKUP('Données projet'!$B$11,Paramètres!$A$1:$I$89,3,0)*0.475*44/12</f>
        <v>1.9252205698321068E-16</v>
      </c>
      <c r="BS143" s="22">
        <f t="shared" si="117"/>
        <v>0.16487172751562487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-1.2946657079737634E-13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327.06866218660838</v>
      </c>
      <c r="CE143" s="59">
        <f t="shared" si="148"/>
        <v>202.18198935334908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0.18516363244062445</v>
      </c>
      <c r="CM143" s="21">
        <f>EXP(-LN(2)/2)*CM142+(1-EXP(-LN(2)/2))/(LN(2)/2)*CG143*CJ143*VLOOKUP('Données projet'!$B$12,Paramètres!$A$1:$I$89,3,0)*0.475*44/12</f>
        <v>2.1621707938114616E-16</v>
      </c>
      <c r="CN143" s="22">
        <f t="shared" si="120"/>
        <v>0.18516363244062467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-5.1159076974727213E-13</v>
      </c>
      <c r="CU143" s="17">
        <f>CT143*VLOOKUP('Données projet'!$B$13,Paramètres!$A$1:$I$89,3,0)*VLOOKUP('Données projet'!$B$13,Paramètres!$A$1:$I$89,5,0)</f>
        <v>-4.1500243241898714E-13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266.72672633301022</v>
      </c>
      <c r="CZ143" s="59">
        <f t="shared" si="150"/>
        <v>314.26991662544219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0.30559572592630385</v>
      </c>
      <c r="DG143" s="21">
        <f>EXP(-LN(2)/25)*DG142+(1-EXP(-LN(2)/25))/(LN(2)/25)*Calculateur!DB143*Calculateur!DD143*VLOOKUP('Données projet'!$B$13,Paramètres!$A$1:$I$89,3,0)*0.475*44/12</f>
        <v>0.80401235199761423</v>
      </c>
      <c r="DH143" s="21">
        <f>EXP(-LN(2)/2)*DH142+(1-EXP(-LN(2)/2))/(LN(2)/2)*DB143*DE143*VLOOKUP('Données projet'!$B$13,Paramètres!$A$1:$I$89,3,0)*0.475*44/12</f>
        <v>6.8029992377084579E-16</v>
      </c>
      <c r="DI143" s="22">
        <f t="shared" si="123"/>
        <v>1.1096080779239188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-5.6843418860808015E-14</v>
      </c>
      <c r="DP143" s="17">
        <f>DO143*VLOOKUP('Données projet'!$B$14,Paramètres!$A$1:$I$89,3,0)*VLOOKUP('Données projet'!$B$14,Paramètres!$A$1:$I$89,5,0)</f>
        <v>-6.1186256061773749E-14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442.54137223086991</v>
      </c>
      <c r="DU143" s="59">
        <f t="shared" si="152"/>
        <v>454.23406186660714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0.22592255452408891</v>
      </c>
      <c r="EB143" s="21">
        <f>EXP(-LN(2)/25)*EB142+(1-EXP(-LN(2)/25))/(LN(2)/25)*Calculateur!DW143*Calculateur!DY143*VLOOKUP('Données projet'!$B$14,Paramètres!$A$1:$I$89,3,0)*0.475*44/12</f>
        <v>0.54715459633198793</v>
      </c>
      <c r="EC143" s="21">
        <f>EXP(-LN(2)/2)*EC142+(1-EXP(-LN(2)/2))/(LN(2)/2)*DW143*DZ143*VLOOKUP('Données projet'!$B$14,Paramètres!$A$1:$I$89,3,0)*0.475*44/12</f>
        <v>5.0066139688077839E-16</v>
      </c>
      <c r="ED143" s="22">
        <f t="shared" si="126"/>
        <v>0.77307715085607742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201.49055911472067</v>
      </c>
      <c r="T144" s="59">
        <f t="shared" si="142"/>
        <v>403.37692064114719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8.2725767920474631</v>
      </c>
      <c r="AA144" s="21">
        <f>EXP(-LN(2)/25)*AA143+(1-EXP(-LN(2)/25))/(LN(2)/25)*Calculateur!V144*Calculateur!X144*VLOOKUP('Données projet'!$B$9,Paramètres!$A$1:$I$89,3,0)*0.475*44/12</f>
        <v>3.1118544535347006</v>
      </c>
      <c r="AB144" s="21">
        <f>EXP(-LN(2)/2)*AB143+(1-EXP(-LN(2)/2))/(LN(2)/2)*V144*Y144*VLOOKUP('Données projet'!$B$9,Paramètres!$A$1:$I$89,3,0)*0.475*44/12</f>
        <v>1.007092910891388E-14</v>
      </c>
      <c r="AC144" s="22">
        <f t="shared" si="111"/>
        <v>11.384431245582174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39.000000000000057</v>
      </c>
      <c r="AJ144" s="13">
        <f>AI144*VLOOKUP('Données projet'!$B$10,Paramètres!$A$1:$I$89,3,0)*VLOOKUP('Données projet'!$B$10,Paramètres!$A$1:$I$89,5,0)</f>
        <v>34.070400000000056</v>
      </c>
      <c r="AK144" s="13">
        <f t="shared" si="143"/>
        <v>10.412633617059328</v>
      </c>
      <c r="AL144" s="20">
        <f t="shared" si="112"/>
        <v>77.474616883045101</v>
      </c>
      <c r="AM144" s="59">
        <f t="shared" si="113"/>
        <v>370.8079502163784</v>
      </c>
      <c r="AN144" s="59">
        <f ca="1">AVERAGE(OFFSET($AM$3,0,0,'Données projet'!$E$10+1,1))-AVERAGE(OFFSET($H$3,0,0,'Données projet'!$E$10+1,1))</f>
        <v>260.53994021583316</v>
      </c>
      <c r="AO144" s="59">
        <f t="shared" si="144"/>
        <v>669.20238852709122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5.8168248461279642E-15</v>
      </c>
      <c r="AX144" s="21">
        <f t="shared" si="114"/>
        <v>5.8168248461279642E-15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-1.1527845344971866E-13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279.20364724206644</v>
      </c>
      <c r="BJ144" s="59">
        <f t="shared" si="146"/>
        <v>173.99850582760712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0.16036330145648259</v>
      </c>
      <c r="BR144" s="21">
        <f>EXP(-LN(2)/2)*BR143+(1-EXP(-LN(2)/2))/(LN(2)/2)*BL144*BO144*VLOOKUP('Données projet'!$B$11,Paramètres!$A$1:$I$89,3,0)*0.475*44/12</f>
        <v>1.3613365202081119E-16</v>
      </c>
      <c r="BS144" s="22">
        <f t="shared" si="117"/>
        <v>0.16036330145648273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-1.2946657079737634E-13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327.06866218660838</v>
      </c>
      <c r="CE144" s="59">
        <f t="shared" si="148"/>
        <v>202.18198935334908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0.18010032317420335</v>
      </c>
      <c r="CM144" s="21">
        <f>EXP(-LN(2)/2)*CM143+(1-EXP(-LN(2)/2))/(LN(2)/2)*CG144*CJ144*VLOOKUP('Données projet'!$B$12,Paramètres!$A$1:$I$89,3,0)*0.475*44/12</f>
        <v>1.5288856303875851E-16</v>
      </c>
      <c r="CN144" s="22">
        <f t="shared" si="120"/>
        <v>0.18010032317420352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-5.1159076974727213E-13</v>
      </c>
      <c r="CU144" s="17">
        <f>CT144*VLOOKUP('Données projet'!$B$13,Paramètres!$A$1:$I$89,3,0)*VLOOKUP('Données projet'!$B$13,Paramètres!$A$1:$I$89,5,0)</f>
        <v>-4.1500243241898714E-13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266.72672633301022</v>
      </c>
      <c r="CZ144" s="59">
        <f t="shared" si="150"/>
        <v>314.26991662544219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0.29960318013587689</v>
      </c>
      <c r="DG144" s="21">
        <f>EXP(-LN(2)/25)*DG143+(1-EXP(-LN(2)/25))/(LN(2)/25)*Calculateur!DB144*Calculateur!DD144*VLOOKUP('Données projet'!$B$13,Paramètres!$A$1:$I$89,3,0)*0.475*44/12</f>
        <v>0.7820265919510675</v>
      </c>
      <c r="DH144" s="21">
        <f>EXP(-LN(2)/2)*DH143+(1-EXP(-LN(2)/2))/(LN(2)/2)*DB144*DE144*VLOOKUP('Données projet'!$B$13,Paramètres!$A$1:$I$89,3,0)*0.475*44/12</f>
        <v>4.8104468933905641E-16</v>
      </c>
      <c r="DI144" s="22">
        <f t="shared" si="123"/>
        <v>1.0816297720869448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-5.6843418860808015E-14</v>
      </c>
      <c r="DP144" s="17">
        <f>DO144*VLOOKUP('Données projet'!$B$14,Paramètres!$A$1:$I$89,3,0)*VLOOKUP('Données projet'!$B$14,Paramètres!$A$1:$I$89,5,0)</f>
        <v>-6.1186256061773749E-14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442.54137223086991</v>
      </c>
      <c r="DU144" s="59">
        <f t="shared" si="152"/>
        <v>454.23406186660714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0.22149235102902326</v>
      </c>
      <c r="EB144" s="21">
        <f>EXP(-LN(2)/25)*EB143+(1-EXP(-LN(2)/25))/(LN(2)/25)*Calculateur!DW144*Calculateur!DY144*VLOOKUP('Données projet'!$B$14,Paramètres!$A$1:$I$89,3,0)*0.475*44/12</f>
        <v>0.53219262512168009</v>
      </c>
      <c r="EC144" s="21">
        <f>EXP(-LN(2)/2)*EC143+(1-EXP(-LN(2)/2))/(LN(2)/2)*DW144*DZ144*VLOOKUP('Données projet'!$B$14,Paramètres!$A$1:$I$89,3,0)*0.475*44/12</f>
        <v>3.5402106881272779E-16</v>
      </c>
      <c r="ED144" s="22">
        <f t="shared" si="126"/>
        <v>0.75368497615070373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201.49055911472067</v>
      </c>
      <c r="T145" s="59">
        <f t="shared" si="142"/>
        <v>403.37692064114719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8.1103566069290274</v>
      </c>
      <c r="AA145" s="21">
        <f>EXP(-LN(2)/25)*AA144+(1-EXP(-LN(2)/25))/(LN(2)/25)*Calculateur!V145*Calculateur!X145*VLOOKUP('Données projet'!$B$9,Paramètres!$A$1:$I$89,3,0)*0.475*44/12</f>
        <v>3.0267606298574807</v>
      </c>
      <c r="AB145" s="21">
        <f>EXP(-LN(2)/2)*AB144+(1-EXP(-LN(2)/2))/(LN(2)/2)*V145*Y145*VLOOKUP('Données projet'!$B$9,Paramètres!$A$1:$I$89,3,0)*0.475*44/12</f>
        <v>7.1212222657619992E-15</v>
      </c>
      <c r="AC145" s="22">
        <f t="shared" si="111"/>
        <v>11.137117236786516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39.000000000000057</v>
      </c>
      <c r="AJ145" s="13">
        <f>AI145*VLOOKUP('Données projet'!$B$10,Paramètres!$A$1:$I$89,3,0)*VLOOKUP('Données projet'!$B$10,Paramètres!$A$1:$I$89,5,0)</f>
        <v>34.070400000000056</v>
      </c>
      <c r="AK145" s="13">
        <f t="shared" si="143"/>
        <v>10.412633617059328</v>
      </c>
      <c r="AL145" s="20">
        <f t="shared" si="112"/>
        <v>77.474616883045101</v>
      </c>
      <c r="AM145" s="59">
        <f t="shared" si="113"/>
        <v>370.8079502163784</v>
      </c>
      <c r="AN145" s="59">
        <f ca="1">AVERAGE(OFFSET($AM$3,0,0,'Données projet'!$E$10+1,1))-AVERAGE(OFFSET($H$3,0,0,'Données projet'!$E$10+1,1))</f>
        <v>260.53994021583316</v>
      </c>
      <c r="AO145" s="59">
        <f t="shared" si="144"/>
        <v>669.20238852709122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4.1131162936714793E-15</v>
      </c>
      <c r="AX145" s="21">
        <f t="shared" si="114"/>
        <v>4.1131162936714793E-15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-1.1527845344971866E-13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279.20364724206644</v>
      </c>
      <c r="BJ145" s="59">
        <f t="shared" si="146"/>
        <v>173.99850582760712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0.15597815854501557</v>
      </c>
      <c r="BR145" s="21">
        <f>EXP(-LN(2)/2)*BR144+(1-EXP(-LN(2)/2))/(LN(2)/2)*BL145*BO145*VLOOKUP('Données projet'!$B$11,Paramètres!$A$1:$I$89,3,0)*0.475*44/12</f>
        <v>9.6261028491605342E-17</v>
      </c>
      <c r="BS145" s="22">
        <f t="shared" si="117"/>
        <v>0.15597815854501565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-1.2946657079737634E-13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327.06866218660838</v>
      </c>
      <c r="CE145" s="59">
        <f t="shared" si="148"/>
        <v>202.18198935334908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0.17517547036594039</v>
      </c>
      <c r="CM145" s="21">
        <f>EXP(-LN(2)/2)*CM144+(1-EXP(-LN(2)/2))/(LN(2)/2)*CG145*CJ145*VLOOKUP('Données projet'!$B$12,Paramètres!$A$1:$I$89,3,0)*0.475*44/12</f>
        <v>1.0810853969057311E-16</v>
      </c>
      <c r="CN145" s="22">
        <f t="shared" si="120"/>
        <v>0.1751754703659405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-5.1159076974727213E-13</v>
      </c>
      <c r="CU145" s="17">
        <f>CT145*VLOOKUP('Données projet'!$B$13,Paramètres!$A$1:$I$89,3,0)*VLOOKUP('Données projet'!$B$13,Paramètres!$A$1:$I$89,5,0)</f>
        <v>-4.1500243241898714E-13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266.72672633301022</v>
      </c>
      <c r="CZ145" s="59">
        <f t="shared" si="150"/>
        <v>314.26991662544219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0.29372814451330814</v>
      </c>
      <c r="DG145" s="21">
        <f>EXP(-LN(2)/25)*DG144+(1-EXP(-LN(2)/25))/(LN(2)/25)*Calculateur!DB145*Calculateur!DD145*VLOOKUP('Données projet'!$B$13,Paramètres!$A$1:$I$89,3,0)*0.475*44/12</f>
        <v>0.76064203366917438</v>
      </c>
      <c r="DH145" s="21">
        <f>EXP(-LN(2)/2)*DH144+(1-EXP(-LN(2)/2))/(LN(2)/2)*DB145*DE145*VLOOKUP('Données projet'!$B$13,Paramètres!$A$1:$I$89,3,0)*0.475*44/12</f>
        <v>3.401499618854229E-16</v>
      </c>
      <c r="DI145" s="22">
        <f t="shared" si="123"/>
        <v>1.054370178182483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-5.6843418860808015E-14</v>
      </c>
      <c r="DP145" s="17">
        <f>DO145*VLOOKUP('Données projet'!$B$14,Paramètres!$A$1:$I$89,3,0)*VLOOKUP('Données projet'!$B$14,Paramètres!$A$1:$I$89,5,0)</f>
        <v>-6.1186256061773749E-14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442.54137223086991</v>
      </c>
      <c r="DU145" s="59">
        <f t="shared" si="152"/>
        <v>454.23406186660714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0.21714902112233853</v>
      </c>
      <c r="EB145" s="21">
        <f>EXP(-LN(2)/25)*EB144+(1-EXP(-LN(2)/25))/(LN(2)/25)*Calculateur!DW145*Calculateur!DY145*VLOOKUP('Données projet'!$B$14,Paramètres!$A$1:$I$89,3,0)*0.475*44/12</f>
        <v>0.51763978980093395</v>
      </c>
      <c r="EC145" s="21">
        <f>EXP(-LN(2)/2)*EC144+(1-EXP(-LN(2)/2))/(LN(2)/2)*DW145*DZ145*VLOOKUP('Données projet'!$B$14,Paramètres!$A$1:$I$89,3,0)*0.475*44/12</f>
        <v>2.5033069844038919E-16</v>
      </c>
      <c r="ED145" s="22">
        <f t="shared" si="126"/>
        <v>0.73478881092327275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201.49055911472067</v>
      </c>
      <c r="T146" s="59">
        <f t="shared" si="142"/>
        <v>403.37692064114719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7.9513174606962203</v>
      </c>
      <c r="AA146" s="21">
        <f>EXP(-LN(2)/25)*AA145+(1-EXP(-LN(2)/25))/(LN(2)/25)*Calculateur!V146*Calculateur!X146*VLOOKUP('Données projet'!$B$9,Paramètres!$A$1:$I$89,3,0)*0.475*44/12</f>
        <v>2.9439937012636039</v>
      </c>
      <c r="AB146" s="21">
        <f>EXP(-LN(2)/2)*AB145+(1-EXP(-LN(2)/2))/(LN(2)/2)*V146*Y146*VLOOKUP('Données projet'!$B$9,Paramètres!$A$1:$I$89,3,0)*0.475*44/12</f>
        <v>5.0354645544569402E-15</v>
      </c>
      <c r="AC146" s="22">
        <f t="shared" si="111"/>
        <v>10.89531116195983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39.000000000000057</v>
      </c>
      <c r="AJ146" s="13">
        <f>AI146*VLOOKUP('Données projet'!$B$10,Paramètres!$A$1:$I$89,3,0)*VLOOKUP('Données projet'!$B$10,Paramètres!$A$1:$I$89,5,0)</f>
        <v>34.070400000000056</v>
      </c>
      <c r="AK146" s="13">
        <f t="shared" si="143"/>
        <v>10.412633617059328</v>
      </c>
      <c r="AL146" s="20">
        <f t="shared" si="112"/>
        <v>77.474616883045101</v>
      </c>
      <c r="AM146" s="59">
        <f t="shared" si="113"/>
        <v>370.8079502163784</v>
      </c>
      <c r="AN146" s="59">
        <f ca="1">AVERAGE(OFFSET($AM$3,0,0,'Données projet'!$E$10+1,1))-AVERAGE(OFFSET($H$3,0,0,'Données projet'!$E$10+1,1))</f>
        <v>260.53994021583316</v>
      </c>
      <c r="AO146" s="59">
        <f t="shared" si="144"/>
        <v>669.20238852709122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2.9084124230639821E-15</v>
      </c>
      <c r="AX146" s="21">
        <f t="shared" si="114"/>
        <v>2.9084124230639821E-15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-1.1527845344971866E-13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279.20364724206644</v>
      </c>
      <c r="BJ146" s="59">
        <f t="shared" si="146"/>
        <v>173.99850582760712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0.15171292759706725</v>
      </c>
      <c r="BR146" s="21">
        <f>EXP(-LN(2)/2)*BR145+(1-EXP(-LN(2)/2))/(LN(2)/2)*BL146*BO146*VLOOKUP('Données projet'!$B$11,Paramètres!$A$1:$I$89,3,0)*0.475*44/12</f>
        <v>6.8066826010405595E-17</v>
      </c>
      <c r="BS146" s="22">
        <f t="shared" si="117"/>
        <v>0.15171292759706731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-1.2946657079737634E-13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327.06866218660838</v>
      </c>
      <c r="CE146" s="59">
        <f t="shared" si="148"/>
        <v>202.18198935334908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0.17038528791670612</v>
      </c>
      <c r="CM146" s="21">
        <f>EXP(-LN(2)/2)*CM145+(1-EXP(-LN(2)/2))/(LN(2)/2)*CG146*CJ146*VLOOKUP('Données projet'!$B$12,Paramètres!$A$1:$I$89,3,0)*0.475*44/12</f>
        <v>7.6444281519379269E-17</v>
      </c>
      <c r="CN146" s="22">
        <f t="shared" si="120"/>
        <v>0.17038528791670621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-5.1159076974727213E-13</v>
      </c>
      <c r="CU146" s="17">
        <f>CT146*VLOOKUP('Données projet'!$B$13,Paramètres!$A$1:$I$89,3,0)*VLOOKUP('Données projet'!$B$13,Paramètres!$A$1:$I$89,5,0)</f>
        <v>-4.1500243241898714E-13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266.72672633301022</v>
      </c>
      <c r="CZ146" s="59">
        <f t="shared" si="150"/>
        <v>314.26991662544219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0.28796831475588008</v>
      </c>
      <c r="DG146" s="21">
        <f>EXP(-LN(2)/25)*DG145+(1-EXP(-LN(2)/25))/(LN(2)/25)*Calculateur!DB146*Calculateur!DD146*VLOOKUP('Données projet'!$B$13,Paramètres!$A$1:$I$89,3,0)*0.475*44/12</f>
        <v>0.73984223725806475</v>
      </c>
      <c r="DH146" s="21">
        <f>EXP(-LN(2)/2)*DH145+(1-EXP(-LN(2)/2))/(LN(2)/2)*DB146*DE146*VLOOKUP('Données projet'!$B$13,Paramètres!$A$1:$I$89,3,0)*0.475*44/12</f>
        <v>2.405223446695282E-16</v>
      </c>
      <c r="DI146" s="22">
        <f t="shared" si="123"/>
        <v>1.0278105520139451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-5.6843418860808015E-14</v>
      </c>
      <c r="DP146" s="17">
        <f>DO146*VLOOKUP('Données projet'!$B$14,Paramètres!$A$1:$I$89,3,0)*VLOOKUP('Données projet'!$B$14,Paramètres!$A$1:$I$89,5,0)</f>
        <v>-6.1186256061773749E-14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442.54137223086991</v>
      </c>
      <c r="DU146" s="59">
        <f t="shared" si="152"/>
        <v>454.23406186660714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0.21289086126595422</v>
      </c>
      <c r="EB146" s="21">
        <f>EXP(-LN(2)/25)*EB145+(1-EXP(-LN(2)/25))/(LN(2)/25)*Calculateur!DW146*Calculateur!DY146*VLOOKUP('Données projet'!$B$14,Paramètres!$A$1:$I$89,3,0)*0.475*44/12</f>
        <v>0.50348490252733391</v>
      </c>
      <c r="EC146" s="21">
        <f>EXP(-LN(2)/2)*EC145+(1-EXP(-LN(2)/2))/(LN(2)/2)*DW146*DZ146*VLOOKUP('Données projet'!$B$14,Paramètres!$A$1:$I$89,3,0)*0.475*44/12</f>
        <v>1.770105344063639E-16</v>
      </c>
      <c r="ED146" s="22">
        <f t="shared" si="126"/>
        <v>0.71637576379328838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201.49055911472067</v>
      </c>
      <c r="T147" s="59">
        <f t="shared" si="142"/>
        <v>403.37692064114719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7.7953969751167378</v>
      </c>
      <c r="AA147" s="21">
        <f>EXP(-LN(2)/25)*AA146+(1-EXP(-LN(2)/25))/(LN(2)/25)*Calculateur!V147*Calculateur!X147*VLOOKUP('Données projet'!$B$9,Paramètres!$A$1:$I$89,3,0)*0.475*44/12</f>
        <v>2.8634900386846507</v>
      </c>
      <c r="AB147" s="21">
        <f>EXP(-LN(2)/2)*AB146+(1-EXP(-LN(2)/2))/(LN(2)/2)*V147*Y147*VLOOKUP('Données projet'!$B$9,Paramètres!$A$1:$I$89,3,0)*0.475*44/12</f>
        <v>3.5606111328809996E-15</v>
      </c>
      <c r="AC147" s="22">
        <f t="shared" si="111"/>
        <v>10.658887013801392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39.000000000000057</v>
      </c>
      <c r="AJ147" s="13">
        <f>AI147*VLOOKUP('Données projet'!$B$10,Paramètres!$A$1:$I$89,3,0)*VLOOKUP('Données projet'!$B$10,Paramètres!$A$1:$I$89,5,0)</f>
        <v>34.070400000000056</v>
      </c>
      <c r="AK147" s="13">
        <f t="shared" si="143"/>
        <v>10.412633617059328</v>
      </c>
      <c r="AL147" s="20">
        <f t="shared" si="112"/>
        <v>77.474616883045101</v>
      </c>
      <c r="AM147" s="59">
        <f t="shared" si="113"/>
        <v>370.8079502163784</v>
      </c>
      <c r="AN147" s="59">
        <f ca="1">AVERAGE(OFFSET($AM$3,0,0,'Données projet'!$E$10+1,1))-AVERAGE(OFFSET($H$3,0,0,'Données projet'!$E$10+1,1))</f>
        <v>260.53994021583316</v>
      </c>
      <c r="AO147" s="59">
        <f t="shared" si="144"/>
        <v>669.20238852709122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2.0565581468357396E-15</v>
      </c>
      <c r="AX147" s="21">
        <f t="shared" si="114"/>
        <v>2.0565581468357396E-15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-1.1527845344971866E-13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279.20364724206644</v>
      </c>
      <c r="BJ147" s="59">
        <f t="shared" si="146"/>
        <v>173.99850582760712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0.14756432961368934</v>
      </c>
      <c r="BR147" s="21">
        <f>EXP(-LN(2)/2)*BR146+(1-EXP(-LN(2)/2))/(LN(2)/2)*BL147*BO147*VLOOKUP('Données projet'!$B$11,Paramètres!$A$1:$I$89,3,0)*0.475*44/12</f>
        <v>4.8130514245802671E-17</v>
      </c>
      <c r="BS147" s="22">
        <f t="shared" si="117"/>
        <v>0.1475643296136894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-1.2946657079737634E-13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327.06866218660838</v>
      </c>
      <c r="CE147" s="59">
        <f t="shared" si="148"/>
        <v>202.18198935334908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0.16572609325845092</v>
      </c>
      <c r="CM147" s="21">
        <f>EXP(-LN(2)/2)*CM146+(1-EXP(-LN(2)/2))/(LN(2)/2)*CG147*CJ147*VLOOKUP('Données projet'!$B$12,Paramètres!$A$1:$I$89,3,0)*0.475*44/12</f>
        <v>5.4054269845286559E-17</v>
      </c>
      <c r="CN147" s="22">
        <f t="shared" si="120"/>
        <v>0.16572609325845097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-5.1159076974727213E-13</v>
      </c>
      <c r="CU147" s="17">
        <f>CT147*VLOOKUP('Données projet'!$B$13,Paramètres!$A$1:$I$89,3,0)*VLOOKUP('Données projet'!$B$13,Paramètres!$A$1:$I$89,5,0)</f>
        <v>-4.1500243241898714E-13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266.72672633301022</v>
      </c>
      <c r="CZ147" s="59">
        <f t="shared" si="150"/>
        <v>314.26991662544219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0.28232143174684593</v>
      </c>
      <c r="DG147" s="21">
        <f>EXP(-LN(2)/25)*DG146+(1-EXP(-LN(2)/25))/(LN(2)/25)*Calculateur!DB147*Calculateur!DD147*VLOOKUP('Données projet'!$B$13,Paramètres!$A$1:$I$89,3,0)*0.475*44/12</f>
        <v>0.71961121237363068</v>
      </c>
      <c r="DH147" s="21">
        <f>EXP(-LN(2)/2)*DH146+(1-EXP(-LN(2)/2))/(LN(2)/2)*DB147*DE147*VLOOKUP('Données projet'!$B$13,Paramètres!$A$1:$I$89,3,0)*0.475*44/12</f>
        <v>1.7007498094271145E-16</v>
      </c>
      <c r="DI147" s="22">
        <f t="shared" si="123"/>
        <v>1.0019326441204768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-5.6843418860808015E-14</v>
      </c>
      <c r="DP147" s="17">
        <f>DO147*VLOOKUP('Données projet'!$B$14,Paramètres!$A$1:$I$89,3,0)*VLOOKUP('Données projet'!$B$14,Paramètres!$A$1:$I$89,5,0)</f>
        <v>-6.1186256061773749E-14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442.54137223086991</v>
      </c>
      <c r="DU147" s="59">
        <f t="shared" si="152"/>
        <v>454.23406186660714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0.20871620132713253</v>
      </c>
      <c r="EB147" s="21">
        <f>EXP(-LN(2)/25)*EB146+(1-EXP(-LN(2)/25))/(LN(2)/25)*Calculateur!DW147*Calculateur!DY147*VLOOKUP('Données projet'!$B$14,Paramètres!$A$1:$I$89,3,0)*0.475*44/12</f>
        <v>0.48971708139060366</v>
      </c>
      <c r="EC147" s="21">
        <f>EXP(-LN(2)/2)*EC146+(1-EXP(-LN(2)/2))/(LN(2)/2)*DW147*DZ147*VLOOKUP('Données projet'!$B$14,Paramètres!$A$1:$I$89,3,0)*0.475*44/12</f>
        <v>1.251653492201946E-16</v>
      </c>
      <c r="ED147" s="22">
        <f t="shared" si="126"/>
        <v>0.6984332827177363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201.49055911472067</v>
      </c>
      <c r="T148" s="59">
        <f t="shared" si="142"/>
        <v>403.37692064114719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7.6425339951573639</v>
      </c>
      <c r="AA148" s="21">
        <f>EXP(-LN(2)/25)*AA147+(1-EXP(-LN(2)/25))/(LN(2)/25)*Calculateur!V148*Calculateur!X148*VLOOKUP('Données projet'!$B$9,Paramètres!$A$1:$I$89,3,0)*0.475*44/12</f>
        <v>2.7851877529924223</v>
      </c>
      <c r="AB148" s="21">
        <f>EXP(-LN(2)/2)*AB147+(1-EXP(-LN(2)/2))/(LN(2)/2)*V148*Y148*VLOOKUP('Données projet'!$B$9,Paramètres!$A$1:$I$89,3,0)*0.475*44/12</f>
        <v>2.5177322772284701E-15</v>
      </c>
      <c r="AC148" s="22">
        <f t="shared" si="111"/>
        <v>10.427721748149787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39.000000000000057</v>
      </c>
      <c r="AJ148" s="13">
        <f>AI148*VLOOKUP('Données projet'!$B$10,Paramètres!$A$1:$I$89,3,0)*VLOOKUP('Données projet'!$B$10,Paramètres!$A$1:$I$89,5,0)</f>
        <v>34.070400000000056</v>
      </c>
      <c r="AK148" s="13">
        <f t="shared" si="143"/>
        <v>10.412633617059328</v>
      </c>
      <c r="AL148" s="20">
        <f t="shared" si="112"/>
        <v>77.474616883045101</v>
      </c>
      <c r="AM148" s="59">
        <f t="shared" si="113"/>
        <v>370.8079502163784</v>
      </c>
      <c r="AN148" s="59">
        <f ca="1">AVERAGE(OFFSET($AM$3,0,0,'Données projet'!$E$10+1,1))-AVERAGE(OFFSET($H$3,0,0,'Données projet'!$E$10+1,1))</f>
        <v>260.53994021583316</v>
      </c>
      <c r="AO148" s="59">
        <f t="shared" si="144"/>
        <v>669.20238852709122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1.4542062115319911E-15</v>
      </c>
      <c r="AX148" s="21">
        <f t="shared" si="114"/>
        <v>1.4542062115319911E-15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-1.1527845344971866E-13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279.20364724206644</v>
      </c>
      <c r="BJ148" s="59">
        <f t="shared" si="146"/>
        <v>173.99850582760712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0.14352917526033218</v>
      </c>
      <c r="BR148" s="21">
        <f>EXP(-LN(2)/2)*BR147+(1-EXP(-LN(2)/2))/(LN(2)/2)*BL148*BO148*VLOOKUP('Données projet'!$B$11,Paramètres!$A$1:$I$89,3,0)*0.475*44/12</f>
        <v>3.4033413005202797E-17</v>
      </c>
      <c r="BS148" s="22">
        <f t="shared" si="117"/>
        <v>0.14352917526033221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-1.2946657079737634E-13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327.06866218660838</v>
      </c>
      <c r="CE148" s="59">
        <f t="shared" si="148"/>
        <v>202.18198935334908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0.1611943045231421</v>
      </c>
      <c r="CM148" s="21">
        <f>EXP(-LN(2)/2)*CM147+(1-EXP(-LN(2)/2))/(LN(2)/2)*CG148*CJ148*VLOOKUP('Données projet'!$B$12,Paramètres!$A$1:$I$89,3,0)*0.475*44/12</f>
        <v>3.8222140759689641E-17</v>
      </c>
      <c r="CN148" s="22">
        <f t="shared" si="120"/>
        <v>0.16119430452314212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-5.1159076974727213E-13</v>
      </c>
      <c r="CU148" s="17">
        <f>CT148*VLOOKUP('Données projet'!$B$13,Paramètres!$A$1:$I$89,3,0)*VLOOKUP('Données projet'!$B$13,Paramètres!$A$1:$I$89,5,0)</f>
        <v>-4.1500243241898714E-13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266.72672633301022</v>
      </c>
      <c r="CZ148" s="59">
        <f t="shared" si="150"/>
        <v>314.26991662544219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0.27678528066936042</v>
      </c>
      <c r="DG148" s="21">
        <f>EXP(-LN(2)/25)*DG147+(1-EXP(-LN(2)/25))/(LN(2)/25)*Calculateur!DB148*Calculateur!DD148*VLOOKUP('Données projet'!$B$13,Paramètres!$A$1:$I$89,3,0)*0.475*44/12</f>
        <v>0.69993340592856479</v>
      </c>
      <c r="DH148" s="21">
        <f>EXP(-LN(2)/2)*DH147+(1-EXP(-LN(2)/2))/(LN(2)/2)*DB148*DE148*VLOOKUP('Données projet'!$B$13,Paramètres!$A$1:$I$89,3,0)*0.475*44/12</f>
        <v>1.202611723347641E-16</v>
      </c>
      <c r="DI148" s="22">
        <f t="shared" si="123"/>
        <v>0.97671868659792527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-5.6843418860808015E-14</v>
      </c>
      <c r="DP148" s="17">
        <f>DO148*VLOOKUP('Données projet'!$B$14,Paramètres!$A$1:$I$89,3,0)*VLOOKUP('Données projet'!$B$14,Paramètres!$A$1:$I$89,5,0)</f>
        <v>-6.1186256061773749E-14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442.54137223086991</v>
      </c>
      <c r="DU148" s="59">
        <f t="shared" si="152"/>
        <v>454.23406186660714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0.20462340392342002</v>
      </c>
      <c r="EB148" s="21">
        <f>EXP(-LN(2)/25)*EB147+(1-EXP(-LN(2)/25))/(LN(2)/25)*Calculateur!DW148*Calculateur!DY148*VLOOKUP('Données projet'!$B$14,Paramètres!$A$1:$I$89,3,0)*0.475*44/12</f>
        <v>0.47632574204687556</v>
      </c>
      <c r="EC148" s="21">
        <f>EXP(-LN(2)/2)*EC147+(1-EXP(-LN(2)/2))/(LN(2)/2)*DW148*DZ148*VLOOKUP('Données projet'!$B$14,Paramètres!$A$1:$I$89,3,0)*0.475*44/12</f>
        <v>8.8505267203181948E-17</v>
      </c>
      <c r="ED148" s="22">
        <f t="shared" si="126"/>
        <v>0.68094914597029566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201.49055911472067</v>
      </c>
      <c r="T149" s="59">
        <f t="shared" si="142"/>
        <v>403.37692064114719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7.4926685649977811</v>
      </c>
      <c r="AA149" s="21">
        <f>EXP(-LN(2)/25)*AA148+(1-EXP(-LN(2)/25))/(LN(2)/25)*Calculateur!V149*Calculateur!X149*VLOOKUP('Données projet'!$B$9,Paramètres!$A$1:$I$89,3,0)*0.475*44/12</f>
        <v>2.7090266474201861</v>
      </c>
      <c r="AB149" s="21">
        <f>EXP(-LN(2)/2)*AB148+(1-EXP(-LN(2)/2))/(LN(2)/2)*V149*Y149*VLOOKUP('Données projet'!$B$9,Paramètres!$A$1:$I$89,3,0)*0.475*44/12</f>
        <v>1.7803055664404998E-15</v>
      </c>
      <c r="AC149" s="22">
        <f t="shared" si="111"/>
        <v>10.201695212417969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39.000000000000057</v>
      </c>
      <c r="AJ149" s="13">
        <f>AI149*VLOOKUP('Données projet'!$B$10,Paramètres!$A$1:$I$89,3,0)*VLOOKUP('Données projet'!$B$10,Paramètres!$A$1:$I$89,5,0)</f>
        <v>34.070400000000056</v>
      </c>
      <c r="AK149" s="13">
        <f t="shared" si="143"/>
        <v>10.412633617059328</v>
      </c>
      <c r="AL149" s="20">
        <f t="shared" si="112"/>
        <v>77.474616883045101</v>
      </c>
      <c r="AM149" s="59">
        <f t="shared" si="113"/>
        <v>370.8079502163784</v>
      </c>
      <c r="AN149" s="59">
        <f ca="1">AVERAGE(OFFSET($AM$3,0,0,'Données projet'!$E$10+1,1))-AVERAGE(OFFSET($H$3,0,0,'Données projet'!$E$10+1,1))</f>
        <v>260.53994021583316</v>
      </c>
      <c r="AO149" s="59">
        <f t="shared" si="144"/>
        <v>669.20238852709122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1.0282790734178698E-15</v>
      </c>
      <c r="AX149" s="21">
        <f t="shared" si="114"/>
        <v>1.0282790734178698E-15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-1.1527845344971866E-13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279.20364724206644</v>
      </c>
      <c r="BJ149" s="59">
        <f t="shared" si="146"/>
        <v>173.99850582760712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0.1396043624149671</v>
      </c>
      <c r="BR149" s="21">
        <f>EXP(-LN(2)/2)*BR148+(1-EXP(-LN(2)/2))/(LN(2)/2)*BL149*BO149*VLOOKUP('Données projet'!$B$11,Paramètres!$A$1:$I$89,3,0)*0.475*44/12</f>
        <v>2.4065257122901335E-17</v>
      </c>
      <c r="BS149" s="22">
        <f t="shared" si="117"/>
        <v>0.13960436241496713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-1.2946657079737634E-13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327.06866218660838</v>
      </c>
      <c r="CE149" s="59">
        <f t="shared" si="148"/>
        <v>202.18198935334908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0.15678643778911672</v>
      </c>
      <c r="CM149" s="21">
        <f>EXP(-LN(2)/2)*CM148+(1-EXP(-LN(2)/2))/(LN(2)/2)*CG149*CJ149*VLOOKUP('Données projet'!$B$12,Paramètres!$A$1:$I$89,3,0)*0.475*44/12</f>
        <v>2.7027134922643283E-17</v>
      </c>
      <c r="CN149" s="22">
        <f t="shared" si="120"/>
        <v>0.15678643778911674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-5.1159076974727213E-13</v>
      </c>
      <c r="CU149" s="17">
        <f>CT149*VLOOKUP('Données projet'!$B$13,Paramètres!$A$1:$I$89,3,0)*VLOOKUP('Données projet'!$B$13,Paramètres!$A$1:$I$89,5,0)</f>
        <v>-4.1500243241898714E-13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266.72672633301022</v>
      </c>
      <c r="CZ149" s="59">
        <f t="shared" si="150"/>
        <v>314.26991662544219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0.27135769013778566</v>
      </c>
      <c r="DG149" s="21">
        <f>EXP(-LN(2)/25)*DG148+(1-EXP(-LN(2)/25))/(LN(2)/25)*Calculateur!DB149*Calculateur!DD149*VLOOKUP('Données projet'!$B$13,Paramètres!$A$1:$I$89,3,0)*0.475*44/12</f>
        <v>0.68079369013555013</v>
      </c>
      <c r="DH149" s="21">
        <f>EXP(-LN(2)/2)*DH148+(1-EXP(-LN(2)/2))/(LN(2)/2)*DB149*DE149*VLOOKUP('Données projet'!$B$13,Paramètres!$A$1:$I$89,3,0)*0.475*44/12</f>
        <v>8.5037490471355724E-17</v>
      </c>
      <c r="DI149" s="22">
        <f t="shared" si="123"/>
        <v>0.9521513802733359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-5.6843418860808015E-14</v>
      </c>
      <c r="DP149" s="17">
        <f>DO149*VLOOKUP('Données projet'!$B$14,Paramètres!$A$1:$I$89,3,0)*VLOOKUP('Données projet'!$B$14,Paramètres!$A$1:$I$89,5,0)</f>
        <v>-6.1186256061773749E-14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442.54137223086991</v>
      </c>
      <c r="DU149" s="59">
        <f t="shared" si="152"/>
        <v>454.23406186660714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0.20061086378043438</v>
      </c>
      <c r="EB149" s="21">
        <f>EXP(-LN(2)/25)*EB148+(1-EXP(-LN(2)/25))/(LN(2)/25)*Calculateur!DW149*Calculateur!DY149*VLOOKUP('Données projet'!$B$14,Paramètres!$A$1:$I$89,3,0)*0.475*44/12</f>
        <v>0.4633005895817216</v>
      </c>
      <c r="EC149" s="21">
        <f>EXP(-LN(2)/2)*EC148+(1-EXP(-LN(2)/2))/(LN(2)/2)*DW149*DZ149*VLOOKUP('Données projet'!$B$14,Paramètres!$A$1:$I$89,3,0)*0.475*44/12</f>
        <v>6.2582674610097298E-17</v>
      </c>
      <c r="ED149" s="22">
        <f t="shared" si="126"/>
        <v>0.66391145336215607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201.49055911472067</v>
      </c>
      <c r="T150" s="59">
        <f t="shared" si="142"/>
        <v>403.37692064114719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7.3457419045147416</v>
      </c>
      <c r="AA150" s="21">
        <f>EXP(-LN(2)/25)*AA149+(1-EXP(-LN(2)/25))/(LN(2)/25)*Calculateur!V150*Calculateur!X150*VLOOKUP('Données projet'!$B$9,Paramètres!$A$1:$I$89,3,0)*0.475*44/12</f>
        <v>2.6349481712849614</v>
      </c>
      <c r="AB150" s="21">
        <f>EXP(-LN(2)/2)*AB149+(1-EXP(-LN(2)/2))/(LN(2)/2)*V150*Y150*VLOOKUP('Données projet'!$B$9,Paramètres!$A$1:$I$89,3,0)*0.475*44/12</f>
        <v>1.2588661386142351E-15</v>
      </c>
      <c r="AC150" s="22">
        <f t="shared" si="111"/>
        <v>9.9806900757997052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39.000000000000057</v>
      </c>
      <c r="AJ150" s="13">
        <f>AI150*VLOOKUP('Données projet'!$B$10,Paramètres!$A$1:$I$89,3,0)*VLOOKUP('Données projet'!$B$10,Paramètres!$A$1:$I$89,5,0)</f>
        <v>34.070400000000056</v>
      </c>
      <c r="AK150" s="13">
        <f t="shared" si="143"/>
        <v>10.412633617059328</v>
      </c>
      <c r="AL150" s="20">
        <f t="shared" si="112"/>
        <v>77.474616883045101</v>
      </c>
      <c r="AM150" s="59">
        <f t="shared" si="113"/>
        <v>370.8079502163784</v>
      </c>
      <c r="AN150" s="59">
        <f ca="1">AVERAGE(OFFSET($AM$3,0,0,'Données projet'!$E$10+1,1))-AVERAGE(OFFSET($H$3,0,0,'Données projet'!$E$10+1,1))</f>
        <v>260.53994021583316</v>
      </c>
      <c r="AO150" s="59">
        <f t="shared" si="144"/>
        <v>669.20238852709122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7.2710310576599553E-16</v>
      </c>
      <c r="AX150" s="21">
        <f t="shared" si="114"/>
        <v>7.2710310576599553E-16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-1.1527845344971866E-13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279.20364724206644</v>
      </c>
      <c r="BJ150" s="59">
        <f t="shared" si="146"/>
        <v>173.99850582760712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0.13578687378325546</v>
      </c>
      <c r="BR150" s="21">
        <f>EXP(-LN(2)/2)*BR149+(1-EXP(-LN(2)/2))/(LN(2)/2)*BL150*BO150*VLOOKUP('Données projet'!$B$11,Paramètres!$A$1:$I$89,3,0)*0.475*44/12</f>
        <v>1.7016706502601399E-17</v>
      </c>
      <c r="BS150" s="22">
        <f t="shared" si="117"/>
        <v>0.13578687378325549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-1.2946657079737634E-13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327.06866218660838</v>
      </c>
      <c r="CE150" s="59">
        <f t="shared" si="148"/>
        <v>202.18198935334908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0.1524991044027329</v>
      </c>
      <c r="CM150" s="21">
        <f>EXP(-LN(2)/2)*CM149+(1-EXP(-LN(2)/2))/(LN(2)/2)*CG150*CJ150*VLOOKUP('Données projet'!$B$12,Paramètres!$A$1:$I$89,3,0)*0.475*44/12</f>
        <v>1.9111070379844823E-17</v>
      </c>
      <c r="CN150" s="22">
        <f t="shared" si="120"/>
        <v>0.15249910440273293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-5.1159076974727213E-13</v>
      </c>
      <c r="CU150" s="17">
        <f>CT150*VLOOKUP('Données projet'!$B$13,Paramètres!$A$1:$I$89,3,0)*VLOOKUP('Données projet'!$B$13,Paramètres!$A$1:$I$89,5,0)</f>
        <v>-4.1500243241898714E-13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266.72672633301022</v>
      </c>
      <c r="CZ150" s="59">
        <f t="shared" si="150"/>
        <v>314.26991662544219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0.26603653134603172</v>
      </c>
      <c r="DG150" s="21">
        <f>EXP(-LN(2)/25)*DG149+(1-EXP(-LN(2)/25))/(LN(2)/25)*Calculateur!DB150*Calculateur!DD150*VLOOKUP('Données projet'!$B$13,Paramètres!$A$1:$I$89,3,0)*0.475*44/12</f>
        <v>0.66217735087740937</v>
      </c>
      <c r="DH150" s="21">
        <f>EXP(-LN(2)/2)*DH149+(1-EXP(-LN(2)/2))/(LN(2)/2)*DB150*DE150*VLOOKUP('Données projet'!$B$13,Paramètres!$A$1:$I$89,3,0)*0.475*44/12</f>
        <v>6.0130586167382051E-17</v>
      </c>
      <c r="DI150" s="22">
        <f t="shared" si="123"/>
        <v>0.92821388222344126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-5.6843418860808015E-14</v>
      </c>
      <c r="DP150" s="17">
        <f>DO150*VLOOKUP('Données projet'!$B$14,Paramètres!$A$1:$I$89,3,0)*VLOOKUP('Données projet'!$B$14,Paramètres!$A$1:$I$89,5,0)</f>
        <v>-6.1186256061773749E-14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442.54137223086991</v>
      </c>
      <c r="DU150" s="59">
        <f t="shared" si="152"/>
        <v>454.23406186660714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0.19667700710224487</v>
      </c>
      <c r="EB150" s="21">
        <f>EXP(-LN(2)/25)*EB149+(1-EXP(-LN(2)/25))/(LN(2)/25)*Calculateur!DW150*Calculateur!DY150*VLOOKUP('Données projet'!$B$14,Paramètres!$A$1:$I$89,3,0)*0.475*44/12</f>
        <v>0.45063161059569029</v>
      </c>
      <c r="EC150" s="21">
        <f>EXP(-LN(2)/2)*EC149+(1-EXP(-LN(2)/2))/(LN(2)/2)*DW150*DZ150*VLOOKUP('Données projet'!$B$14,Paramètres!$A$1:$I$89,3,0)*0.475*44/12</f>
        <v>4.4252633601590974E-17</v>
      </c>
      <c r="ED150" s="22">
        <f t="shared" si="126"/>
        <v>0.64730861769793513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201.49055911472067</v>
      </c>
      <c r="T151" s="59">
        <f t="shared" si="142"/>
        <v>403.37692064114719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7.2016963862273604</v>
      </c>
      <c r="AA151" s="21">
        <f>EXP(-LN(2)/25)*AA150+(1-EXP(-LN(2)/25))/(LN(2)/25)*Calculateur!V151*Calculateur!X151*VLOOKUP('Données projet'!$B$9,Paramètres!$A$1:$I$89,3,0)*0.475*44/12</f>
        <v>2.5628953749752719</v>
      </c>
      <c r="AB151" s="21">
        <f>EXP(-LN(2)/2)*AB150+(1-EXP(-LN(2)/2))/(LN(2)/2)*V151*Y151*VLOOKUP('Données projet'!$B$9,Paramètres!$A$1:$I$89,3,0)*0.475*44/12</f>
        <v>8.901527832202499E-16</v>
      </c>
      <c r="AC151" s="22">
        <f t="shared" si="111"/>
        <v>9.7645917612026345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39.000000000000057</v>
      </c>
      <c r="AJ151" s="13">
        <f>AI151*VLOOKUP('Données projet'!$B$10,Paramètres!$A$1:$I$89,3,0)*VLOOKUP('Données projet'!$B$10,Paramètres!$A$1:$I$89,5,0)</f>
        <v>34.070400000000056</v>
      </c>
      <c r="AK151" s="13">
        <f t="shared" si="143"/>
        <v>10.412633617059328</v>
      </c>
      <c r="AL151" s="20">
        <f t="shared" si="112"/>
        <v>77.474616883045101</v>
      </c>
      <c r="AM151" s="59">
        <f t="shared" si="113"/>
        <v>370.8079502163784</v>
      </c>
      <c r="AN151" s="59">
        <f ca="1">AVERAGE(OFFSET($AM$3,0,0,'Données projet'!$E$10+1,1))-AVERAGE(OFFSET($H$3,0,0,'Données projet'!$E$10+1,1))</f>
        <v>260.53994021583316</v>
      </c>
      <c r="AO151" s="59">
        <f t="shared" si="144"/>
        <v>669.20238852709122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5.1413953670893491E-16</v>
      </c>
      <c r="AX151" s="21">
        <f t="shared" si="114"/>
        <v>5.1413953670893491E-16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-1.1527845344971866E-13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279.20364724206644</v>
      </c>
      <c r="BJ151" s="59">
        <f t="shared" si="146"/>
        <v>173.99850582760712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0.13207377457893099</v>
      </c>
      <c r="BR151" s="21">
        <f>EXP(-LN(2)/2)*BR150+(1-EXP(-LN(2)/2))/(LN(2)/2)*BL151*BO151*VLOOKUP('Données projet'!$B$11,Paramètres!$A$1:$I$89,3,0)*0.475*44/12</f>
        <v>1.2032628561450668E-17</v>
      </c>
      <c r="BS151" s="22">
        <f t="shared" si="117"/>
        <v>0.13207377457893099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-1.2946657079737634E-13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327.06866218660838</v>
      </c>
      <c r="CE151" s="59">
        <f t="shared" si="148"/>
        <v>202.18198935334908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0.1483290083732608</v>
      </c>
      <c r="CM151" s="21">
        <f>EXP(-LN(2)/2)*CM150+(1-EXP(-LN(2)/2))/(LN(2)/2)*CG151*CJ151*VLOOKUP('Données projet'!$B$12,Paramètres!$A$1:$I$89,3,0)*0.475*44/12</f>
        <v>1.3513567461321644E-17</v>
      </c>
      <c r="CN151" s="22">
        <f t="shared" si="120"/>
        <v>0.1483290083732608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-5.1159076974727213E-13</v>
      </c>
      <c r="CU151" s="17">
        <f>CT151*VLOOKUP('Données projet'!$B$13,Paramètres!$A$1:$I$89,3,0)*VLOOKUP('Données projet'!$B$13,Paramètres!$A$1:$I$89,5,0)</f>
        <v>-4.1500243241898714E-13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266.72672633301022</v>
      </c>
      <c r="CZ151" s="59">
        <f t="shared" si="150"/>
        <v>314.26991662544219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0.26081971723259773</v>
      </c>
      <c r="DG151" s="21">
        <f>EXP(-LN(2)/25)*DG150+(1-EXP(-LN(2)/25))/(LN(2)/25)*Calculateur!DB151*Calculateur!DD151*VLOOKUP('Données projet'!$B$13,Paramètres!$A$1:$I$89,3,0)*0.475*44/12</f>
        <v>0.64407007639527314</v>
      </c>
      <c r="DH151" s="21">
        <f>EXP(-LN(2)/2)*DH150+(1-EXP(-LN(2)/2))/(LN(2)/2)*DB151*DE151*VLOOKUP('Données projet'!$B$13,Paramètres!$A$1:$I$89,3,0)*0.475*44/12</f>
        <v>4.2518745235677862E-17</v>
      </c>
      <c r="DI151" s="22">
        <f t="shared" si="123"/>
        <v>0.90488979362787081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-5.6843418860808015E-14</v>
      </c>
      <c r="DP151" s="17">
        <f>DO151*VLOOKUP('Données projet'!$B$14,Paramètres!$A$1:$I$89,3,0)*VLOOKUP('Données projet'!$B$14,Paramètres!$A$1:$I$89,5,0)</f>
        <v>-6.1186256061773749E-14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442.54137223086991</v>
      </c>
      <c r="DU151" s="59">
        <f t="shared" si="152"/>
        <v>454.23406186660714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0.192820290954099</v>
      </c>
      <c r="EB151" s="21">
        <f>EXP(-LN(2)/25)*EB150+(1-EXP(-LN(2)/25))/(LN(2)/25)*Calculateur!DW151*Calculateur!DY151*VLOOKUP('Données projet'!$B$14,Paramètres!$A$1:$I$89,3,0)*0.475*44/12</f>
        <v>0.43830906550626469</v>
      </c>
      <c r="EC151" s="21">
        <f>EXP(-LN(2)/2)*EC150+(1-EXP(-LN(2)/2))/(LN(2)/2)*DW151*DZ151*VLOOKUP('Données projet'!$B$14,Paramètres!$A$1:$I$89,3,0)*0.475*44/12</f>
        <v>3.1291337305048649E-17</v>
      </c>
      <c r="ED151" s="22">
        <f t="shared" si="126"/>
        <v>0.63112935646036372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201.49055911472067</v>
      </c>
      <c r="T152" s="59">
        <f t="shared" si="142"/>
        <v>403.37692064114719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7.060475512694504</v>
      </c>
      <c r="AA152" s="21">
        <f>EXP(-LN(2)/25)*AA151+(1-EXP(-LN(2)/25))/(LN(2)/25)*Calculateur!V152*Calculateur!X152*VLOOKUP('Données projet'!$B$9,Paramètres!$A$1:$I$89,3,0)*0.475*44/12</f>
        <v>2.4928128661697628</v>
      </c>
      <c r="AB152" s="21">
        <f>EXP(-LN(2)/2)*AB151+(1-EXP(-LN(2)/2))/(LN(2)/2)*V152*Y152*VLOOKUP('Données projet'!$B$9,Paramètres!$A$1:$I$89,3,0)*0.475*44/12</f>
        <v>6.2943306930711753E-16</v>
      </c>
      <c r="AC152" s="22">
        <f t="shared" si="111"/>
        <v>9.5532883788642664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39.000000000000057</v>
      </c>
      <c r="AJ152" s="13">
        <f>AI152*VLOOKUP('Données projet'!$B$10,Paramètres!$A$1:$I$89,3,0)*VLOOKUP('Données projet'!$B$10,Paramètres!$A$1:$I$89,5,0)</f>
        <v>34.070400000000056</v>
      </c>
      <c r="AK152" s="13">
        <f t="shared" si="143"/>
        <v>10.412633617059328</v>
      </c>
      <c r="AL152" s="20">
        <f t="shared" si="112"/>
        <v>77.474616883045101</v>
      </c>
      <c r="AM152" s="59">
        <f t="shared" si="113"/>
        <v>370.8079502163784</v>
      </c>
      <c r="AN152" s="59">
        <f ca="1">AVERAGE(OFFSET($AM$3,0,0,'Données projet'!$E$10+1,1))-AVERAGE(OFFSET($H$3,0,0,'Données projet'!$E$10+1,1))</f>
        <v>260.53994021583316</v>
      </c>
      <c r="AO152" s="59">
        <f t="shared" si="144"/>
        <v>669.20238852709122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3.6355155288299777E-16</v>
      </c>
      <c r="AX152" s="21">
        <f t="shared" si="114"/>
        <v>3.6355155288299777E-16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-1.1527845344971866E-13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279.20364724206644</v>
      </c>
      <c r="BJ152" s="59">
        <f t="shared" si="146"/>
        <v>173.99850582760712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0.12846221026761218</v>
      </c>
      <c r="BR152" s="21">
        <f>EXP(-LN(2)/2)*BR151+(1-EXP(-LN(2)/2))/(LN(2)/2)*BL152*BO152*VLOOKUP('Données projet'!$B$11,Paramètres!$A$1:$I$89,3,0)*0.475*44/12</f>
        <v>8.5083532513006993E-18</v>
      </c>
      <c r="BS152" s="22">
        <f t="shared" si="117"/>
        <v>0.12846221026761218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-1.2946657079737634E-13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327.06866218660838</v>
      </c>
      <c r="CE152" s="59">
        <f t="shared" si="148"/>
        <v>202.18198935334908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0.14427294383901043</v>
      </c>
      <c r="CM152" s="21">
        <f>EXP(-LN(2)/2)*CM151+(1-EXP(-LN(2)/2))/(LN(2)/2)*CG152*CJ152*VLOOKUP('Données projet'!$B$12,Paramètres!$A$1:$I$89,3,0)*0.475*44/12</f>
        <v>9.5555351899224133E-18</v>
      </c>
      <c r="CN152" s="22">
        <f t="shared" si="120"/>
        <v>0.14427294383901043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-5.1159076974727213E-13</v>
      </c>
      <c r="CU152" s="17">
        <f>CT152*VLOOKUP('Données projet'!$B$13,Paramètres!$A$1:$I$89,3,0)*VLOOKUP('Données projet'!$B$13,Paramètres!$A$1:$I$89,5,0)</f>
        <v>-4.1500243241898714E-13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266.72672633301022</v>
      </c>
      <c r="CZ152" s="59">
        <f t="shared" si="150"/>
        <v>314.26991662544219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0.25570520166198574</v>
      </c>
      <c r="DG152" s="21">
        <f>EXP(-LN(2)/25)*DG151+(1-EXP(-LN(2)/25))/(LN(2)/25)*Calculateur!DB152*Calculateur!DD152*VLOOKUP('Données projet'!$B$13,Paramètres!$A$1:$I$89,3,0)*0.475*44/12</f>
        <v>0.6264579462860711</v>
      </c>
      <c r="DH152" s="21">
        <f>EXP(-LN(2)/2)*DH151+(1-EXP(-LN(2)/2))/(LN(2)/2)*DB152*DE152*VLOOKUP('Données projet'!$B$13,Paramètres!$A$1:$I$89,3,0)*0.475*44/12</f>
        <v>3.0065293083691025E-17</v>
      </c>
      <c r="DI152" s="22">
        <f t="shared" si="123"/>
        <v>0.88216314794805684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-5.6843418860808015E-14</v>
      </c>
      <c r="DP152" s="17">
        <f>DO152*VLOOKUP('Données projet'!$B$14,Paramètres!$A$1:$I$89,3,0)*VLOOKUP('Données projet'!$B$14,Paramètres!$A$1:$I$89,5,0)</f>
        <v>-6.1186256061773749E-14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442.54137223086991</v>
      </c>
      <c r="DU152" s="59">
        <f t="shared" si="152"/>
        <v>454.23406186660714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0.18903920265725369</v>
      </c>
      <c r="EB152" s="21">
        <f>EXP(-LN(2)/25)*EB151+(1-EXP(-LN(2)/25))/(LN(2)/25)*Calculateur!DW152*Calculateur!DY152*VLOOKUP('Données projet'!$B$14,Paramètres!$A$1:$I$89,3,0)*0.475*44/12</f>
        <v>0.42632348106032392</v>
      </c>
      <c r="EC152" s="21">
        <f>EXP(-LN(2)/2)*EC151+(1-EXP(-LN(2)/2))/(LN(2)/2)*DW152*DZ152*VLOOKUP('Données projet'!$B$14,Paramètres!$A$1:$I$89,3,0)*0.475*44/12</f>
        <v>2.2126316800795487E-17</v>
      </c>
      <c r="ED152" s="22">
        <f t="shared" si="126"/>
        <v>0.61536268371757763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201.49055911472067</v>
      </c>
      <c r="T153" s="59">
        <f t="shared" si="142"/>
        <v>403.37692064114719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6.9220238943553998</v>
      </c>
      <c r="AA153" s="21">
        <f>EXP(-LN(2)/25)*AA152+(1-EXP(-LN(2)/25))/(LN(2)/25)*Calculateur!V153*Calculateur!X153*VLOOKUP('Données projet'!$B$9,Paramètres!$A$1:$I$89,3,0)*0.475*44/12</f>
        <v>2.4246467672530194</v>
      </c>
      <c r="AB153" s="21">
        <f>EXP(-LN(2)/2)*AB152+(1-EXP(-LN(2)/2))/(LN(2)/2)*V153*Y153*VLOOKUP('Données projet'!$B$9,Paramètres!$A$1:$I$89,3,0)*0.475*44/12</f>
        <v>4.4507639161012495E-16</v>
      </c>
      <c r="AC153" s="22">
        <f t="shared" si="111"/>
        <v>9.3466706616084192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39.000000000000057</v>
      </c>
      <c r="AJ153" s="13">
        <f>AI153*VLOOKUP('Données projet'!$B$10,Paramètres!$A$1:$I$89,3,0)*VLOOKUP('Données projet'!$B$10,Paramètres!$A$1:$I$89,5,0)</f>
        <v>34.070400000000056</v>
      </c>
      <c r="AK153" s="13">
        <f t="shared" si="143"/>
        <v>10.412633617059328</v>
      </c>
      <c r="AL153" s="20">
        <f t="shared" si="112"/>
        <v>77.474616883045101</v>
      </c>
      <c r="AM153" s="59">
        <f t="shared" si="113"/>
        <v>370.8079502163784</v>
      </c>
      <c r="AN153" s="59">
        <f ca="1">AVERAGE(OFFSET($AM$3,0,0,'Données projet'!$E$10+1,1))-AVERAGE(OFFSET($H$3,0,0,'Données projet'!$E$10+1,1))</f>
        <v>260.53994021583316</v>
      </c>
      <c r="AO153" s="59">
        <f t="shared" si="144"/>
        <v>669.20238852709122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2.5706976835446746E-16</v>
      </c>
      <c r="AX153" s="21">
        <f t="shared" si="114"/>
        <v>2.5706976835446746E-16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-1.1527845344971866E-13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279.20364724206644</v>
      </c>
      <c r="BJ153" s="59">
        <f t="shared" si="146"/>
        <v>173.99850582760712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0.12494940437231029</v>
      </c>
      <c r="BR153" s="21">
        <f>EXP(-LN(2)/2)*BR152+(1-EXP(-LN(2)/2))/(LN(2)/2)*BL153*BO153*VLOOKUP('Données projet'!$B$11,Paramètres!$A$1:$I$89,3,0)*0.475*44/12</f>
        <v>6.0163142807253338E-18</v>
      </c>
      <c r="BS153" s="22">
        <f t="shared" si="117"/>
        <v>0.12494940437231029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-1.2946657079737634E-13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327.06866218660838</v>
      </c>
      <c r="CE153" s="59">
        <f t="shared" si="148"/>
        <v>202.18198935334908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0.1403277926027483</v>
      </c>
      <c r="CM153" s="21">
        <f>EXP(-LN(2)/2)*CM152+(1-EXP(-LN(2)/2))/(LN(2)/2)*CG153*CJ153*VLOOKUP('Données projet'!$B$12,Paramètres!$A$1:$I$89,3,0)*0.475*44/12</f>
        <v>6.756783730660823E-18</v>
      </c>
      <c r="CN153" s="22">
        <f t="shared" si="120"/>
        <v>0.1403277926027483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-5.1159076974727213E-13</v>
      </c>
      <c r="CU153" s="17">
        <f>CT153*VLOOKUP('Données projet'!$B$13,Paramètres!$A$1:$I$89,3,0)*VLOOKUP('Données projet'!$B$13,Paramètres!$A$1:$I$89,5,0)</f>
        <v>-4.1500243241898714E-13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266.72672633301022</v>
      </c>
      <c r="CZ153" s="59">
        <f t="shared" si="150"/>
        <v>314.26991662544219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0.25069097862216699</v>
      </c>
      <c r="DG153" s="21">
        <f>EXP(-LN(2)/25)*DG152+(1-EXP(-LN(2)/25))/(LN(2)/25)*Calculateur!DB153*Calculateur!DD153*VLOOKUP('Données projet'!$B$13,Paramètres!$A$1:$I$89,3,0)*0.475*44/12</f>
        <v>0.60932742080088687</v>
      </c>
      <c r="DH153" s="21">
        <f>EXP(-LN(2)/2)*DH152+(1-EXP(-LN(2)/2))/(LN(2)/2)*DB153*DE153*VLOOKUP('Données projet'!$B$13,Paramètres!$A$1:$I$89,3,0)*0.475*44/12</f>
        <v>2.1259372617838931E-17</v>
      </c>
      <c r="DI153" s="22">
        <f t="shared" si="123"/>
        <v>0.86001839942305391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-5.6843418860808015E-14</v>
      </c>
      <c r="DP153" s="17">
        <f>DO153*VLOOKUP('Données projet'!$B$14,Paramètres!$A$1:$I$89,3,0)*VLOOKUP('Données projet'!$B$14,Paramètres!$A$1:$I$89,5,0)</f>
        <v>-6.1186256061773749E-14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442.54137223086991</v>
      </c>
      <c r="DU153" s="59">
        <f t="shared" si="152"/>
        <v>454.23406186660714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0.18533225919567339</v>
      </c>
      <c r="EB153" s="21">
        <f>EXP(-LN(2)/25)*EB152+(1-EXP(-LN(2)/25))/(LN(2)/25)*Calculateur!DW153*Calculateur!DY153*VLOOKUP('Données projet'!$B$14,Paramètres!$A$1:$I$89,3,0)*0.475*44/12</f>
        <v>0.41466564305135184</v>
      </c>
      <c r="EC153" s="21">
        <f>EXP(-LN(2)/2)*EC152+(1-EXP(-LN(2)/2))/(LN(2)/2)*DW153*DZ153*VLOOKUP('Données projet'!$B$14,Paramètres!$A$1:$I$89,3,0)*0.475*44/12</f>
        <v>1.5645668652524325E-17</v>
      </c>
      <c r="ED153" s="22">
        <f t="shared" si="126"/>
        <v>0.59999790224702521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201.49055911472067</v>
      </c>
      <c r="T154" s="59">
        <f t="shared" si="142"/>
        <v>403.37692064114719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6.7862872278047766</v>
      </c>
      <c r="AA154" s="21">
        <f>EXP(-LN(2)/25)*AA153+(1-EXP(-LN(2)/25))/(LN(2)/25)*Calculateur!V154*Calculateur!X154*VLOOKUP('Données projet'!$B$9,Paramètres!$A$1:$I$89,3,0)*0.475*44/12</f>
        <v>2.3583446738958536</v>
      </c>
      <c r="AB154" s="21">
        <f>EXP(-LN(2)/2)*AB153+(1-EXP(-LN(2)/2))/(LN(2)/2)*V154*Y154*VLOOKUP('Données projet'!$B$9,Paramètres!$A$1:$I$89,3,0)*0.475*44/12</f>
        <v>3.1471653465355876E-16</v>
      </c>
      <c r="AC154" s="22">
        <f t="shared" ref="AC154:AC203" si="163">SUM(Z154:AB154)</f>
        <v>9.144631901700631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39.000000000000057</v>
      </c>
      <c r="AJ154" s="13">
        <f>AI154*VLOOKUP('Données projet'!$B$10,Paramètres!$A$1:$I$89,3,0)*VLOOKUP('Données projet'!$B$10,Paramètres!$A$1:$I$89,5,0)</f>
        <v>34.070400000000056</v>
      </c>
      <c r="AK154" s="13">
        <f t="shared" ref="AK154:AK203" si="164">EXP(-1.0587+0.8836*LN(AJ154)+0.284)</f>
        <v>10.412633617059328</v>
      </c>
      <c r="AL154" s="20">
        <f t="shared" ref="AL154:AL203" si="165">(AJ154+AK154)*0.475*44/12</f>
        <v>77.474616883045101</v>
      </c>
      <c r="AM154" s="59">
        <f t="shared" si="113"/>
        <v>370.8079502163784</v>
      </c>
      <c r="AN154" s="59">
        <f ca="1">AVERAGE(OFFSET($AM$3,0,0,'Données projet'!$E$10+1,1))-AVERAGE(OFFSET($H$3,0,0,'Données projet'!$E$10+1,1))</f>
        <v>260.53994021583316</v>
      </c>
      <c r="AO154" s="59">
        <f t="shared" si="144"/>
        <v>669.20238852709122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1.8177577644149888E-16</v>
      </c>
      <c r="AX154" s="21">
        <f t="shared" ref="AX154:AX203" si="166">SUM(AU154:AW154)</f>
        <v>1.8177577644149888E-16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-1.1527845344971866E-13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279.20364724206644</v>
      </c>
      <c r="BJ154" s="59">
        <f t="shared" si="146"/>
        <v>173.99850582760712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0.12153265633894587</v>
      </c>
      <c r="BR154" s="21">
        <f>EXP(-LN(2)/2)*BR153+(1-EXP(-LN(2)/2))/(LN(2)/2)*BL154*BO154*VLOOKUP('Données projet'!$B$11,Paramètres!$A$1:$I$89,3,0)*0.475*44/12</f>
        <v>4.2541766256503497E-18</v>
      </c>
      <c r="BS154" s="22">
        <f t="shared" ref="BS154:BS203" si="169">SUM(BP154:BR154)</f>
        <v>0.12153265633894587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-1.2946657079737634E-13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327.06866218660838</v>
      </c>
      <c r="CE154" s="59">
        <f t="shared" si="148"/>
        <v>202.18198935334908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0.13649052173450826</v>
      </c>
      <c r="CM154" s="21">
        <f>EXP(-LN(2)/2)*CM153+(1-EXP(-LN(2)/2))/(LN(2)/2)*CG154*CJ154*VLOOKUP('Données projet'!$B$12,Paramètres!$A$1:$I$89,3,0)*0.475*44/12</f>
        <v>4.7777675949612074E-18</v>
      </c>
      <c r="CN154" s="22">
        <f t="shared" ref="CN154:CN203" si="172">SUM(CK154:CM154)</f>
        <v>0.13649052173450826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-5.1159076974727213E-13</v>
      </c>
      <c r="CU154" s="17">
        <f>CT154*VLOOKUP('Données projet'!$B$13,Paramètres!$A$1:$I$89,3,0)*VLOOKUP('Données projet'!$B$13,Paramètres!$A$1:$I$89,5,0)</f>
        <v>-4.1500243241898714E-13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266.72672633301022</v>
      </c>
      <c r="CZ154" s="59">
        <f t="shared" si="150"/>
        <v>314.26991662544219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0.24577508143778501</v>
      </c>
      <c r="DG154" s="21">
        <f>EXP(-LN(2)/25)*DG153+(1-EXP(-LN(2)/25))/(LN(2)/25)*Calculateur!DB154*Calculateur!DD154*VLOOKUP('Données projet'!$B$13,Paramètres!$A$1:$I$89,3,0)*0.475*44/12</f>
        <v>0.59266533043595016</v>
      </c>
      <c r="DH154" s="21">
        <f>EXP(-LN(2)/2)*DH153+(1-EXP(-LN(2)/2))/(LN(2)/2)*DB154*DE154*VLOOKUP('Données projet'!$B$13,Paramètres!$A$1:$I$89,3,0)*0.475*44/12</f>
        <v>1.5032646541845513E-17</v>
      </c>
      <c r="DI154" s="22">
        <f t="shared" ref="DI154:DI203" si="175">SUM(DF154:DH154)</f>
        <v>0.83844041187373519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-5.6843418860808015E-14</v>
      </c>
      <c r="DP154" s="17">
        <f>DO154*VLOOKUP('Données projet'!$B$14,Paramètres!$A$1:$I$89,3,0)*VLOOKUP('Données projet'!$B$14,Paramètres!$A$1:$I$89,5,0)</f>
        <v>-6.1186256061773749E-14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442.54137223086991</v>
      </c>
      <c r="DU154" s="59">
        <f t="shared" si="152"/>
        <v>454.23406186660714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0.18169800663436242</v>
      </c>
      <c r="EB154" s="21">
        <f>EXP(-LN(2)/25)*EB153+(1-EXP(-LN(2)/25))/(LN(2)/25)*Calculateur!DW154*Calculateur!DY154*VLOOKUP('Données projet'!$B$14,Paramètres!$A$1:$I$89,3,0)*0.475*44/12</f>
        <v>0.40332658923579418</v>
      </c>
      <c r="EC154" s="21">
        <f>EXP(-LN(2)/2)*EC153+(1-EXP(-LN(2)/2))/(LN(2)/2)*DW154*DZ154*VLOOKUP('Données projet'!$B$14,Paramètres!$A$1:$I$89,3,0)*0.475*44/12</f>
        <v>1.1063158400397743E-17</v>
      </c>
      <c r="ED154" s="22">
        <f t="shared" ref="ED154:ED203" si="178">SUM(EA154:EC154)</f>
        <v>0.58502459587015654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201.49055911472067</v>
      </c>
      <c r="T155" s="59">
        <f t="shared" si="142"/>
        <v>403.37692064114719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6.6532122744940194</v>
      </c>
      <c r="AA155" s="21">
        <f>EXP(-LN(2)/25)*AA154+(1-EXP(-LN(2)/25))/(LN(2)/25)*Calculateur!V155*Calculateur!X155*VLOOKUP('Données projet'!$B$9,Paramètres!$A$1:$I$89,3,0)*0.475*44/12</f>
        <v>2.2938556147682152</v>
      </c>
      <c r="AB155" s="21">
        <f>EXP(-LN(2)/2)*AB154+(1-EXP(-LN(2)/2))/(LN(2)/2)*V155*Y155*VLOOKUP('Données projet'!$B$9,Paramètres!$A$1:$I$89,3,0)*0.475*44/12</f>
        <v>2.2253819580506247E-16</v>
      </c>
      <c r="AC155" s="22">
        <f t="shared" si="163"/>
        <v>8.9470678892622342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39.000000000000057</v>
      </c>
      <c r="AJ155" s="13">
        <f>AI155*VLOOKUP('Données projet'!$B$10,Paramètres!$A$1:$I$89,3,0)*VLOOKUP('Données projet'!$B$10,Paramètres!$A$1:$I$89,5,0)</f>
        <v>34.070400000000056</v>
      </c>
      <c r="AK155" s="13">
        <f t="shared" si="164"/>
        <v>10.412633617059328</v>
      </c>
      <c r="AL155" s="20">
        <f t="shared" si="165"/>
        <v>77.474616883045101</v>
      </c>
      <c r="AM155" s="59">
        <f t="shared" si="113"/>
        <v>370.8079502163784</v>
      </c>
      <c r="AN155" s="59">
        <f ca="1">AVERAGE(OFFSET($AM$3,0,0,'Données projet'!$E$10+1,1))-AVERAGE(OFFSET($H$3,0,0,'Données projet'!$E$10+1,1))</f>
        <v>260.53994021583316</v>
      </c>
      <c r="AO155" s="59">
        <f t="shared" si="144"/>
        <v>669.20238852709122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1.2853488417723373E-16</v>
      </c>
      <c r="AX155" s="21">
        <f t="shared" si="166"/>
        <v>1.2853488417723373E-16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-1.1527845344971866E-13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279.20364724206644</v>
      </c>
      <c r="BJ155" s="59">
        <f t="shared" si="146"/>
        <v>173.99850582760712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0.11820933946023277</v>
      </c>
      <c r="BR155" s="21">
        <f>EXP(-LN(2)/2)*BR154+(1-EXP(-LN(2)/2))/(LN(2)/2)*BL155*BO155*VLOOKUP('Données projet'!$B$11,Paramètres!$A$1:$I$89,3,0)*0.475*44/12</f>
        <v>3.0081571403626669E-18</v>
      </c>
      <c r="BS155" s="22">
        <f t="shared" si="169"/>
        <v>0.11820933946023277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-1.2946657079737634E-13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327.06866218660838</v>
      </c>
      <c r="CE155" s="59">
        <f t="shared" si="148"/>
        <v>202.18198935334908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0.13275818123995356</v>
      </c>
      <c r="CM155" s="21">
        <f>EXP(-LN(2)/2)*CM154+(1-EXP(-LN(2)/2))/(LN(2)/2)*CG155*CJ155*VLOOKUP('Données projet'!$B$12,Paramètres!$A$1:$I$89,3,0)*0.475*44/12</f>
        <v>3.3783918653304123E-18</v>
      </c>
      <c r="CN155" s="22">
        <f t="shared" si="172"/>
        <v>0.13275818123995356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-5.1159076974727213E-13</v>
      </c>
      <c r="CU155" s="17">
        <f>CT155*VLOOKUP('Données projet'!$B$13,Paramètres!$A$1:$I$89,3,0)*VLOOKUP('Données projet'!$B$13,Paramètres!$A$1:$I$89,5,0)</f>
        <v>-4.1500243241898714E-13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266.72672633301022</v>
      </c>
      <c r="CZ155" s="59">
        <f t="shared" si="150"/>
        <v>314.26991662544219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0.24095558199878753</v>
      </c>
      <c r="DG155" s="21">
        <f>EXP(-LN(2)/25)*DG154+(1-EXP(-LN(2)/25))/(LN(2)/25)*Calculateur!DB155*Calculateur!DD155*VLOOKUP('Données projet'!$B$13,Paramètres!$A$1:$I$89,3,0)*0.475*44/12</f>
        <v>0.57645886580826389</v>
      </c>
      <c r="DH155" s="21">
        <f>EXP(-LN(2)/2)*DH154+(1-EXP(-LN(2)/2))/(LN(2)/2)*DB155*DE155*VLOOKUP('Données projet'!$B$13,Paramètres!$A$1:$I$89,3,0)*0.475*44/12</f>
        <v>1.0629686308919465E-17</v>
      </c>
      <c r="DI155" s="22">
        <f t="shared" si="175"/>
        <v>0.81741444780705141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-5.6843418860808015E-14</v>
      </c>
      <c r="DP155" s="17">
        <f>DO155*VLOOKUP('Données projet'!$B$14,Paramètres!$A$1:$I$89,3,0)*VLOOKUP('Données projet'!$B$14,Paramètres!$A$1:$I$89,5,0)</f>
        <v>-6.1186256061773749E-14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442.54137223086991</v>
      </c>
      <c r="DU155" s="59">
        <f t="shared" si="152"/>
        <v>454.23406186660714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0.17813501954910357</v>
      </c>
      <c r="EB155" s="21">
        <f>EXP(-LN(2)/25)*EB154+(1-EXP(-LN(2)/25))/(LN(2)/25)*Calculateur!DW155*Calculateur!DY155*VLOOKUP('Données projet'!$B$14,Paramètres!$A$1:$I$89,3,0)*0.475*44/12</f>
        <v>0.39229760244311784</v>
      </c>
      <c r="EC155" s="21">
        <f>EXP(-LN(2)/2)*EC154+(1-EXP(-LN(2)/2))/(LN(2)/2)*DW155*DZ155*VLOOKUP('Données projet'!$B$14,Paramètres!$A$1:$I$89,3,0)*0.475*44/12</f>
        <v>7.8228343262621623E-18</v>
      </c>
      <c r="ED155" s="22">
        <f t="shared" si="178"/>
        <v>0.57043262199222144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201.49055911472067</v>
      </c>
      <c r="T156" s="59">
        <f t="shared" si="142"/>
        <v>403.37692064114719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6.5227468398499795</v>
      </c>
      <c r="AA156" s="21">
        <f>EXP(-LN(2)/25)*AA155+(1-EXP(-LN(2)/25))/(LN(2)/25)*Calculateur!V156*Calculateur!X156*VLOOKUP('Données projet'!$B$9,Paramètres!$A$1:$I$89,3,0)*0.475*44/12</f>
        <v>2.2311300123537543</v>
      </c>
      <c r="AB156" s="21">
        <f>EXP(-LN(2)/2)*AB155+(1-EXP(-LN(2)/2))/(LN(2)/2)*V156*Y156*VLOOKUP('Données projet'!$B$9,Paramètres!$A$1:$I$89,3,0)*0.475*44/12</f>
        <v>1.5735826732677938E-16</v>
      </c>
      <c r="AC156" s="22">
        <f t="shared" si="163"/>
        <v>8.7538768522037333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39.000000000000057</v>
      </c>
      <c r="AJ156" s="13">
        <f>AI156*VLOOKUP('Données projet'!$B$10,Paramètres!$A$1:$I$89,3,0)*VLOOKUP('Données projet'!$B$10,Paramètres!$A$1:$I$89,5,0)</f>
        <v>34.070400000000056</v>
      </c>
      <c r="AK156" s="13">
        <f t="shared" si="164"/>
        <v>10.412633617059328</v>
      </c>
      <c r="AL156" s="20">
        <f t="shared" si="165"/>
        <v>77.474616883045101</v>
      </c>
      <c r="AM156" s="59">
        <f t="shared" si="113"/>
        <v>370.8079502163784</v>
      </c>
      <c r="AN156" s="59">
        <f ca="1">AVERAGE(OFFSET($AM$3,0,0,'Données projet'!$E$10+1,1))-AVERAGE(OFFSET($H$3,0,0,'Données projet'!$E$10+1,1))</f>
        <v>260.53994021583316</v>
      </c>
      <c r="AO156" s="59">
        <f t="shared" si="144"/>
        <v>669.20238852709122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9.0887888220749441E-17</v>
      </c>
      <c r="AX156" s="21">
        <f t="shared" si="166"/>
        <v>9.0887888220749441E-17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-1.1527845344971866E-13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279.20364724206644</v>
      </c>
      <c r="BJ156" s="59">
        <f t="shared" si="146"/>
        <v>173.99850582760712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0.11497689885633371</v>
      </c>
      <c r="BR156" s="21">
        <f>EXP(-LN(2)/2)*BR155+(1-EXP(-LN(2)/2))/(LN(2)/2)*BL156*BO156*VLOOKUP('Données projet'!$B$11,Paramètres!$A$1:$I$89,3,0)*0.475*44/12</f>
        <v>2.1270883128251748E-18</v>
      </c>
      <c r="BS156" s="22">
        <f t="shared" si="169"/>
        <v>0.11497689885633371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-1.2946657079737634E-13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327.06866218660838</v>
      </c>
      <c r="CE156" s="59">
        <f t="shared" si="148"/>
        <v>202.18198935334908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0.1291279017924977</v>
      </c>
      <c r="CM156" s="21">
        <f>EXP(-LN(2)/2)*CM155+(1-EXP(-LN(2)/2))/(LN(2)/2)*CG156*CJ156*VLOOKUP('Données projet'!$B$12,Paramètres!$A$1:$I$89,3,0)*0.475*44/12</f>
        <v>2.3888837974806041E-18</v>
      </c>
      <c r="CN156" s="22">
        <f t="shared" si="172"/>
        <v>0.1291279017924977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-5.1159076974727213E-13</v>
      </c>
      <c r="CU156" s="17">
        <f>CT156*VLOOKUP('Données projet'!$B$13,Paramètres!$A$1:$I$89,3,0)*VLOOKUP('Données projet'!$B$13,Paramètres!$A$1:$I$89,5,0)</f>
        <v>-4.1500243241898714E-13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266.72672633301022</v>
      </c>
      <c r="CZ156" s="59">
        <f t="shared" si="150"/>
        <v>314.26991662544219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0.23623059000418439</v>
      </c>
      <c r="DG156" s="21">
        <f>EXP(-LN(2)/25)*DG155+(1-EXP(-LN(2)/25))/(LN(2)/25)*Calculateur!DB156*Calculateur!DD156*VLOOKUP('Données projet'!$B$13,Paramètres!$A$1:$I$89,3,0)*0.475*44/12</f>
        <v>0.56069556780808272</v>
      </c>
      <c r="DH156" s="21">
        <f>EXP(-LN(2)/2)*DH155+(1-EXP(-LN(2)/2))/(LN(2)/2)*DB156*DE156*VLOOKUP('Données projet'!$B$13,Paramètres!$A$1:$I$89,3,0)*0.475*44/12</f>
        <v>7.5163232709227564E-18</v>
      </c>
      <c r="DI156" s="22">
        <f t="shared" si="175"/>
        <v>0.79692615781226706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-5.6843418860808015E-14</v>
      </c>
      <c r="DP156" s="17">
        <f>DO156*VLOOKUP('Données projet'!$B$14,Paramètres!$A$1:$I$89,3,0)*VLOOKUP('Données projet'!$B$14,Paramètres!$A$1:$I$89,5,0)</f>
        <v>-6.1186256061773749E-14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442.54137223086991</v>
      </c>
      <c r="DU156" s="59">
        <f t="shared" si="152"/>
        <v>454.23406186660714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0.17464190046737912</v>
      </c>
      <c r="EB156" s="21">
        <f>EXP(-LN(2)/25)*EB155+(1-EXP(-LN(2)/25))/(LN(2)/25)*Calculateur!DW156*Calculateur!DY156*VLOOKUP('Données projet'!$B$14,Paramètres!$A$1:$I$89,3,0)*0.475*44/12</f>
        <v>0.38157020387427648</v>
      </c>
      <c r="EC156" s="21">
        <f>EXP(-LN(2)/2)*EC155+(1-EXP(-LN(2)/2))/(LN(2)/2)*DW156*DZ156*VLOOKUP('Données projet'!$B$14,Paramètres!$A$1:$I$89,3,0)*0.475*44/12</f>
        <v>5.5315792001988717E-18</v>
      </c>
      <c r="ED156" s="22">
        <f t="shared" si="178"/>
        <v>0.55621210434165558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201.49055911472067</v>
      </c>
      <c r="T157" s="59">
        <f t="shared" si="142"/>
        <v>403.37692064114719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6.394839752803251</v>
      </c>
      <c r="AA157" s="21">
        <f>EXP(-LN(2)/25)*AA156+(1-EXP(-LN(2)/25))/(LN(2)/25)*Calculateur!V157*Calculateur!X157*VLOOKUP('Données projet'!$B$9,Paramètres!$A$1:$I$89,3,0)*0.475*44/12</f>
        <v>2.1701196448359128</v>
      </c>
      <c r="AB157" s="21">
        <f>EXP(-LN(2)/2)*AB156+(1-EXP(-LN(2)/2))/(LN(2)/2)*V157*Y157*VLOOKUP('Données projet'!$B$9,Paramètres!$A$1:$I$89,3,0)*0.475*44/12</f>
        <v>1.1126909790253124E-16</v>
      </c>
      <c r="AC157" s="22">
        <f t="shared" si="163"/>
        <v>8.5649593976391643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39.000000000000057</v>
      </c>
      <c r="AJ157" s="13">
        <f>AI157*VLOOKUP('Données projet'!$B$10,Paramètres!$A$1:$I$89,3,0)*VLOOKUP('Données projet'!$B$10,Paramètres!$A$1:$I$89,5,0)</f>
        <v>34.070400000000056</v>
      </c>
      <c r="AK157" s="13">
        <f t="shared" si="164"/>
        <v>10.412633617059328</v>
      </c>
      <c r="AL157" s="20">
        <f t="shared" si="165"/>
        <v>77.474616883045101</v>
      </c>
      <c r="AM157" s="59">
        <f t="shared" si="113"/>
        <v>370.8079502163784</v>
      </c>
      <c r="AN157" s="59">
        <f ca="1">AVERAGE(OFFSET($AM$3,0,0,'Données projet'!$E$10+1,1))-AVERAGE(OFFSET($H$3,0,0,'Données projet'!$E$10+1,1))</f>
        <v>260.53994021583316</v>
      </c>
      <c r="AO157" s="59">
        <f t="shared" si="144"/>
        <v>669.20238852709122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6.4267442088616864E-17</v>
      </c>
      <c r="AX157" s="21">
        <f t="shared" si="166"/>
        <v>6.4267442088616864E-17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-1.1527845344971866E-13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279.20364724206644</v>
      </c>
      <c r="BJ157" s="59">
        <f t="shared" si="146"/>
        <v>173.99850582760712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0.11183284951073494</v>
      </c>
      <c r="BR157" s="21">
        <f>EXP(-LN(2)/2)*BR156+(1-EXP(-LN(2)/2))/(LN(2)/2)*BL157*BO157*VLOOKUP('Données projet'!$B$11,Paramètres!$A$1:$I$89,3,0)*0.475*44/12</f>
        <v>1.5040785701813335E-18</v>
      </c>
      <c r="BS157" s="22">
        <f t="shared" si="169"/>
        <v>0.11183284951073494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-1.2946657079737634E-13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327.06866218660838</v>
      </c>
      <c r="CE157" s="59">
        <f t="shared" si="148"/>
        <v>202.18198935334908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0.12559689252744061</v>
      </c>
      <c r="CM157" s="21">
        <f>EXP(-LN(2)/2)*CM156+(1-EXP(-LN(2)/2))/(LN(2)/2)*CG157*CJ157*VLOOKUP('Données projet'!$B$12,Paramètres!$A$1:$I$89,3,0)*0.475*44/12</f>
        <v>1.6891959326652063E-18</v>
      </c>
      <c r="CN157" s="22">
        <f t="shared" si="172"/>
        <v>0.12559689252744061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-5.1159076974727213E-13</v>
      </c>
      <c r="CU157" s="17">
        <f>CT157*VLOOKUP('Données projet'!$B$13,Paramètres!$A$1:$I$89,3,0)*VLOOKUP('Données projet'!$B$13,Paramètres!$A$1:$I$89,5,0)</f>
        <v>-4.1500243241898714E-13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266.72672633301022</v>
      </c>
      <c r="CZ157" s="59">
        <f t="shared" si="150"/>
        <v>314.26991662544219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0.23159825222063488</v>
      </c>
      <c r="DG157" s="21">
        <f>EXP(-LN(2)/25)*DG156+(1-EXP(-LN(2)/25))/(LN(2)/25)*Calculateur!DB157*Calculateur!DD157*VLOOKUP('Données projet'!$B$13,Paramètres!$A$1:$I$89,3,0)*0.475*44/12</f>
        <v>0.54536331802067228</v>
      </c>
      <c r="DH157" s="21">
        <f>EXP(-LN(2)/2)*DH156+(1-EXP(-LN(2)/2))/(LN(2)/2)*DB157*DE157*VLOOKUP('Données projet'!$B$13,Paramètres!$A$1:$I$89,3,0)*0.475*44/12</f>
        <v>5.3148431544597327E-18</v>
      </c>
      <c r="DI157" s="22">
        <f t="shared" si="175"/>
        <v>0.77696157024130719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-5.6843418860808015E-14</v>
      </c>
      <c r="DP157" s="17">
        <f>DO157*VLOOKUP('Données projet'!$B$14,Paramètres!$A$1:$I$89,3,0)*VLOOKUP('Données projet'!$B$14,Paramètres!$A$1:$I$89,5,0)</f>
        <v>-6.1186256061773749E-14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442.54137223086991</v>
      </c>
      <c r="DU157" s="59">
        <f t="shared" si="152"/>
        <v>454.23406186660714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0.17121727932025502</v>
      </c>
      <c r="EB157" s="21">
        <f>EXP(-LN(2)/25)*EB156+(1-EXP(-LN(2)/25))/(LN(2)/25)*Calculateur!DW157*Calculateur!DY157*VLOOKUP('Données projet'!$B$14,Paramètres!$A$1:$I$89,3,0)*0.475*44/12</f>
        <v>0.37113614658342947</v>
      </c>
      <c r="EC157" s="21">
        <f>EXP(-LN(2)/2)*EC156+(1-EXP(-LN(2)/2))/(LN(2)/2)*DW157*DZ157*VLOOKUP('Données projet'!$B$14,Paramètres!$A$1:$I$89,3,0)*0.475*44/12</f>
        <v>3.9114171631310811E-18</v>
      </c>
      <c r="ED157" s="22">
        <f t="shared" si="178"/>
        <v>0.54235342590368452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201.49055911472067</v>
      </c>
      <c r="T158" s="59">
        <f t="shared" si="142"/>
        <v>403.37692064114719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6.269440845717889</v>
      </c>
      <c r="AA158" s="21">
        <f>EXP(-LN(2)/25)*AA157+(1-EXP(-LN(2)/25))/(LN(2)/25)*Calculateur!V158*Calculateur!X158*VLOOKUP('Données projet'!$B$9,Paramètres!$A$1:$I$89,3,0)*0.475*44/12</f>
        <v>2.1107776090262425</v>
      </c>
      <c r="AB158" s="21">
        <f>EXP(-LN(2)/2)*AB157+(1-EXP(-LN(2)/2))/(LN(2)/2)*V158*Y158*VLOOKUP('Données projet'!$B$9,Paramètres!$A$1:$I$89,3,0)*0.475*44/12</f>
        <v>7.8679133663389691E-17</v>
      </c>
      <c r="AC158" s="22">
        <f t="shared" si="163"/>
        <v>8.3802184547441314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39.000000000000057</v>
      </c>
      <c r="AJ158" s="13">
        <f>AI158*VLOOKUP('Données projet'!$B$10,Paramètres!$A$1:$I$89,3,0)*VLOOKUP('Données projet'!$B$10,Paramètres!$A$1:$I$89,5,0)</f>
        <v>34.070400000000056</v>
      </c>
      <c r="AK158" s="13">
        <f t="shared" si="164"/>
        <v>10.412633617059328</v>
      </c>
      <c r="AL158" s="20">
        <f t="shared" si="165"/>
        <v>77.474616883045101</v>
      </c>
      <c r="AM158" s="59">
        <f t="shared" si="113"/>
        <v>370.8079502163784</v>
      </c>
      <c r="AN158" s="59">
        <f ca="1">AVERAGE(OFFSET($AM$3,0,0,'Données projet'!$E$10+1,1))-AVERAGE(OFFSET($H$3,0,0,'Données projet'!$E$10+1,1))</f>
        <v>260.53994021583316</v>
      </c>
      <c r="AO158" s="59">
        <f t="shared" si="144"/>
        <v>669.20238852709122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4.5443944110374721E-17</v>
      </c>
      <c r="AX158" s="21">
        <f t="shared" si="166"/>
        <v>4.5443944110374721E-17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-1.1527845344971866E-13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279.20364724206644</v>
      </c>
      <c r="BJ158" s="59">
        <f t="shared" si="146"/>
        <v>173.99850582760712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0.10877477435982993</v>
      </c>
      <c r="BR158" s="21">
        <f>EXP(-LN(2)/2)*BR157+(1-EXP(-LN(2)/2))/(LN(2)/2)*BL158*BO158*VLOOKUP('Données projet'!$B$11,Paramètres!$A$1:$I$89,3,0)*0.475*44/12</f>
        <v>1.0635441564125874E-18</v>
      </c>
      <c r="BS158" s="22">
        <f t="shared" si="169"/>
        <v>0.10877477435982993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-1.2946657079737634E-13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327.06866218660838</v>
      </c>
      <c r="CE158" s="59">
        <f t="shared" si="148"/>
        <v>202.18198935334908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0.12216243889642422</v>
      </c>
      <c r="CM158" s="21">
        <f>EXP(-LN(2)/2)*CM157+(1-EXP(-LN(2)/2))/(LN(2)/2)*CG158*CJ158*VLOOKUP('Données projet'!$B$12,Paramètres!$A$1:$I$89,3,0)*0.475*44/12</f>
        <v>1.1944418987403022E-18</v>
      </c>
      <c r="CN158" s="22">
        <f t="shared" si="172"/>
        <v>0.12216243889642422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-5.1159076974727213E-13</v>
      </c>
      <c r="CU158" s="17">
        <f>CT158*VLOOKUP('Données projet'!$B$13,Paramètres!$A$1:$I$89,3,0)*VLOOKUP('Données projet'!$B$13,Paramètres!$A$1:$I$89,5,0)</f>
        <v>-4.1500243241898714E-13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266.72672633301022</v>
      </c>
      <c r="CZ158" s="59">
        <f t="shared" si="150"/>
        <v>314.26991662544219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0.22705675175557372</v>
      </c>
      <c r="DG158" s="21">
        <f>EXP(-LN(2)/25)*DG157+(1-EXP(-LN(2)/25))/(LN(2)/25)*Calculateur!DB158*Calculateur!DD158*VLOOKUP('Données projet'!$B$13,Paramètres!$A$1:$I$89,3,0)*0.475*44/12</f>
        <v>0.5304503294099866</v>
      </c>
      <c r="DH158" s="21">
        <f>EXP(-LN(2)/2)*DH157+(1-EXP(-LN(2)/2))/(LN(2)/2)*DB158*DE158*VLOOKUP('Données projet'!$B$13,Paramètres!$A$1:$I$89,3,0)*0.475*44/12</f>
        <v>3.7581616354613782E-18</v>
      </c>
      <c r="DI158" s="22">
        <f t="shared" si="175"/>
        <v>0.75750708116556031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-5.6843418860808015E-14</v>
      </c>
      <c r="DP158" s="17">
        <f>DO158*VLOOKUP('Données projet'!$B$14,Paramètres!$A$1:$I$89,3,0)*VLOOKUP('Données projet'!$B$14,Paramètres!$A$1:$I$89,5,0)</f>
        <v>-6.1186256061773749E-14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442.54137223086991</v>
      </c>
      <c r="DU158" s="59">
        <f t="shared" si="152"/>
        <v>454.23406186660714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0.16785981290501337</v>
      </c>
      <c r="EB158" s="21">
        <f>EXP(-LN(2)/25)*EB157+(1-EXP(-LN(2)/25))/(LN(2)/25)*Calculateur!DW158*Calculateur!DY158*VLOOKUP('Données projet'!$B$14,Paramètres!$A$1:$I$89,3,0)*0.475*44/12</f>
        <v>0.36098740913790389</v>
      </c>
      <c r="EC158" s="21">
        <f>EXP(-LN(2)/2)*EC157+(1-EXP(-LN(2)/2))/(LN(2)/2)*DW158*DZ158*VLOOKUP('Données projet'!$B$14,Paramètres!$A$1:$I$89,3,0)*0.475*44/12</f>
        <v>2.7657896000994359E-18</v>
      </c>
      <c r="ED158" s="22">
        <f t="shared" si="178"/>
        <v>0.52884722204291723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201.49055911472067</v>
      </c>
      <c r="T159" s="59">
        <f t="shared" si="142"/>
        <v>403.37692064114719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6.1465009347146902</v>
      </c>
      <c r="AA159" s="21">
        <f>EXP(-LN(2)/25)*AA158+(1-EXP(-LN(2)/25))/(LN(2)/25)*Calculateur!V159*Calculateur!X159*VLOOKUP('Données projet'!$B$9,Paramètres!$A$1:$I$89,3,0)*0.475*44/12</f>
        <v>2.0530582843064495</v>
      </c>
      <c r="AB159" s="21">
        <f>EXP(-LN(2)/2)*AB158+(1-EXP(-LN(2)/2))/(LN(2)/2)*V159*Y159*VLOOKUP('Données projet'!$B$9,Paramètres!$A$1:$I$89,3,0)*0.475*44/12</f>
        <v>5.5634548951265619E-17</v>
      </c>
      <c r="AC159" s="22">
        <f t="shared" si="163"/>
        <v>8.1995592190211397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39.000000000000057</v>
      </c>
      <c r="AJ159" s="13">
        <f>AI159*VLOOKUP('Données projet'!$B$10,Paramètres!$A$1:$I$89,3,0)*VLOOKUP('Données projet'!$B$10,Paramètres!$A$1:$I$89,5,0)</f>
        <v>34.070400000000056</v>
      </c>
      <c r="AK159" s="13">
        <f t="shared" si="164"/>
        <v>10.412633617059328</v>
      </c>
      <c r="AL159" s="20">
        <f t="shared" si="165"/>
        <v>77.474616883045101</v>
      </c>
      <c r="AM159" s="59">
        <f t="shared" si="113"/>
        <v>370.8079502163784</v>
      </c>
      <c r="AN159" s="59">
        <f ca="1">AVERAGE(OFFSET($AM$3,0,0,'Données projet'!$E$10+1,1))-AVERAGE(OFFSET($H$3,0,0,'Données projet'!$E$10+1,1))</f>
        <v>260.53994021583316</v>
      </c>
      <c r="AO159" s="59">
        <f t="shared" si="144"/>
        <v>669.20238852709122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3.2133721044308432E-17</v>
      </c>
      <c r="AX159" s="21">
        <f t="shared" si="166"/>
        <v>3.2133721044308432E-17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-1.1527845344971866E-13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279.20364724206644</v>
      </c>
      <c r="BJ159" s="59">
        <f t="shared" si="146"/>
        <v>173.99850582760712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0.1058003224347436</v>
      </c>
      <c r="BR159" s="21">
        <f>EXP(-LN(2)/2)*BR158+(1-EXP(-LN(2)/2))/(LN(2)/2)*BL159*BO159*VLOOKUP('Données projet'!$B$11,Paramètres!$A$1:$I$89,3,0)*0.475*44/12</f>
        <v>7.5203928509066673E-19</v>
      </c>
      <c r="BS159" s="22">
        <f t="shared" si="169"/>
        <v>0.1058003224347436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-1.2946657079737634E-13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327.06866218660838</v>
      </c>
      <c r="CE159" s="59">
        <f t="shared" si="148"/>
        <v>202.18198935334908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0.11882190058055805</v>
      </c>
      <c r="CM159" s="21">
        <f>EXP(-LN(2)/2)*CM158+(1-EXP(-LN(2)/2))/(LN(2)/2)*CG159*CJ159*VLOOKUP('Données projet'!$B$12,Paramètres!$A$1:$I$89,3,0)*0.475*44/12</f>
        <v>8.4459796633260335E-19</v>
      </c>
      <c r="CN159" s="22">
        <f t="shared" si="172"/>
        <v>0.11882190058055805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-5.1159076974727213E-13</v>
      </c>
      <c r="CU159" s="17">
        <f>CT159*VLOOKUP('Données projet'!$B$13,Paramètres!$A$1:$I$89,3,0)*VLOOKUP('Données projet'!$B$13,Paramètres!$A$1:$I$89,5,0)</f>
        <v>-4.1500243241898714E-13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266.72672633301022</v>
      </c>
      <c r="CZ159" s="59">
        <f t="shared" si="150"/>
        <v>314.26991662544219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0.22260430734459064</v>
      </c>
      <c r="DG159" s="21">
        <f>EXP(-LN(2)/25)*DG158+(1-EXP(-LN(2)/25))/(LN(2)/25)*Calculateur!DB159*Calculateur!DD159*VLOOKUP('Données projet'!$B$13,Paramètres!$A$1:$I$89,3,0)*0.475*44/12</f>
        <v>0.51594513725710001</v>
      </c>
      <c r="DH159" s="21">
        <f>EXP(-LN(2)/2)*DH158+(1-EXP(-LN(2)/2))/(LN(2)/2)*DB159*DE159*VLOOKUP('Données projet'!$B$13,Paramètres!$A$1:$I$89,3,0)*0.475*44/12</f>
        <v>2.6574215772298664E-18</v>
      </c>
      <c r="DI159" s="22">
        <f t="shared" si="175"/>
        <v>0.7385494446016907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-5.6843418860808015E-14</v>
      </c>
      <c r="DP159" s="17">
        <f>DO159*VLOOKUP('Données projet'!$B$14,Paramètres!$A$1:$I$89,3,0)*VLOOKUP('Données projet'!$B$14,Paramètres!$A$1:$I$89,5,0)</f>
        <v>-6.1186256061773749E-14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442.54137223086991</v>
      </c>
      <c r="DU159" s="59">
        <f t="shared" si="152"/>
        <v>454.23406186660714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0.16456818435832232</v>
      </c>
      <c r="EB159" s="21">
        <f>EXP(-LN(2)/25)*EB158+(1-EXP(-LN(2)/25))/(LN(2)/25)*Calculateur!DW159*Calculateur!DY159*VLOOKUP('Données projet'!$B$14,Paramètres!$A$1:$I$89,3,0)*0.475*44/12</f>
        <v>0.35111618945152512</v>
      </c>
      <c r="EC159" s="21">
        <f>EXP(-LN(2)/2)*EC158+(1-EXP(-LN(2)/2))/(LN(2)/2)*DW159*DZ159*VLOOKUP('Données projet'!$B$14,Paramètres!$A$1:$I$89,3,0)*0.475*44/12</f>
        <v>1.9557085815655406E-18</v>
      </c>
      <c r="ED159" s="22">
        <f t="shared" si="178"/>
        <v>0.51568437380984744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201.49055911472067</v>
      </c>
      <c r="T160" s="59">
        <f t="shared" si="142"/>
        <v>403.37692064114719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6.0259718003803231</v>
      </c>
      <c r="AA160" s="21">
        <f>EXP(-LN(2)/25)*AA159+(1-EXP(-LN(2)/25))/(LN(2)/25)*Calculateur!V160*Calculateur!X160*VLOOKUP('Données projet'!$B$9,Paramètres!$A$1:$I$89,3,0)*0.475*44/12</f>
        <v>1.9969172975564469</v>
      </c>
      <c r="AB160" s="21">
        <f>EXP(-LN(2)/2)*AB159+(1-EXP(-LN(2)/2))/(LN(2)/2)*V160*Y160*VLOOKUP('Données projet'!$B$9,Paramètres!$A$1:$I$89,3,0)*0.475*44/12</f>
        <v>3.9339566831694845E-17</v>
      </c>
      <c r="AC160" s="22">
        <f t="shared" si="163"/>
        <v>8.0228890979367691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39.000000000000057</v>
      </c>
      <c r="AJ160" s="13">
        <f>AI160*VLOOKUP('Données projet'!$B$10,Paramètres!$A$1:$I$89,3,0)*VLOOKUP('Données projet'!$B$10,Paramètres!$A$1:$I$89,5,0)</f>
        <v>34.070400000000056</v>
      </c>
      <c r="AK160" s="13">
        <f t="shared" si="164"/>
        <v>10.412633617059328</v>
      </c>
      <c r="AL160" s="20">
        <f t="shared" si="165"/>
        <v>77.474616883045101</v>
      </c>
      <c r="AM160" s="59">
        <f t="shared" si="113"/>
        <v>370.8079502163784</v>
      </c>
      <c r="AN160" s="59">
        <f ca="1">AVERAGE(OFFSET($AM$3,0,0,'Données projet'!$E$10+1,1))-AVERAGE(OFFSET($H$3,0,0,'Données projet'!$E$10+1,1))</f>
        <v>260.53994021583316</v>
      </c>
      <c r="AO160" s="59">
        <f t="shared" si="144"/>
        <v>669.20238852709122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2.272197205518736E-17</v>
      </c>
      <c r="AX160" s="21">
        <f t="shared" si="166"/>
        <v>2.272197205518736E-17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-1.1527845344971866E-13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279.20364724206644</v>
      </c>
      <c r="BJ160" s="59">
        <f t="shared" si="146"/>
        <v>173.99850582760712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0.1029072070539684</v>
      </c>
      <c r="BR160" s="21">
        <f>EXP(-LN(2)/2)*BR159+(1-EXP(-LN(2)/2))/(LN(2)/2)*BL160*BO160*VLOOKUP('Données projet'!$B$11,Paramètres!$A$1:$I$89,3,0)*0.475*44/12</f>
        <v>5.3177207820629371E-19</v>
      </c>
      <c r="BS160" s="22">
        <f t="shared" si="169"/>
        <v>0.1029072070539684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-1.2946657079737634E-13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327.06866218660838</v>
      </c>
      <c r="CE160" s="59">
        <f t="shared" si="148"/>
        <v>202.18198935334908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0.11557270946061052</v>
      </c>
      <c r="CM160" s="21">
        <f>EXP(-LN(2)/2)*CM159+(1-EXP(-LN(2)/2))/(LN(2)/2)*CG160*CJ160*VLOOKUP('Données projet'!$B$12,Paramètres!$A$1:$I$89,3,0)*0.475*44/12</f>
        <v>5.9722094937015122E-19</v>
      </c>
      <c r="CN160" s="22">
        <f t="shared" si="172"/>
        <v>0.11557270946061052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-5.1159076974727213E-13</v>
      </c>
      <c r="CU160" s="17">
        <f>CT160*VLOOKUP('Données projet'!$B$13,Paramètres!$A$1:$I$89,3,0)*VLOOKUP('Données projet'!$B$13,Paramètres!$A$1:$I$89,5,0)</f>
        <v>-4.1500243241898714E-13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266.72672633301022</v>
      </c>
      <c r="CZ160" s="59">
        <f t="shared" si="150"/>
        <v>314.26991662544219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0.218239172652784</v>
      </c>
      <c r="DG160" s="21">
        <f>EXP(-LN(2)/25)*DG159+(1-EXP(-LN(2)/25))/(LN(2)/25)*Calculateur!DB160*Calculateur!DD160*VLOOKUP('Données projet'!$B$13,Paramètres!$A$1:$I$89,3,0)*0.475*44/12</f>
        <v>0.50183659034642902</v>
      </c>
      <c r="DH160" s="21">
        <f>EXP(-LN(2)/2)*DH159+(1-EXP(-LN(2)/2))/(LN(2)/2)*DB160*DE160*VLOOKUP('Données projet'!$B$13,Paramètres!$A$1:$I$89,3,0)*0.475*44/12</f>
        <v>1.8790808177306891E-18</v>
      </c>
      <c r="DI160" s="22">
        <f t="shared" si="175"/>
        <v>0.72007576299921305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-5.6843418860808015E-14</v>
      </c>
      <c r="DP160" s="17">
        <f>DO160*VLOOKUP('Données projet'!$B$14,Paramètres!$A$1:$I$89,3,0)*VLOOKUP('Données projet'!$B$14,Paramètres!$A$1:$I$89,5,0)</f>
        <v>-6.1186256061773749E-14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442.54137223086991</v>
      </c>
      <c r="DU160" s="59">
        <f t="shared" si="152"/>
        <v>454.23406186660714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0.16134110263973669</v>
      </c>
      <c r="EB160" s="21">
        <f>EXP(-LN(2)/25)*EB159+(1-EXP(-LN(2)/25))/(LN(2)/25)*Calculateur!DW160*Calculateur!DY160*VLOOKUP('Données projet'!$B$14,Paramètres!$A$1:$I$89,3,0)*0.475*44/12</f>
        <v>0.34151489878657526</v>
      </c>
      <c r="EC160" s="21">
        <f>EXP(-LN(2)/2)*EC159+(1-EXP(-LN(2)/2))/(LN(2)/2)*DW160*DZ160*VLOOKUP('Données projet'!$B$14,Paramètres!$A$1:$I$89,3,0)*0.475*44/12</f>
        <v>1.3828948000497179E-18</v>
      </c>
      <c r="ED160" s="22">
        <f t="shared" si="178"/>
        <v>0.50285600142631193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201.49055911472067</v>
      </c>
      <c r="T161" s="59">
        <f t="shared" si="142"/>
        <v>403.37692064114719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5.9078061688547399</v>
      </c>
      <c r="AA161" s="21">
        <f>EXP(-LN(2)/25)*AA160+(1-EXP(-LN(2)/25))/(LN(2)/25)*Calculateur!V161*Calculateur!X161*VLOOKUP('Données projet'!$B$9,Paramètres!$A$1:$I$89,3,0)*0.475*44/12</f>
        <v>1.9423114890414492</v>
      </c>
      <c r="AB161" s="21">
        <f>EXP(-LN(2)/2)*AB160+(1-EXP(-LN(2)/2))/(LN(2)/2)*V161*Y161*VLOOKUP('Données projet'!$B$9,Paramètres!$A$1:$I$89,3,0)*0.475*44/12</f>
        <v>2.7817274475632809E-17</v>
      </c>
      <c r="AC161" s="22">
        <f t="shared" si="163"/>
        <v>7.8501176578961891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39.000000000000057</v>
      </c>
      <c r="AJ161" s="13">
        <f>AI161*VLOOKUP('Données projet'!$B$10,Paramètres!$A$1:$I$89,3,0)*VLOOKUP('Données projet'!$B$10,Paramètres!$A$1:$I$89,5,0)</f>
        <v>34.070400000000056</v>
      </c>
      <c r="AK161" s="13">
        <f t="shared" si="164"/>
        <v>10.412633617059328</v>
      </c>
      <c r="AL161" s="20">
        <f t="shared" si="165"/>
        <v>77.474616883045101</v>
      </c>
      <c r="AM161" s="59">
        <f t="shared" si="113"/>
        <v>370.8079502163784</v>
      </c>
      <c r="AN161" s="59">
        <f ca="1">AVERAGE(OFFSET($AM$3,0,0,'Données projet'!$E$10+1,1))-AVERAGE(OFFSET($H$3,0,0,'Données projet'!$E$10+1,1))</f>
        <v>260.53994021583316</v>
      </c>
      <c r="AO161" s="59">
        <f t="shared" si="144"/>
        <v>669.20238852709122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1.6066860522154216E-17</v>
      </c>
      <c r="AX161" s="21">
        <f t="shared" si="166"/>
        <v>1.6066860522154216E-17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-1.1527845344971866E-13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279.20364724206644</v>
      </c>
      <c r="BJ161" s="59">
        <f t="shared" si="146"/>
        <v>173.99850582760712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0.10009320406542281</v>
      </c>
      <c r="BR161" s="21">
        <f>EXP(-LN(2)/2)*BR160+(1-EXP(-LN(2)/2))/(LN(2)/2)*BL161*BO161*VLOOKUP('Données projet'!$B$11,Paramètres!$A$1:$I$89,3,0)*0.475*44/12</f>
        <v>3.7601964254533337E-19</v>
      </c>
      <c r="BS161" s="22">
        <f t="shared" si="169"/>
        <v>0.10009320406542281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-1.2946657079737634E-13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327.06866218660838</v>
      </c>
      <c r="CE161" s="59">
        <f t="shared" si="148"/>
        <v>202.18198935334908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0.11241236764270547</v>
      </c>
      <c r="CM161" s="21">
        <f>EXP(-LN(2)/2)*CM160+(1-EXP(-LN(2)/2))/(LN(2)/2)*CG161*CJ161*VLOOKUP('Données projet'!$B$12,Paramètres!$A$1:$I$89,3,0)*0.475*44/12</f>
        <v>4.2229898316630172E-19</v>
      </c>
      <c r="CN161" s="22">
        <f t="shared" si="172"/>
        <v>0.11241236764270547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-5.1159076974727213E-13</v>
      </c>
      <c r="CU161" s="17">
        <f>CT161*VLOOKUP('Données projet'!$B$13,Paramètres!$A$1:$I$89,3,0)*VLOOKUP('Données projet'!$B$13,Paramètres!$A$1:$I$89,5,0)</f>
        <v>-4.1500243241898714E-13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266.72672633301022</v>
      </c>
      <c r="CZ161" s="59">
        <f t="shared" si="150"/>
        <v>314.26991662544219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0.21395963558981443</v>
      </c>
      <c r="DG161" s="21">
        <f>EXP(-LN(2)/25)*DG160+(1-EXP(-LN(2)/25))/(LN(2)/25)*Calculateur!DB161*Calculateur!DD161*VLOOKUP('Données projet'!$B$13,Paramètres!$A$1:$I$89,3,0)*0.475*44/12</f>
        <v>0.48811384239296662</v>
      </c>
      <c r="DH161" s="21">
        <f>EXP(-LN(2)/2)*DH160+(1-EXP(-LN(2)/2))/(LN(2)/2)*DB161*DE161*VLOOKUP('Données projet'!$B$13,Paramètres!$A$1:$I$89,3,0)*0.475*44/12</f>
        <v>1.3287107886149332E-18</v>
      </c>
      <c r="DI161" s="22">
        <f t="shared" si="175"/>
        <v>0.70207347798278108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-5.6843418860808015E-14</v>
      </c>
      <c r="DP161" s="17">
        <f>DO161*VLOOKUP('Données projet'!$B$14,Paramètres!$A$1:$I$89,3,0)*VLOOKUP('Données projet'!$B$14,Paramètres!$A$1:$I$89,5,0)</f>
        <v>-6.1186256061773749E-14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442.54137223086991</v>
      </c>
      <c r="DU161" s="59">
        <f t="shared" si="152"/>
        <v>454.23406186660714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0.15817730202532704</v>
      </c>
      <c r="EB161" s="21">
        <f>EXP(-LN(2)/25)*EB160+(1-EXP(-LN(2)/25))/(LN(2)/25)*Calculateur!DW161*Calculateur!DY161*VLOOKUP('Données projet'!$B$14,Paramètres!$A$1:$I$89,3,0)*0.475*44/12</f>
        <v>0.3321761559197684</v>
      </c>
      <c r="EC161" s="21">
        <f>EXP(-LN(2)/2)*EC160+(1-EXP(-LN(2)/2))/(LN(2)/2)*DW161*DZ161*VLOOKUP('Données projet'!$B$14,Paramètres!$A$1:$I$89,3,0)*0.475*44/12</f>
        <v>9.7785429078277028E-19</v>
      </c>
      <c r="ED161" s="22">
        <f t="shared" si="178"/>
        <v>0.49035345794509544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201.49055911472067</v>
      </c>
      <c r="T162" s="59">
        <f t="shared" si="142"/>
        <v>403.37692064114719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5.7919576932894543</v>
      </c>
      <c r="AA162" s="21">
        <f>EXP(-LN(2)/25)*AA161+(1-EXP(-LN(2)/25))/(LN(2)/25)*Calculateur!V162*Calculateur!X162*VLOOKUP('Données projet'!$B$9,Paramètres!$A$1:$I$89,3,0)*0.475*44/12</f>
        <v>1.8891988792318888</v>
      </c>
      <c r="AB162" s="21">
        <f>EXP(-LN(2)/2)*AB161+(1-EXP(-LN(2)/2))/(LN(2)/2)*V162*Y162*VLOOKUP('Données projet'!$B$9,Paramètres!$A$1:$I$89,3,0)*0.475*44/12</f>
        <v>1.9669783415847423E-17</v>
      </c>
      <c r="AC162" s="22">
        <f t="shared" si="163"/>
        <v>7.6811565725213429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39.000000000000057</v>
      </c>
      <c r="AJ162" s="13">
        <f>AI162*VLOOKUP('Données projet'!$B$10,Paramètres!$A$1:$I$89,3,0)*VLOOKUP('Données projet'!$B$10,Paramètres!$A$1:$I$89,5,0)</f>
        <v>34.070400000000056</v>
      </c>
      <c r="AK162" s="13">
        <f t="shared" si="164"/>
        <v>10.412633617059328</v>
      </c>
      <c r="AL162" s="20">
        <f t="shared" si="165"/>
        <v>77.474616883045101</v>
      </c>
      <c r="AM162" s="59">
        <f t="shared" si="113"/>
        <v>370.8079502163784</v>
      </c>
      <c r="AN162" s="59">
        <f ca="1">AVERAGE(OFFSET($AM$3,0,0,'Données projet'!$E$10+1,1))-AVERAGE(OFFSET($H$3,0,0,'Données projet'!$E$10+1,1))</f>
        <v>260.53994021583316</v>
      </c>
      <c r="AO162" s="59">
        <f t="shared" si="144"/>
        <v>669.20238852709122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1.136098602759368E-17</v>
      </c>
      <c r="AX162" s="21">
        <f t="shared" si="166"/>
        <v>1.136098602759368E-17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-1.1527845344971866E-13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279.20364724206644</v>
      </c>
      <c r="BJ162" s="59">
        <f t="shared" si="146"/>
        <v>173.99850582760712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9.7356150136580985E-2</v>
      </c>
      <c r="BR162" s="21">
        <f>EXP(-LN(2)/2)*BR161+(1-EXP(-LN(2)/2))/(LN(2)/2)*BL162*BO162*VLOOKUP('Données projet'!$B$11,Paramètres!$A$1:$I$89,3,0)*0.475*44/12</f>
        <v>2.6588603910314685E-19</v>
      </c>
      <c r="BS162" s="22">
        <f t="shared" si="169"/>
        <v>9.7356150136580985E-2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-1.2946657079737634E-13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327.06866218660838</v>
      </c>
      <c r="CE162" s="59">
        <f t="shared" si="148"/>
        <v>202.18198935334908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0.1093384455380062</v>
      </c>
      <c r="CM162" s="21">
        <f>EXP(-LN(2)/2)*CM161+(1-EXP(-LN(2)/2))/(LN(2)/2)*CG162*CJ162*VLOOKUP('Données projet'!$B$12,Paramètres!$A$1:$I$89,3,0)*0.475*44/12</f>
        <v>2.9861047468507566E-19</v>
      </c>
      <c r="CN162" s="22">
        <f t="shared" si="172"/>
        <v>0.1093384455380062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-5.1159076974727213E-13</v>
      </c>
      <c r="CU162" s="17">
        <f>CT162*VLOOKUP('Données projet'!$B$13,Paramètres!$A$1:$I$89,3,0)*VLOOKUP('Données projet'!$B$13,Paramètres!$A$1:$I$89,5,0)</f>
        <v>-4.1500243241898714E-13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266.72672633301022</v>
      </c>
      <c r="CZ162" s="59">
        <f t="shared" si="150"/>
        <v>314.26991662544219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0.20976401763838984</v>
      </c>
      <c r="DG162" s="21">
        <f>EXP(-LN(2)/25)*DG161+(1-EXP(-LN(2)/25))/(LN(2)/25)*Calculateur!DB162*Calculateur!DD162*VLOOKUP('Données projet'!$B$13,Paramètres!$A$1:$I$89,3,0)*0.475*44/12</f>
        <v>0.47476634370393955</v>
      </c>
      <c r="DH162" s="21">
        <f>EXP(-LN(2)/2)*DH161+(1-EXP(-LN(2)/2))/(LN(2)/2)*DB162*DE162*VLOOKUP('Données projet'!$B$13,Paramètres!$A$1:$I$89,3,0)*0.475*44/12</f>
        <v>9.3954040886534455E-19</v>
      </c>
      <c r="DI162" s="22">
        <f t="shared" si="175"/>
        <v>0.68453036134232936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-5.6843418860808015E-14</v>
      </c>
      <c r="DP162" s="17">
        <f>DO162*VLOOKUP('Données projet'!$B$14,Paramètres!$A$1:$I$89,3,0)*VLOOKUP('Données projet'!$B$14,Paramètres!$A$1:$I$89,5,0)</f>
        <v>-6.1186256061773749E-14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442.54137223086991</v>
      </c>
      <c r="DU162" s="59">
        <f t="shared" si="152"/>
        <v>454.23406186660714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0.15507554161123813</v>
      </c>
      <c r="EB162" s="21">
        <f>EXP(-LN(2)/25)*EB161+(1-EXP(-LN(2)/25))/(LN(2)/25)*Calculateur!DW162*Calculateur!DY162*VLOOKUP('Données projet'!$B$14,Paramètres!$A$1:$I$89,3,0)*0.475*44/12</f>
        <v>0.32309278146775749</v>
      </c>
      <c r="EC162" s="21">
        <f>EXP(-LN(2)/2)*EC161+(1-EXP(-LN(2)/2))/(LN(2)/2)*DW162*DZ162*VLOOKUP('Données projet'!$B$14,Paramètres!$A$1:$I$89,3,0)*0.475*44/12</f>
        <v>6.9144740002485897E-19</v>
      </c>
      <c r="ED162" s="22">
        <f t="shared" si="178"/>
        <v>0.47816832307899559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201.49055911472067</v>
      </c>
      <c r="T163" s="59">
        <f t="shared" si="142"/>
        <v>403.37692064114719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5.678380935669411</v>
      </c>
      <c r="AA163" s="21">
        <f>EXP(-LN(2)/25)*AA162+(1-EXP(-LN(2)/25))/(LN(2)/25)*Calculateur!V163*Calculateur!X163*VLOOKUP('Données projet'!$B$9,Paramètres!$A$1:$I$89,3,0)*0.475*44/12</f>
        <v>1.8375386365306416</v>
      </c>
      <c r="AB163" s="21">
        <f>EXP(-LN(2)/2)*AB162+(1-EXP(-LN(2)/2))/(LN(2)/2)*V163*Y163*VLOOKUP('Données projet'!$B$9,Paramètres!$A$1:$I$89,3,0)*0.475*44/12</f>
        <v>1.3908637237816405E-17</v>
      </c>
      <c r="AC163" s="22">
        <f t="shared" si="163"/>
        <v>7.5159195722000529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39.000000000000057</v>
      </c>
      <c r="AJ163" s="13">
        <f>AI163*VLOOKUP('Données projet'!$B$10,Paramètres!$A$1:$I$89,3,0)*VLOOKUP('Données projet'!$B$10,Paramètres!$A$1:$I$89,5,0)</f>
        <v>34.070400000000056</v>
      </c>
      <c r="AK163" s="13">
        <f t="shared" si="164"/>
        <v>10.412633617059328</v>
      </c>
      <c r="AL163" s="20">
        <f t="shared" si="165"/>
        <v>77.474616883045101</v>
      </c>
      <c r="AM163" s="59">
        <f t="shared" si="113"/>
        <v>370.8079502163784</v>
      </c>
      <c r="AN163" s="59">
        <f ca="1">AVERAGE(OFFSET($AM$3,0,0,'Données projet'!$E$10+1,1))-AVERAGE(OFFSET($H$3,0,0,'Données projet'!$E$10+1,1))</f>
        <v>260.53994021583316</v>
      </c>
      <c r="AO163" s="59">
        <f t="shared" si="144"/>
        <v>669.20238852709122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8.033430261077108E-18</v>
      </c>
      <c r="AX163" s="21">
        <f t="shared" si="166"/>
        <v>8.033430261077108E-18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-1.1527845344971866E-13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279.20364724206644</v>
      </c>
      <c r="BJ163" s="59">
        <f t="shared" si="146"/>
        <v>173.99850582760712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9.4693941091358758E-2</v>
      </c>
      <c r="BR163" s="21">
        <f>EXP(-LN(2)/2)*BR162+(1-EXP(-LN(2)/2))/(LN(2)/2)*BL163*BO163*VLOOKUP('Données projet'!$B$11,Paramètres!$A$1:$I$89,3,0)*0.475*44/12</f>
        <v>1.8800982127266668E-19</v>
      </c>
      <c r="BS163" s="22">
        <f t="shared" si="169"/>
        <v>9.4693941091358758E-2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-1.2946657079737634E-13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327.06866218660838</v>
      </c>
      <c r="CE163" s="59">
        <f t="shared" si="148"/>
        <v>202.18198935334908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0.10634857999491047</v>
      </c>
      <c r="CM163" s="21">
        <f>EXP(-LN(2)/2)*CM162+(1-EXP(-LN(2)/2))/(LN(2)/2)*CG163*CJ163*VLOOKUP('Données projet'!$B$12,Paramètres!$A$1:$I$89,3,0)*0.475*44/12</f>
        <v>2.1114949158315089E-19</v>
      </c>
      <c r="CN163" s="22">
        <f t="shared" si="172"/>
        <v>0.10634857999491047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-5.1159076974727213E-13</v>
      </c>
      <c r="CU163" s="17">
        <f>CT163*VLOOKUP('Données projet'!$B$13,Paramètres!$A$1:$I$89,3,0)*VLOOKUP('Données projet'!$B$13,Paramètres!$A$1:$I$89,5,0)</f>
        <v>-4.1500243241898714E-13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266.72672633301022</v>
      </c>
      <c r="CZ163" s="59">
        <f t="shared" si="150"/>
        <v>314.26991662544219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0.2056506731959184</v>
      </c>
      <c r="DG163" s="21">
        <f>EXP(-LN(2)/25)*DG162+(1-EXP(-LN(2)/25))/(LN(2)/25)*Calculateur!DB163*Calculateur!DD163*VLOOKUP('Données projet'!$B$13,Paramètres!$A$1:$I$89,3,0)*0.475*44/12</f>
        <v>0.46178383306847842</v>
      </c>
      <c r="DH163" s="21">
        <f>EXP(-LN(2)/2)*DH162+(1-EXP(-LN(2)/2))/(LN(2)/2)*DB163*DE163*VLOOKUP('Données projet'!$B$13,Paramètres!$A$1:$I$89,3,0)*0.475*44/12</f>
        <v>6.6435539430746659E-19</v>
      </c>
      <c r="DI163" s="22">
        <f t="shared" si="175"/>
        <v>0.66743450626439682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-5.6843418860808015E-14</v>
      </c>
      <c r="DP163" s="17">
        <f>DO163*VLOOKUP('Données projet'!$B$14,Paramètres!$A$1:$I$89,3,0)*VLOOKUP('Données projet'!$B$14,Paramètres!$A$1:$I$89,5,0)</f>
        <v>-6.1186256061773749E-14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442.54137223086991</v>
      </c>
      <c r="DU163" s="59">
        <f t="shared" si="152"/>
        <v>454.23406186660714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0.15203460482698247</v>
      </c>
      <c r="EB163" s="21">
        <f>EXP(-LN(2)/25)*EB162+(1-EXP(-LN(2)/25))/(LN(2)/25)*Calculateur!DW163*Calculateur!DY163*VLOOKUP('Données projet'!$B$14,Paramètres!$A$1:$I$89,3,0)*0.475*44/12</f>
        <v>0.31425779236781071</v>
      </c>
      <c r="EC163" s="21">
        <f>EXP(-LN(2)/2)*EC162+(1-EXP(-LN(2)/2))/(LN(2)/2)*DW163*DZ163*VLOOKUP('Données projet'!$B$14,Paramètres!$A$1:$I$89,3,0)*0.475*44/12</f>
        <v>4.8892714539138514E-19</v>
      </c>
      <c r="ED163" s="22">
        <f t="shared" si="178"/>
        <v>0.46629239719479321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201.49055911472067</v>
      </c>
      <c r="T164" s="59">
        <f t="shared" si="142"/>
        <v>403.37692064114719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5.567031348991315</v>
      </c>
      <c r="AA164" s="21">
        <f>EXP(-LN(2)/25)*AA163+(1-EXP(-LN(2)/25))/(LN(2)/25)*Calculateur!V164*Calculateur!X164*VLOOKUP('Données projet'!$B$9,Paramètres!$A$1:$I$89,3,0)*0.475*44/12</f>
        <v>1.787291045882754</v>
      </c>
      <c r="AB164" s="21">
        <f>EXP(-LN(2)/2)*AB163+(1-EXP(-LN(2)/2))/(LN(2)/2)*V164*Y164*VLOOKUP('Données projet'!$B$9,Paramètres!$A$1:$I$89,3,0)*0.475*44/12</f>
        <v>9.8348917079237114E-18</v>
      </c>
      <c r="AC164" s="22">
        <f t="shared" si="163"/>
        <v>7.3543223948740692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39.000000000000057</v>
      </c>
      <c r="AJ164" s="13">
        <f>AI164*VLOOKUP('Données projet'!$B$10,Paramètres!$A$1:$I$89,3,0)*VLOOKUP('Données projet'!$B$10,Paramètres!$A$1:$I$89,5,0)</f>
        <v>34.070400000000056</v>
      </c>
      <c r="AK164" s="13">
        <f t="shared" si="164"/>
        <v>10.412633617059328</v>
      </c>
      <c r="AL164" s="20">
        <f t="shared" si="165"/>
        <v>77.474616883045101</v>
      </c>
      <c r="AM164" s="59">
        <f t="shared" si="113"/>
        <v>370.8079502163784</v>
      </c>
      <c r="AN164" s="59">
        <f ca="1">AVERAGE(OFFSET($AM$3,0,0,'Données projet'!$E$10+1,1))-AVERAGE(OFFSET($H$3,0,0,'Données projet'!$E$10+1,1))</f>
        <v>260.53994021583316</v>
      </c>
      <c r="AO164" s="59">
        <f t="shared" si="144"/>
        <v>669.20238852709122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5.6804930137968401E-18</v>
      </c>
      <c r="AX164" s="21">
        <f t="shared" si="166"/>
        <v>5.6804930137968401E-18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-1.1527845344971866E-13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279.20364724206644</v>
      </c>
      <c r="BJ164" s="59">
        <f t="shared" si="146"/>
        <v>173.99850582760712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9.2104530292477615E-2</v>
      </c>
      <c r="BR164" s="21">
        <f>EXP(-LN(2)/2)*BR163+(1-EXP(-LN(2)/2))/(LN(2)/2)*BL164*BO164*VLOOKUP('Données projet'!$B$11,Paramètres!$A$1:$I$89,3,0)*0.475*44/12</f>
        <v>1.3294301955157343E-19</v>
      </c>
      <c r="BS164" s="22">
        <f t="shared" si="169"/>
        <v>9.2104530292477615E-2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-1.2946657079737634E-13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327.06866218660838</v>
      </c>
      <c r="CE164" s="59">
        <f t="shared" si="148"/>
        <v>202.18198935334908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0.10344047248232088</v>
      </c>
      <c r="CM164" s="21">
        <f>EXP(-LN(2)/2)*CM163+(1-EXP(-LN(2)/2))/(LN(2)/2)*CG164*CJ164*VLOOKUP('Données projet'!$B$12,Paramètres!$A$1:$I$89,3,0)*0.475*44/12</f>
        <v>1.4930523734253785E-19</v>
      </c>
      <c r="CN164" s="22">
        <f t="shared" si="172"/>
        <v>0.10344047248232088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-5.1159076974727213E-13</v>
      </c>
      <c r="CU164" s="17">
        <f>CT164*VLOOKUP('Données projet'!$B$13,Paramètres!$A$1:$I$89,3,0)*VLOOKUP('Données projet'!$B$13,Paramètres!$A$1:$I$89,5,0)</f>
        <v>-4.1500243241898714E-13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266.72672633301022</v>
      </c>
      <c r="CZ164" s="59">
        <f t="shared" si="150"/>
        <v>314.26991662544219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0.20161798892907146</v>
      </c>
      <c r="DG164" s="21">
        <f>EXP(-LN(2)/25)*DG163+(1-EXP(-LN(2)/25))/(LN(2)/25)*Calculateur!DB164*Calculateur!DD164*VLOOKUP('Données projet'!$B$13,Paramètres!$A$1:$I$89,3,0)*0.475*44/12</f>
        <v>0.44915632986906451</v>
      </c>
      <c r="DH164" s="21">
        <f>EXP(-LN(2)/2)*DH163+(1-EXP(-LN(2)/2))/(LN(2)/2)*DB164*DE164*VLOOKUP('Données projet'!$B$13,Paramètres!$A$1:$I$89,3,0)*0.475*44/12</f>
        <v>4.6977020443267227E-19</v>
      </c>
      <c r="DI164" s="22">
        <f t="shared" si="175"/>
        <v>0.65077431879813596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-5.6843418860808015E-14</v>
      </c>
      <c r="DP164" s="17">
        <f>DO164*VLOOKUP('Données projet'!$B$14,Paramètres!$A$1:$I$89,3,0)*VLOOKUP('Données projet'!$B$14,Paramètres!$A$1:$I$89,5,0)</f>
        <v>-6.1186256061773749E-14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442.54137223086991</v>
      </c>
      <c r="DU164" s="59">
        <f t="shared" si="152"/>
        <v>454.23406186660714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0.14905329895827776</v>
      </c>
      <c r="EB164" s="21">
        <f>EXP(-LN(2)/25)*EB163+(1-EXP(-LN(2)/25))/(LN(2)/25)*Calculateur!DW164*Calculateur!DY164*VLOOKUP('Données projet'!$B$14,Paramètres!$A$1:$I$89,3,0)*0.475*44/12</f>
        <v>0.30566439650941385</v>
      </c>
      <c r="EC164" s="21">
        <f>EXP(-LN(2)/2)*EC163+(1-EXP(-LN(2)/2))/(LN(2)/2)*DW164*DZ164*VLOOKUP('Données projet'!$B$14,Paramètres!$A$1:$I$89,3,0)*0.475*44/12</f>
        <v>3.4572370001242948E-19</v>
      </c>
      <c r="ED164" s="22">
        <f t="shared" si="178"/>
        <v>0.45471769546769158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201.49055911472067</v>
      </c>
      <c r="T165" s="59">
        <f t="shared" si="142"/>
        <v>403.37692064114719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5.4578652597914354</v>
      </c>
      <c r="AA165" s="21">
        <f>EXP(-LN(2)/25)*AA164+(1-EXP(-LN(2)/25))/(LN(2)/25)*Calculateur!V165*Calculateur!X165*VLOOKUP('Données projet'!$B$9,Paramètres!$A$1:$I$89,3,0)*0.475*44/12</f>
        <v>1.7384174782435389</v>
      </c>
      <c r="AB165" s="21">
        <f>EXP(-LN(2)/2)*AB164+(1-EXP(-LN(2)/2))/(LN(2)/2)*V165*Y165*VLOOKUP('Données projet'!$B$9,Paramètres!$A$1:$I$89,3,0)*0.475*44/12</f>
        <v>6.9543186189082023E-18</v>
      </c>
      <c r="AC165" s="22">
        <f t="shared" si="163"/>
        <v>7.1962827380349745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39.000000000000057</v>
      </c>
      <c r="AJ165" s="13">
        <f>AI165*VLOOKUP('Données projet'!$B$10,Paramètres!$A$1:$I$89,3,0)*VLOOKUP('Données projet'!$B$10,Paramètres!$A$1:$I$89,5,0)</f>
        <v>34.070400000000056</v>
      </c>
      <c r="AK165" s="13">
        <f t="shared" si="164"/>
        <v>10.412633617059328</v>
      </c>
      <c r="AL165" s="20">
        <f t="shared" si="165"/>
        <v>77.474616883045101</v>
      </c>
      <c r="AM165" s="59">
        <f t="shared" si="113"/>
        <v>370.8079502163784</v>
      </c>
      <c r="AN165" s="59">
        <f ca="1">AVERAGE(OFFSET($AM$3,0,0,'Données projet'!$E$10+1,1))-AVERAGE(OFFSET($H$3,0,0,'Données projet'!$E$10+1,1))</f>
        <v>260.53994021583316</v>
      </c>
      <c r="AO165" s="59">
        <f t="shared" si="144"/>
        <v>669.20238852709122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4.016715130538554E-18</v>
      </c>
      <c r="AX165" s="21">
        <f t="shared" si="166"/>
        <v>4.016715130538554E-18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-1.1527845344971866E-13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279.20364724206644</v>
      </c>
      <c r="BJ165" s="59">
        <f t="shared" si="146"/>
        <v>173.99850582760712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8.9585927068063079E-2</v>
      </c>
      <c r="BR165" s="21">
        <f>EXP(-LN(2)/2)*BR164+(1-EXP(-LN(2)/2))/(LN(2)/2)*BL165*BO165*VLOOKUP('Données projet'!$B$11,Paramètres!$A$1:$I$89,3,0)*0.475*44/12</f>
        <v>9.4004910636333341E-20</v>
      </c>
      <c r="BS165" s="22">
        <f t="shared" si="169"/>
        <v>8.9585927068063079E-2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-1.2946657079737634E-13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327.06866218660838</v>
      </c>
      <c r="CE165" s="59">
        <f t="shared" si="148"/>
        <v>202.18198935334908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0.10061188732259378</v>
      </c>
      <c r="CM165" s="21">
        <f>EXP(-LN(2)/2)*CM164+(1-EXP(-LN(2)/2))/(LN(2)/2)*CG165*CJ165*VLOOKUP('Données projet'!$B$12,Paramètres!$A$1:$I$89,3,0)*0.475*44/12</f>
        <v>1.0557474579157547E-19</v>
      </c>
      <c r="CN165" s="22">
        <f t="shared" si="172"/>
        <v>0.10061188732259378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-5.1159076974727213E-13</v>
      </c>
      <c r="CU165" s="17">
        <f>CT165*VLOOKUP('Données projet'!$B$13,Paramètres!$A$1:$I$89,3,0)*VLOOKUP('Données projet'!$B$13,Paramètres!$A$1:$I$89,5,0)</f>
        <v>-4.1500243241898714E-13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266.72672633301022</v>
      </c>
      <c r="CZ165" s="59">
        <f t="shared" si="150"/>
        <v>314.26991662544219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0.19766438314100285</v>
      </c>
      <c r="DG165" s="21">
        <f>EXP(-LN(2)/25)*DG164+(1-EXP(-LN(2)/25))/(LN(2)/25)*Calculateur!DB165*Calculateur!DD165*VLOOKUP('Données projet'!$B$13,Paramètres!$A$1:$I$89,3,0)*0.475*44/12</f>
        <v>0.43687412640869011</v>
      </c>
      <c r="DH165" s="21">
        <f>EXP(-LN(2)/2)*DH164+(1-EXP(-LN(2)/2))/(LN(2)/2)*DB165*DE165*VLOOKUP('Données projet'!$B$13,Paramètres!$A$1:$I$89,3,0)*0.475*44/12</f>
        <v>3.321776971537333E-19</v>
      </c>
      <c r="DI165" s="22">
        <f t="shared" si="175"/>
        <v>0.63453850954969293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-5.6843418860808015E-14</v>
      </c>
      <c r="DP165" s="17">
        <f>DO165*VLOOKUP('Données projet'!$B$14,Paramètres!$A$1:$I$89,3,0)*VLOOKUP('Données projet'!$B$14,Paramètres!$A$1:$I$89,5,0)</f>
        <v>-6.1186256061773749E-14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442.54137223086991</v>
      </c>
      <c r="DU165" s="59">
        <f t="shared" si="152"/>
        <v>454.23406186660714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0.14613045467924132</v>
      </c>
      <c r="EB165" s="21">
        <f>EXP(-LN(2)/25)*EB164+(1-EXP(-LN(2)/25))/(LN(2)/25)*Calculateur!DW165*Calculateur!DY165*VLOOKUP('Données projet'!$B$14,Paramètres!$A$1:$I$89,3,0)*0.475*44/12</f>
        <v>0.2973059875126719</v>
      </c>
      <c r="EC165" s="21">
        <f>EXP(-LN(2)/2)*EC164+(1-EXP(-LN(2)/2))/(LN(2)/2)*DW165*DZ165*VLOOKUP('Données projet'!$B$14,Paramètres!$A$1:$I$89,3,0)*0.475*44/12</f>
        <v>2.4446357269569257E-19</v>
      </c>
      <c r="ED165" s="22">
        <f t="shared" si="178"/>
        <v>0.44343644219191325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201.49055911472067</v>
      </c>
      <c r="T166" s="59">
        <f t="shared" si="142"/>
        <v>403.37692064114719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5.3508398510160253</v>
      </c>
      <c r="AA166" s="21">
        <f>EXP(-LN(2)/25)*AA165+(1-EXP(-LN(2)/25))/(LN(2)/25)*Calculateur!V166*Calculateur!X166*VLOOKUP('Données projet'!$B$9,Paramètres!$A$1:$I$89,3,0)*0.475*44/12</f>
        <v>1.6908803608815672</v>
      </c>
      <c r="AB166" s="21">
        <f>EXP(-LN(2)/2)*AB165+(1-EXP(-LN(2)/2))/(LN(2)/2)*V166*Y166*VLOOKUP('Données projet'!$B$9,Paramètres!$A$1:$I$89,3,0)*0.475*44/12</f>
        <v>4.9174458539618557E-18</v>
      </c>
      <c r="AC166" s="22">
        <f t="shared" si="163"/>
        <v>7.0417202118975926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39.000000000000057</v>
      </c>
      <c r="AJ166" s="13">
        <f>AI166*VLOOKUP('Données projet'!$B$10,Paramètres!$A$1:$I$89,3,0)*VLOOKUP('Données projet'!$B$10,Paramètres!$A$1:$I$89,5,0)</f>
        <v>34.070400000000056</v>
      </c>
      <c r="AK166" s="13">
        <f t="shared" si="164"/>
        <v>10.412633617059328</v>
      </c>
      <c r="AL166" s="20">
        <f t="shared" si="165"/>
        <v>77.474616883045101</v>
      </c>
      <c r="AM166" s="59">
        <f t="shared" si="113"/>
        <v>370.8079502163784</v>
      </c>
      <c r="AN166" s="59">
        <f ca="1">AVERAGE(OFFSET($AM$3,0,0,'Données projet'!$E$10+1,1))-AVERAGE(OFFSET($H$3,0,0,'Données projet'!$E$10+1,1))</f>
        <v>260.53994021583316</v>
      </c>
      <c r="AO166" s="59">
        <f t="shared" si="144"/>
        <v>669.20238852709122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2.84024650689842E-18</v>
      </c>
      <c r="AX166" s="21">
        <f t="shared" si="166"/>
        <v>2.84024650689842E-18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-1.1527845344971866E-13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279.20364724206644</v>
      </c>
      <c r="BJ166" s="59">
        <f t="shared" si="146"/>
        <v>173.99850582760712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8.7136195181267737E-2</v>
      </c>
      <c r="BR166" s="21">
        <f>EXP(-LN(2)/2)*BR165+(1-EXP(-LN(2)/2))/(LN(2)/2)*BL166*BO166*VLOOKUP('Données projet'!$B$11,Paramètres!$A$1:$I$89,3,0)*0.475*44/12</f>
        <v>6.6471509775786714E-20</v>
      </c>
      <c r="BS166" s="22">
        <f t="shared" si="169"/>
        <v>8.7136195181267737E-2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-1.2946657079737634E-13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327.06866218660838</v>
      </c>
      <c r="CE166" s="59">
        <f t="shared" si="148"/>
        <v>202.18198935334908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9.7860649972808259E-2</v>
      </c>
      <c r="CM166" s="21">
        <f>EXP(-LN(2)/2)*CM165+(1-EXP(-LN(2)/2))/(LN(2)/2)*CG166*CJ166*VLOOKUP('Données projet'!$B$12,Paramètres!$A$1:$I$89,3,0)*0.475*44/12</f>
        <v>7.4652618671268938E-20</v>
      </c>
      <c r="CN166" s="22">
        <f t="shared" si="172"/>
        <v>9.7860649972808259E-2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-5.1159076974727213E-13</v>
      </c>
      <c r="CU166" s="17">
        <f>CT166*VLOOKUP('Données projet'!$B$13,Paramètres!$A$1:$I$89,3,0)*VLOOKUP('Données projet'!$B$13,Paramètres!$A$1:$I$89,5,0)</f>
        <v>-4.1500243241898714E-13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266.72672633301022</v>
      </c>
      <c r="CZ166" s="59">
        <f t="shared" si="150"/>
        <v>314.26991662544219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0.19378830515097686</v>
      </c>
      <c r="DG166" s="21">
        <f>EXP(-LN(2)/25)*DG165+(1-EXP(-LN(2)/25))/(LN(2)/25)*Calculateur!DB166*Calculateur!DD166*VLOOKUP('Données projet'!$B$13,Paramètres!$A$1:$I$89,3,0)*0.475*44/12</f>
        <v>0.42492778044783264</v>
      </c>
      <c r="DH166" s="21">
        <f>EXP(-LN(2)/2)*DH165+(1-EXP(-LN(2)/2))/(LN(2)/2)*DB166*DE166*VLOOKUP('Données projet'!$B$13,Paramètres!$A$1:$I$89,3,0)*0.475*44/12</f>
        <v>2.3488510221633614E-19</v>
      </c>
      <c r="DI166" s="22">
        <f t="shared" si="175"/>
        <v>0.61871608559880953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-5.6843418860808015E-14</v>
      </c>
      <c r="DP166" s="17">
        <f>DO166*VLOOKUP('Données projet'!$B$14,Paramètres!$A$1:$I$89,3,0)*VLOOKUP('Données projet'!$B$14,Paramètres!$A$1:$I$89,5,0)</f>
        <v>-6.1186256061773749E-14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442.54137223086991</v>
      </c>
      <c r="DU166" s="59">
        <f t="shared" si="152"/>
        <v>454.23406186660714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0.14326492559375781</v>
      </c>
      <c r="EB166" s="21">
        <f>EXP(-LN(2)/25)*EB165+(1-EXP(-LN(2)/25))/(LN(2)/25)*Calculateur!DW166*Calculateur!DY166*VLOOKUP('Données projet'!$B$14,Paramètres!$A$1:$I$89,3,0)*0.475*44/12</f>
        <v>0.28917613964949551</v>
      </c>
      <c r="EC166" s="21">
        <f>EXP(-LN(2)/2)*EC165+(1-EXP(-LN(2)/2))/(LN(2)/2)*DW166*DZ166*VLOOKUP('Données projet'!$B$14,Paramètres!$A$1:$I$89,3,0)*0.475*44/12</f>
        <v>1.7286185000621474E-19</v>
      </c>
      <c r="ED166" s="22">
        <f t="shared" si="178"/>
        <v>0.43244106524325332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201.49055911472067</v>
      </c>
      <c r="T167" s="59">
        <f t="shared" si="142"/>
        <v>403.37692064114719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5.2459131452276475</v>
      </c>
      <c r="AA167" s="21">
        <f>EXP(-LN(2)/25)*AA166+(1-EXP(-LN(2)/25))/(LN(2)/25)*Calculateur!V167*Calculateur!X167*VLOOKUP('Données projet'!$B$9,Paramètres!$A$1:$I$89,3,0)*0.475*44/12</f>
        <v>1.6446431484937272</v>
      </c>
      <c r="AB167" s="21">
        <f>EXP(-LN(2)/2)*AB166+(1-EXP(-LN(2)/2))/(LN(2)/2)*V167*Y167*VLOOKUP('Données projet'!$B$9,Paramètres!$A$1:$I$89,3,0)*0.475*44/12</f>
        <v>3.4771593094541012E-18</v>
      </c>
      <c r="AC167" s="22">
        <f t="shared" si="163"/>
        <v>6.8905562937213745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39.000000000000057</v>
      </c>
      <c r="AJ167" s="13">
        <f>AI167*VLOOKUP('Données projet'!$B$10,Paramètres!$A$1:$I$89,3,0)*VLOOKUP('Données projet'!$B$10,Paramètres!$A$1:$I$89,5,0)</f>
        <v>34.070400000000056</v>
      </c>
      <c r="AK167" s="13">
        <f t="shared" si="164"/>
        <v>10.412633617059328</v>
      </c>
      <c r="AL167" s="20">
        <f t="shared" si="165"/>
        <v>77.474616883045101</v>
      </c>
      <c r="AM167" s="59">
        <f t="shared" si="113"/>
        <v>370.8079502163784</v>
      </c>
      <c r="AN167" s="59">
        <f ca="1">AVERAGE(OFFSET($AM$3,0,0,'Données projet'!$E$10+1,1))-AVERAGE(OFFSET($H$3,0,0,'Données projet'!$E$10+1,1))</f>
        <v>260.53994021583316</v>
      </c>
      <c r="AO167" s="59">
        <f t="shared" si="144"/>
        <v>669.20238852709122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2.008357565269277E-18</v>
      </c>
      <c r="AX167" s="21">
        <f t="shared" si="166"/>
        <v>2.008357565269277E-18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-1.1527845344971866E-13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279.20364724206644</v>
      </c>
      <c r="BJ167" s="59">
        <f t="shared" si="146"/>
        <v>173.99850582760712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8.4753451341742614E-2</v>
      </c>
      <c r="BR167" s="21">
        <f>EXP(-LN(2)/2)*BR166+(1-EXP(-LN(2)/2))/(LN(2)/2)*BL167*BO167*VLOOKUP('Données projet'!$B$11,Paramètres!$A$1:$I$89,3,0)*0.475*44/12</f>
        <v>4.7002455318166671E-20</v>
      </c>
      <c r="BS167" s="22">
        <f t="shared" si="169"/>
        <v>8.4753451341742614E-2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-1.2946657079737634E-13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327.06866218660838</v>
      </c>
      <c r="CE167" s="59">
        <f t="shared" si="148"/>
        <v>202.18198935334908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9.5184645353033892E-2</v>
      </c>
      <c r="CM167" s="21">
        <f>EXP(-LN(2)/2)*CM166+(1-EXP(-LN(2)/2))/(LN(2)/2)*CG167*CJ167*VLOOKUP('Données projet'!$B$12,Paramètres!$A$1:$I$89,3,0)*0.475*44/12</f>
        <v>5.278737289578774E-20</v>
      </c>
      <c r="CN167" s="22">
        <f t="shared" si="172"/>
        <v>9.5184645353033892E-2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-5.1159076974727213E-13</v>
      </c>
      <c r="CU167" s="17">
        <f>CT167*VLOOKUP('Données projet'!$B$13,Paramètres!$A$1:$I$89,3,0)*VLOOKUP('Données projet'!$B$13,Paramètres!$A$1:$I$89,5,0)</f>
        <v>-4.1500243241898714E-13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266.72672633301022</v>
      </c>
      <c r="CZ167" s="59">
        <f t="shared" si="150"/>
        <v>314.26991662544219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0.18998823468616116</v>
      </c>
      <c r="DG167" s="21">
        <f>EXP(-LN(2)/25)*DG166+(1-EXP(-LN(2)/25))/(LN(2)/25)*Calculateur!DB167*Calculateur!DD167*VLOOKUP('Données projet'!$B$13,Paramètres!$A$1:$I$89,3,0)*0.475*44/12</f>
        <v>0.41330810794550588</v>
      </c>
      <c r="DH167" s="21">
        <f>EXP(-LN(2)/2)*DH166+(1-EXP(-LN(2)/2))/(LN(2)/2)*DB167*DE167*VLOOKUP('Données projet'!$B$13,Paramètres!$A$1:$I$89,3,0)*0.475*44/12</f>
        <v>1.6608884857686665E-19</v>
      </c>
      <c r="DI167" s="22">
        <f t="shared" si="175"/>
        <v>0.60329634263166709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-5.6843418860808015E-14</v>
      </c>
      <c r="DP167" s="17">
        <f>DO167*VLOOKUP('Données projet'!$B$14,Paramètres!$A$1:$I$89,3,0)*VLOOKUP('Données projet'!$B$14,Paramètres!$A$1:$I$89,5,0)</f>
        <v>-6.1186256061773749E-14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442.54137223086991</v>
      </c>
      <c r="DU167" s="59">
        <f t="shared" si="152"/>
        <v>454.23406186660714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0.14045558778584047</v>
      </c>
      <c r="EB167" s="21">
        <f>EXP(-LN(2)/25)*EB166+(1-EXP(-LN(2)/25))/(LN(2)/25)*Calculateur!DW167*Calculateur!DY167*VLOOKUP('Données projet'!$B$14,Paramètres!$A$1:$I$89,3,0)*0.475*44/12</f>
        <v>0.28126860290366779</v>
      </c>
      <c r="EC167" s="21">
        <f>EXP(-LN(2)/2)*EC166+(1-EXP(-LN(2)/2))/(LN(2)/2)*DW167*DZ167*VLOOKUP('Données projet'!$B$14,Paramètres!$A$1:$I$89,3,0)*0.475*44/12</f>
        <v>1.2223178634784629E-19</v>
      </c>
      <c r="ED167" s="22">
        <f t="shared" si="178"/>
        <v>0.42172419068950828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201.49055911472067</v>
      </c>
      <c r="T168" s="59">
        <f t="shared" si="142"/>
        <v>403.37692064114719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5.1430439881408088</v>
      </c>
      <c r="AA168" s="21">
        <f>EXP(-LN(2)/25)*AA167+(1-EXP(-LN(2)/25))/(LN(2)/25)*Calculateur!V168*Calculateur!X168*VLOOKUP('Données projet'!$B$9,Paramètres!$A$1:$I$89,3,0)*0.475*44/12</f>
        <v>1.5996702951101418</v>
      </c>
      <c r="AB168" s="21">
        <f>EXP(-LN(2)/2)*AB167+(1-EXP(-LN(2)/2))/(LN(2)/2)*V168*Y168*VLOOKUP('Données projet'!$B$9,Paramètres!$A$1:$I$89,3,0)*0.475*44/12</f>
        <v>2.4587229269809278E-18</v>
      </c>
      <c r="AC168" s="22">
        <f t="shared" si="163"/>
        <v>6.742714283250951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39.000000000000057</v>
      </c>
      <c r="AJ168" s="13">
        <f>AI168*VLOOKUP('Données projet'!$B$10,Paramètres!$A$1:$I$89,3,0)*VLOOKUP('Données projet'!$B$10,Paramètres!$A$1:$I$89,5,0)</f>
        <v>34.070400000000056</v>
      </c>
      <c r="AK168" s="13">
        <f t="shared" si="164"/>
        <v>10.412633617059328</v>
      </c>
      <c r="AL168" s="20">
        <f t="shared" si="165"/>
        <v>77.474616883045101</v>
      </c>
      <c r="AM168" s="59">
        <f t="shared" si="113"/>
        <v>370.8079502163784</v>
      </c>
      <c r="AN168" s="59">
        <f ca="1">AVERAGE(OFFSET($AM$3,0,0,'Données projet'!$E$10+1,1))-AVERAGE(OFFSET($H$3,0,0,'Données projet'!$E$10+1,1))</f>
        <v>260.53994021583316</v>
      </c>
      <c r="AO168" s="59">
        <f t="shared" si="144"/>
        <v>669.20238852709122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1.42012325344921E-18</v>
      </c>
      <c r="AX168" s="21">
        <f t="shared" si="166"/>
        <v>1.42012325344921E-18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-1.1527845344971866E-13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279.20364724206644</v>
      </c>
      <c r="BJ168" s="59">
        <f t="shared" si="146"/>
        <v>173.99850582760712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8.2435863757812367E-2</v>
      </c>
      <c r="BR168" s="21">
        <f>EXP(-LN(2)/2)*BR167+(1-EXP(-LN(2)/2))/(LN(2)/2)*BL168*BO168*VLOOKUP('Données projet'!$B$11,Paramètres!$A$1:$I$89,3,0)*0.475*44/12</f>
        <v>3.3235754887893357E-20</v>
      </c>
      <c r="BS168" s="22">
        <f t="shared" si="169"/>
        <v>8.2435863757812367E-2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-1.2946657079737634E-13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327.06866218660838</v>
      </c>
      <c r="CE168" s="59">
        <f t="shared" si="148"/>
        <v>202.18198935334908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9.2581816220312224E-2</v>
      </c>
      <c r="CM168" s="21">
        <f>EXP(-LN(2)/2)*CM167+(1-EXP(-LN(2)/2))/(LN(2)/2)*CG168*CJ168*VLOOKUP('Données projet'!$B$12,Paramètres!$A$1:$I$89,3,0)*0.475*44/12</f>
        <v>3.7326309335634475E-20</v>
      </c>
      <c r="CN168" s="22">
        <f t="shared" si="172"/>
        <v>9.2581816220312224E-2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-5.1159076974727213E-13</v>
      </c>
      <c r="CU168" s="17">
        <f>CT168*VLOOKUP('Données projet'!$B$13,Paramètres!$A$1:$I$89,3,0)*VLOOKUP('Données projet'!$B$13,Paramètres!$A$1:$I$89,5,0)</f>
        <v>-4.1500243241898714E-13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266.72672633301022</v>
      </c>
      <c r="CZ168" s="59">
        <f t="shared" si="150"/>
        <v>314.26991662544219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0.18626268128534637</v>
      </c>
      <c r="DG168" s="21">
        <f>EXP(-LN(2)/25)*DG167+(1-EXP(-LN(2)/25))/(LN(2)/25)*Calculateur!DB168*Calculateur!DD168*VLOOKUP('Données projet'!$B$13,Paramètres!$A$1:$I$89,3,0)*0.475*44/12</f>
        <v>0.40200617599880722</v>
      </c>
      <c r="DH168" s="21">
        <f>EXP(-LN(2)/2)*DH167+(1-EXP(-LN(2)/2))/(LN(2)/2)*DB168*DE168*VLOOKUP('Données projet'!$B$13,Paramètres!$A$1:$I$89,3,0)*0.475*44/12</f>
        <v>1.1744255110816807E-19</v>
      </c>
      <c r="DI168" s="22">
        <f t="shared" si="175"/>
        <v>0.58826885728415357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-5.6843418860808015E-14</v>
      </c>
      <c r="DP168" s="17">
        <f>DO168*VLOOKUP('Données projet'!$B$14,Paramètres!$A$1:$I$89,3,0)*VLOOKUP('Données projet'!$B$14,Paramètres!$A$1:$I$89,5,0)</f>
        <v>-6.1186256061773749E-14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442.54137223086991</v>
      </c>
      <c r="DU168" s="59">
        <f t="shared" si="152"/>
        <v>454.23406186660714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0.13770133937880952</v>
      </c>
      <c r="EB168" s="21">
        <f>EXP(-LN(2)/25)*EB167+(1-EXP(-LN(2)/25))/(LN(2)/25)*Calculateur!DW168*Calculateur!DY168*VLOOKUP('Données projet'!$B$14,Paramètres!$A$1:$I$89,3,0)*0.475*44/12</f>
        <v>0.27357729816599402</v>
      </c>
      <c r="EC168" s="21">
        <f>EXP(-LN(2)/2)*EC167+(1-EXP(-LN(2)/2))/(LN(2)/2)*DW168*DZ168*VLOOKUP('Données projet'!$B$14,Paramètres!$A$1:$I$89,3,0)*0.475*44/12</f>
        <v>8.6430925003107371E-20</v>
      </c>
      <c r="ED168" s="22">
        <f t="shared" si="178"/>
        <v>0.41127863754480354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201.49055911472067</v>
      </c>
      <c r="T169" s="59">
        <f t="shared" si="142"/>
        <v>403.37692064114719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5.0421920324804521</v>
      </c>
      <c r="AA169" s="21">
        <f>EXP(-LN(2)/25)*AA168+(1-EXP(-LN(2)/25))/(LN(2)/25)*Calculateur!V169*Calculateur!X169*VLOOKUP('Données projet'!$B$9,Paramètres!$A$1:$I$89,3,0)*0.475*44/12</f>
        <v>1.5559272267673503</v>
      </c>
      <c r="AB169" s="21">
        <f>EXP(-LN(2)/2)*AB168+(1-EXP(-LN(2)/2))/(LN(2)/2)*V169*Y169*VLOOKUP('Données projet'!$B$9,Paramètres!$A$1:$I$89,3,0)*0.475*44/12</f>
        <v>1.7385796547270506E-18</v>
      </c>
      <c r="AC169" s="22">
        <f t="shared" si="163"/>
        <v>6.5981192592478024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39.000000000000057</v>
      </c>
      <c r="AJ169" s="13">
        <f>AI169*VLOOKUP('Données projet'!$B$10,Paramètres!$A$1:$I$89,3,0)*VLOOKUP('Données projet'!$B$10,Paramètres!$A$1:$I$89,5,0)</f>
        <v>34.070400000000056</v>
      </c>
      <c r="AK169" s="13">
        <f t="shared" si="164"/>
        <v>10.412633617059328</v>
      </c>
      <c r="AL169" s="20">
        <f t="shared" si="165"/>
        <v>77.474616883045101</v>
      </c>
      <c r="AM169" s="59">
        <f t="shared" si="113"/>
        <v>370.8079502163784</v>
      </c>
      <c r="AN169" s="59">
        <f ca="1">AVERAGE(OFFSET($AM$3,0,0,'Données projet'!$E$10+1,1))-AVERAGE(OFFSET($H$3,0,0,'Données projet'!$E$10+1,1))</f>
        <v>260.53994021583316</v>
      </c>
      <c r="AO169" s="59">
        <f t="shared" si="144"/>
        <v>669.20238852709122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1.0041787826346385E-18</v>
      </c>
      <c r="AX169" s="21">
        <f t="shared" si="166"/>
        <v>1.0041787826346385E-18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-1.1527845344971866E-13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279.20364724206644</v>
      </c>
      <c r="BJ169" s="59">
        <f t="shared" si="146"/>
        <v>173.99850582760712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8.0181650728241322E-2</v>
      </c>
      <c r="BR169" s="21">
        <f>EXP(-LN(2)/2)*BR168+(1-EXP(-LN(2)/2))/(LN(2)/2)*BL169*BO169*VLOOKUP('Données projet'!$B$11,Paramètres!$A$1:$I$89,3,0)*0.475*44/12</f>
        <v>2.3501227659083335E-20</v>
      </c>
      <c r="BS169" s="22">
        <f t="shared" si="169"/>
        <v>8.0181650728241322E-2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-1.2946657079737634E-13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327.06866218660838</v>
      </c>
      <c r="CE169" s="59">
        <f t="shared" si="148"/>
        <v>202.18198935334908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9.0050161587101676E-2</v>
      </c>
      <c r="CM169" s="21">
        <f>EXP(-LN(2)/2)*CM168+(1-EXP(-LN(2)/2))/(LN(2)/2)*CG169*CJ169*VLOOKUP('Données projet'!$B$12,Paramètres!$A$1:$I$89,3,0)*0.475*44/12</f>
        <v>2.6393686447893876E-20</v>
      </c>
      <c r="CN169" s="22">
        <f t="shared" si="172"/>
        <v>9.0050161587101676E-2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-5.1159076974727213E-13</v>
      </c>
      <c r="CU169" s="17">
        <f>CT169*VLOOKUP('Données projet'!$B$13,Paramètres!$A$1:$I$89,3,0)*VLOOKUP('Données projet'!$B$13,Paramètres!$A$1:$I$89,5,0)</f>
        <v>-4.1500243241898714E-13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266.72672633301022</v>
      </c>
      <c r="CZ169" s="59">
        <f t="shared" si="150"/>
        <v>314.26991662544219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0.18261018371435836</v>
      </c>
      <c r="DG169" s="21">
        <f>EXP(-LN(2)/25)*DG168+(1-EXP(-LN(2)/25))/(LN(2)/25)*Calculateur!DB169*Calculateur!DD169*VLOOKUP('Données projet'!$B$13,Paramètres!$A$1:$I$89,3,0)*0.475*44/12</f>
        <v>0.39101329597553386</v>
      </c>
      <c r="DH169" s="21">
        <f>EXP(-LN(2)/2)*DH168+(1-EXP(-LN(2)/2))/(LN(2)/2)*DB169*DE169*VLOOKUP('Données projet'!$B$13,Paramètres!$A$1:$I$89,3,0)*0.475*44/12</f>
        <v>8.3044424288433324E-20</v>
      </c>
      <c r="DI169" s="22">
        <f t="shared" si="175"/>
        <v>0.57362347968989225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-5.6843418860808015E-14</v>
      </c>
      <c r="DP169" s="17">
        <f>DO169*VLOOKUP('Données projet'!$B$14,Paramètres!$A$1:$I$89,3,0)*VLOOKUP('Données projet'!$B$14,Paramètres!$A$1:$I$89,5,0)</f>
        <v>-6.1186256061773749E-14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442.54137223086991</v>
      </c>
      <c r="DU169" s="59">
        <f t="shared" si="152"/>
        <v>454.23406186660714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0.13500110010311481</v>
      </c>
      <c r="EB169" s="21">
        <f>EXP(-LN(2)/25)*EB168+(1-EXP(-LN(2)/25))/(LN(2)/25)*Calculateur!DW169*Calculateur!DY169*VLOOKUP('Données projet'!$B$14,Paramètres!$A$1:$I$89,3,0)*0.475*44/12</f>
        <v>0.2660963125608401</v>
      </c>
      <c r="EC169" s="21">
        <f>EXP(-LN(2)/2)*EC168+(1-EXP(-LN(2)/2))/(LN(2)/2)*DW169*DZ169*VLOOKUP('Données projet'!$B$14,Paramètres!$A$1:$I$89,3,0)*0.475*44/12</f>
        <v>6.1115893173923143E-20</v>
      </c>
      <c r="ED169" s="22">
        <f t="shared" si="178"/>
        <v>0.40109741266395493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201.49055911472067</v>
      </c>
      <c r="T170" s="59">
        <f t="shared" si="142"/>
        <v>403.37692064114719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4.9433177221569764</v>
      </c>
      <c r="AA170" s="21">
        <f>EXP(-LN(2)/25)*AA169+(1-EXP(-LN(2)/25))/(LN(2)/25)*Calculateur!V170*Calculateur!X170*VLOOKUP('Données projet'!$B$9,Paramètres!$A$1:$I$89,3,0)*0.475*44/12</f>
        <v>1.5133803149287404</v>
      </c>
      <c r="AB170" s="21">
        <f>EXP(-LN(2)/2)*AB169+(1-EXP(-LN(2)/2))/(LN(2)/2)*V170*Y170*VLOOKUP('Données projet'!$B$9,Paramètres!$A$1:$I$89,3,0)*0.475*44/12</f>
        <v>1.2293614634904639E-18</v>
      </c>
      <c r="AC170" s="22">
        <f t="shared" si="163"/>
        <v>6.456698037085717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39.000000000000057</v>
      </c>
      <c r="AJ170" s="13">
        <f>AI170*VLOOKUP('Données projet'!$B$10,Paramètres!$A$1:$I$89,3,0)*VLOOKUP('Données projet'!$B$10,Paramètres!$A$1:$I$89,5,0)</f>
        <v>34.070400000000056</v>
      </c>
      <c r="AK170" s="13">
        <f t="shared" si="164"/>
        <v>10.412633617059328</v>
      </c>
      <c r="AL170" s="20">
        <f t="shared" si="165"/>
        <v>77.474616883045101</v>
      </c>
      <c r="AM170" s="59">
        <f t="shared" si="113"/>
        <v>370.8079502163784</v>
      </c>
      <c r="AN170" s="59">
        <f ca="1">AVERAGE(OFFSET($AM$3,0,0,'Données projet'!$E$10+1,1))-AVERAGE(OFFSET($H$3,0,0,'Données projet'!$E$10+1,1))</f>
        <v>260.53994021583316</v>
      </c>
      <c r="AO170" s="59">
        <f t="shared" si="144"/>
        <v>669.20238852709122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7.1006162672460501E-19</v>
      </c>
      <c r="AX170" s="21">
        <f t="shared" si="166"/>
        <v>7.1006162672460501E-19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-1.1527845344971866E-13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279.20364724206644</v>
      </c>
      <c r="BJ170" s="59">
        <f t="shared" si="146"/>
        <v>173.99850582760712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7.7989079272507811E-2</v>
      </c>
      <c r="BR170" s="21">
        <f>EXP(-LN(2)/2)*BR169+(1-EXP(-LN(2)/2))/(LN(2)/2)*BL170*BO170*VLOOKUP('Données projet'!$B$11,Paramètres!$A$1:$I$89,3,0)*0.475*44/12</f>
        <v>1.6617877443946678E-20</v>
      </c>
      <c r="BS170" s="22">
        <f t="shared" si="169"/>
        <v>7.7989079272507811E-2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-1.2946657079737634E-13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327.06866218660838</v>
      </c>
      <c r="CE170" s="59">
        <f t="shared" si="148"/>
        <v>202.18198935334908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8.7587735182970194E-2</v>
      </c>
      <c r="CM170" s="21">
        <f>EXP(-LN(2)/2)*CM169+(1-EXP(-LN(2)/2))/(LN(2)/2)*CG170*CJ170*VLOOKUP('Données projet'!$B$12,Paramètres!$A$1:$I$89,3,0)*0.475*44/12</f>
        <v>1.8663154667817241E-20</v>
      </c>
      <c r="CN170" s="22">
        <f t="shared" si="172"/>
        <v>8.7587735182970194E-2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-5.1159076974727213E-13</v>
      </c>
      <c r="CU170" s="17">
        <f>CT170*VLOOKUP('Données projet'!$B$13,Paramètres!$A$1:$I$89,3,0)*VLOOKUP('Données projet'!$B$13,Paramètres!$A$1:$I$89,5,0)</f>
        <v>-4.1500243241898714E-13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266.72672633301022</v>
      </c>
      <c r="CZ170" s="59">
        <f t="shared" si="150"/>
        <v>314.26991662544219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0.17902930939293388</v>
      </c>
      <c r="DG170" s="21">
        <f>EXP(-LN(2)/25)*DG169+(1-EXP(-LN(2)/25))/(LN(2)/25)*Calculateur!DB170*Calculateur!DD170*VLOOKUP('Données projet'!$B$13,Paramètres!$A$1:$I$89,3,0)*0.475*44/12</f>
        <v>0.3803210168345873</v>
      </c>
      <c r="DH170" s="21">
        <f>EXP(-LN(2)/2)*DH169+(1-EXP(-LN(2)/2))/(LN(2)/2)*DB170*DE170*VLOOKUP('Données projet'!$B$13,Paramètres!$A$1:$I$89,3,0)*0.475*44/12</f>
        <v>5.8721275554084034E-20</v>
      </c>
      <c r="DI170" s="22">
        <f t="shared" si="175"/>
        <v>0.55935032622752123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-5.6843418860808015E-14</v>
      </c>
      <c r="DP170" s="17">
        <f>DO170*VLOOKUP('Données projet'!$B$14,Paramètres!$A$1:$I$89,3,0)*VLOOKUP('Données projet'!$B$14,Paramètres!$A$1:$I$89,5,0)</f>
        <v>-6.1186256061773749E-14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442.54137223086991</v>
      </c>
      <c r="DU170" s="59">
        <f t="shared" si="152"/>
        <v>454.23406186660714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0.13235381087263315</v>
      </c>
      <c r="EB170" s="21">
        <f>EXP(-LN(2)/25)*EB169+(1-EXP(-LN(2)/25))/(LN(2)/25)*Calculateur!DW170*Calculateur!DY170*VLOOKUP('Données projet'!$B$14,Paramètres!$A$1:$I$89,3,0)*0.475*44/12</f>
        <v>0.25881989490046703</v>
      </c>
      <c r="EC170" s="21">
        <f>EXP(-LN(2)/2)*EC169+(1-EXP(-LN(2)/2))/(LN(2)/2)*DW170*DZ170*VLOOKUP('Données projet'!$B$14,Paramètres!$A$1:$I$89,3,0)*0.475*44/12</f>
        <v>4.3215462501553685E-20</v>
      </c>
      <c r="ED170" s="22">
        <f t="shared" si="178"/>
        <v>0.39117370577310018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201.49055911472067</v>
      </c>
      <c r="T171" s="59">
        <f t="shared" si="142"/>
        <v>403.37692064114719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4.8463822767515694</v>
      </c>
      <c r="AA171" s="21">
        <f>EXP(-LN(2)/25)*AA170+(1-EXP(-LN(2)/25))/(LN(2)/25)*Calculateur!V171*Calculateur!X171*VLOOKUP('Données projet'!$B$9,Paramètres!$A$1:$I$89,3,0)*0.475*44/12</f>
        <v>1.471996850631802</v>
      </c>
      <c r="AB171" s="21">
        <f>EXP(-LN(2)/2)*AB170+(1-EXP(-LN(2)/2))/(LN(2)/2)*V171*Y171*VLOOKUP('Données projet'!$B$9,Paramètres!$A$1:$I$89,3,0)*0.475*44/12</f>
        <v>8.6928982736352529E-19</v>
      </c>
      <c r="AC171" s="22">
        <f t="shared" si="163"/>
        <v>6.3183791273833716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39.000000000000057</v>
      </c>
      <c r="AJ171" s="13">
        <f>AI171*VLOOKUP('Données projet'!$B$10,Paramètres!$A$1:$I$89,3,0)*VLOOKUP('Données projet'!$B$10,Paramètres!$A$1:$I$89,5,0)</f>
        <v>34.070400000000056</v>
      </c>
      <c r="AK171" s="13">
        <f t="shared" si="164"/>
        <v>10.412633617059328</v>
      </c>
      <c r="AL171" s="20">
        <f t="shared" si="165"/>
        <v>77.474616883045101</v>
      </c>
      <c r="AM171" s="59">
        <f t="shared" si="113"/>
        <v>370.8079502163784</v>
      </c>
      <c r="AN171" s="59">
        <f ca="1">AVERAGE(OFFSET($AM$3,0,0,'Données projet'!$E$10+1,1))-AVERAGE(OFFSET($H$3,0,0,'Données projet'!$E$10+1,1))</f>
        <v>260.53994021583316</v>
      </c>
      <c r="AO171" s="59">
        <f t="shared" si="144"/>
        <v>669.20238852709122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5.0208939131731925E-19</v>
      </c>
      <c r="AX171" s="21">
        <f t="shared" si="166"/>
        <v>5.0208939131731925E-19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-1.1527845344971866E-13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279.20364724206644</v>
      </c>
      <c r="BJ171" s="59">
        <f t="shared" si="146"/>
        <v>173.99850582760712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7.5856463798533655E-2</v>
      </c>
      <c r="BR171" s="21">
        <f>EXP(-LN(2)/2)*BR170+(1-EXP(-LN(2)/2))/(LN(2)/2)*BL171*BO171*VLOOKUP('Données projet'!$B$11,Paramètres!$A$1:$I$89,3,0)*0.475*44/12</f>
        <v>1.1750613829541668E-20</v>
      </c>
      <c r="BS171" s="22">
        <f t="shared" si="169"/>
        <v>7.5856463798533655E-2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-1.2946657079737634E-13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327.06866218660838</v>
      </c>
      <c r="CE171" s="59">
        <f t="shared" si="148"/>
        <v>202.18198935334908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8.5192643958353062E-2</v>
      </c>
      <c r="CM171" s="21">
        <f>EXP(-LN(2)/2)*CM170+(1-EXP(-LN(2)/2))/(LN(2)/2)*CG171*CJ171*VLOOKUP('Données projet'!$B$12,Paramètres!$A$1:$I$89,3,0)*0.475*44/12</f>
        <v>1.3196843223946939E-20</v>
      </c>
      <c r="CN171" s="22">
        <f t="shared" si="172"/>
        <v>8.5192643958353062E-2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-5.1159076974727213E-13</v>
      </c>
      <c r="CU171" s="17">
        <f>CT171*VLOOKUP('Données projet'!$B$13,Paramètres!$A$1:$I$89,3,0)*VLOOKUP('Données projet'!$B$13,Paramètres!$A$1:$I$89,5,0)</f>
        <v>-4.1500243241898714E-13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266.72672633301022</v>
      </c>
      <c r="CZ171" s="59">
        <f t="shared" si="150"/>
        <v>314.26991662544219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0.17551865383283485</v>
      </c>
      <c r="DG171" s="21">
        <f>EXP(-LN(2)/25)*DG170+(1-EXP(-LN(2)/25))/(LN(2)/25)*Calculateur!DB171*Calculateur!DD171*VLOOKUP('Données projet'!$B$13,Paramètres!$A$1:$I$89,3,0)*0.475*44/12</f>
        <v>0.36992111862903249</v>
      </c>
      <c r="DH171" s="21">
        <f>EXP(-LN(2)/2)*DH170+(1-EXP(-LN(2)/2))/(LN(2)/2)*DB171*DE171*VLOOKUP('Données projet'!$B$13,Paramètres!$A$1:$I$89,3,0)*0.475*44/12</f>
        <v>4.1522212144216662E-20</v>
      </c>
      <c r="DI171" s="22">
        <f t="shared" si="175"/>
        <v>0.54543977246186737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-5.6843418860808015E-14</v>
      </c>
      <c r="DP171" s="17">
        <f>DO171*VLOOKUP('Données projet'!$B$14,Paramètres!$A$1:$I$89,3,0)*VLOOKUP('Données projet'!$B$14,Paramètres!$A$1:$I$89,5,0)</f>
        <v>-6.1186256061773749E-14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442.54137223086991</v>
      </c>
      <c r="DU171" s="59">
        <f t="shared" si="152"/>
        <v>454.23406186660714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0.12975843336927423</v>
      </c>
      <c r="EB171" s="21">
        <f>EXP(-LN(2)/25)*EB170+(1-EXP(-LN(2)/25))/(LN(2)/25)*Calculateur!DW171*Calculateur!DY171*VLOOKUP('Données projet'!$B$14,Paramètres!$A$1:$I$89,3,0)*0.475*44/12</f>
        <v>0.25174245126366701</v>
      </c>
      <c r="EC171" s="21">
        <f>EXP(-LN(2)/2)*EC170+(1-EXP(-LN(2)/2))/(LN(2)/2)*DW171*DZ171*VLOOKUP('Données projet'!$B$14,Paramètres!$A$1:$I$89,3,0)*0.475*44/12</f>
        <v>3.0557946586961571E-20</v>
      </c>
      <c r="ED171" s="22">
        <f t="shared" si="178"/>
        <v>0.38150088463294124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201.49055911472067</v>
      </c>
      <c r="T172" s="59">
        <f t="shared" si="142"/>
        <v>403.37692064114719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4.7513476763057794</v>
      </c>
      <c r="AA172" s="21">
        <f>EXP(-LN(2)/25)*AA171+(1-EXP(-LN(2)/25))/(LN(2)/25)*Calculateur!V172*Calculateur!X172*VLOOKUP('Données projet'!$B$9,Paramètres!$A$1:$I$89,3,0)*0.475*44/12</f>
        <v>1.4317450193423253</v>
      </c>
      <c r="AB172" s="21">
        <f>EXP(-LN(2)/2)*AB171+(1-EXP(-LN(2)/2))/(LN(2)/2)*V172*Y172*VLOOKUP('Données projet'!$B$9,Paramètres!$A$1:$I$89,3,0)*0.475*44/12</f>
        <v>6.1468073174523196E-19</v>
      </c>
      <c r="AC172" s="22">
        <f t="shared" si="163"/>
        <v>6.1830926956481047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39.000000000000057</v>
      </c>
      <c r="AJ172" s="13">
        <f>AI172*VLOOKUP('Données projet'!$B$10,Paramètres!$A$1:$I$89,3,0)*VLOOKUP('Données projet'!$B$10,Paramètres!$A$1:$I$89,5,0)</f>
        <v>34.070400000000056</v>
      </c>
      <c r="AK172" s="13">
        <f t="shared" si="164"/>
        <v>10.412633617059328</v>
      </c>
      <c r="AL172" s="20">
        <f t="shared" si="165"/>
        <v>77.474616883045101</v>
      </c>
      <c r="AM172" s="59">
        <f t="shared" si="113"/>
        <v>370.8079502163784</v>
      </c>
      <c r="AN172" s="59">
        <f ca="1">AVERAGE(OFFSET($AM$3,0,0,'Données projet'!$E$10+1,1))-AVERAGE(OFFSET($H$3,0,0,'Données projet'!$E$10+1,1))</f>
        <v>260.53994021583316</v>
      </c>
      <c r="AO172" s="59">
        <f t="shared" si="144"/>
        <v>669.20238852709122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3.550308133623025E-19</v>
      </c>
      <c r="AX172" s="21">
        <f t="shared" si="166"/>
        <v>3.550308133623025E-19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-1.1527845344971866E-13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279.20364724206644</v>
      </c>
      <c r="BJ172" s="59">
        <f t="shared" si="146"/>
        <v>173.99850582760712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7.3782164806844699E-2</v>
      </c>
      <c r="BR172" s="21">
        <f>EXP(-LN(2)/2)*BR171+(1-EXP(-LN(2)/2))/(LN(2)/2)*BL172*BO172*VLOOKUP('Données projet'!$B$11,Paramètres!$A$1:$I$89,3,0)*0.475*44/12</f>
        <v>8.3089387219733392E-21</v>
      </c>
      <c r="BS172" s="22">
        <f t="shared" si="169"/>
        <v>7.3782164806844699E-2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-1.2946657079737634E-13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327.06866218660838</v>
      </c>
      <c r="CE172" s="59">
        <f t="shared" si="148"/>
        <v>202.18198935334908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8.2863046629225459E-2</v>
      </c>
      <c r="CM172" s="21">
        <f>EXP(-LN(2)/2)*CM171+(1-EXP(-LN(2)/2))/(LN(2)/2)*CG172*CJ172*VLOOKUP('Données projet'!$B$12,Paramètres!$A$1:$I$89,3,0)*0.475*44/12</f>
        <v>9.3315773339086218E-21</v>
      </c>
      <c r="CN172" s="22">
        <f t="shared" si="172"/>
        <v>8.2863046629225459E-2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-5.1159076974727213E-13</v>
      </c>
      <c r="CU172" s="17">
        <f>CT172*VLOOKUP('Données projet'!$B$13,Paramètres!$A$1:$I$89,3,0)*VLOOKUP('Données projet'!$B$13,Paramètres!$A$1:$I$89,5,0)</f>
        <v>-4.1500243241898714E-13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266.72672633301022</v>
      </c>
      <c r="CZ172" s="59">
        <f t="shared" si="150"/>
        <v>314.26991662544219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0.1720768400869809</v>
      </c>
      <c r="DG172" s="21">
        <f>EXP(-LN(2)/25)*DG171+(1-EXP(-LN(2)/25))/(LN(2)/25)*Calculateur!DB172*Calculateur!DD172*VLOOKUP('Données projet'!$B$13,Paramètres!$A$1:$I$89,3,0)*0.475*44/12</f>
        <v>0.35980560618681545</v>
      </c>
      <c r="DH172" s="21">
        <f>EXP(-LN(2)/2)*DH171+(1-EXP(-LN(2)/2))/(LN(2)/2)*DB172*DE172*VLOOKUP('Données projet'!$B$13,Paramètres!$A$1:$I$89,3,0)*0.475*44/12</f>
        <v>2.9360637777042017E-20</v>
      </c>
      <c r="DI172" s="22">
        <f t="shared" si="175"/>
        <v>0.53188244627379633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-5.6843418860808015E-14</v>
      </c>
      <c r="DP172" s="17">
        <f>DO172*VLOOKUP('Données projet'!$B$14,Paramètres!$A$1:$I$89,3,0)*VLOOKUP('Données projet'!$B$14,Paramètres!$A$1:$I$89,5,0)</f>
        <v>-6.1186256061773749E-14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442.54137223086991</v>
      </c>
      <c r="DU172" s="59">
        <f t="shared" si="152"/>
        <v>454.23406186660714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0.12721394963573221</v>
      </c>
      <c r="EB172" s="21">
        <f>EXP(-LN(2)/25)*EB171+(1-EXP(-LN(2)/25))/(LN(2)/25)*Calculateur!DW172*Calculateur!DY172*VLOOKUP('Données projet'!$B$14,Paramètres!$A$1:$I$89,3,0)*0.475*44/12</f>
        <v>0.24485854069530189</v>
      </c>
      <c r="EC172" s="21">
        <f>EXP(-LN(2)/2)*EC171+(1-EXP(-LN(2)/2))/(LN(2)/2)*DW172*DZ172*VLOOKUP('Données projet'!$B$14,Paramètres!$A$1:$I$89,3,0)*0.475*44/12</f>
        <v>2.1607731250776843E-20</v>
      </c>
      <c r="ED172" s="22">
        <f t="shared" si="178"/>
        <v>0.37207249033103407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201.49055911472067</v>
      </c>
      <c r="T173" s="59">
        <f t="shared" si="142"/>
        <v>403.37692064114719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4.6581766464093484</v>
      </c>
      <c r="AA173" s="21">
        <f>EXP(-LN(2)/25)*AA172+(1-EXP(-LN(2)/25))/(LN(2)/25)*Calculateur!V173*Calculateur!X173*VLOOKUP('Données projet'!$B$9,Paramètres!$A$1:$I$89,3,0)*0.475*44/12</f>
        <v>1.3925938764962111</v>
      </c>
      <c r="AB173" s="21">
        <f>EXP(-LN(2)/2)*AB172+(1-EXP(-LN(2)/2))/(LN(2)/2)*V173*Y173*VLOOKUP('Données projet'!$B$9,Paramètres!$A$1:$I$89,3,0)*0.475*44/12</f>
        <v>4.3464491368176264E-19</v>
      </c>
      <c r="AC173" s="22">
        <f t="shared" si="163"/>
        <v>6.0507705229055597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39.000000000000057</v>
      </c>
      <c r="AJ173" s="13">
        <f>AI173*VLOOKUP('Données projet'!$B$10,Paramètres!$A$1:$I$89,3,0)*VLOOKUP('Données projet'!$B$10,Paramètres!$A$1:$I$89,5,0)</f>
        <v>34.070400000000056</v>
      </c>
      <c r="AK173" s="13">
        <f t="shared" si="164"/>
        <v>10.412633617059328</v>
      </c>
      <c r="AL173" s="20">
        <f t="shared" si="165"/>
        <v>77.474616883045101</v>
      </c>
      <c r="AM173" s="59">
        <f t="shared" si="113"/>
        <v>370.8079502163784</v>
      </c>
      <c r="AN173" s="59">
        <f ca="1">AVERAGE(OFFSET($AM$3,0,0,'Données projet'!$E$10+1,1))-AVERAGE(OFFSET($H$3,0,0,'Données projet'!$E$10+1,1))</f>
        <v>260.53994021583316</v>
      </c>
      <c r="AO173" s="59">
        <f t="shared" si="144"/>
        <v>669.20238852709122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2.5104469565865962E-19</v>
      </c>
      <c r="AX173" s="21">
        <f t="shared" si="166"/>
        <v>2.5104469565865962E-19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-1.1527845344971866E-13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279.20364724206644</v>
      </c>
      <c r="BJ173" s="59">
        <f t="shared" si="146"/>
        <v>173.99850582760712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7.1764587630166118E-2</v>
      </c>
      <c r="BR173" s="21">
        <f>EXP(-LN(2)/2)*BR172+(1-EXP(-LN(2)/2))/(LN(2)/2)*BL173*BO173*VLOOKUP('Données projet'!$B$11,Paramètres!$A$1:$I$89,3,0)*0.475*44/12</f>
        <v>5.8753069147708338E-21</v>
      </c>
      <c r="BS173" s="22">
        <f t="shared" si="169"/>
        <v>7.1764587630166118E-2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-1.2946657079737634E-13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327.06866218660838</v>
      </c>
      <c r="CE173" s="59">
        <f t="shared" si="148"/>
        <v>202.18198935334908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8.0597152261571048E-2</v>
      </c>
      <c r="CM173" s="21">
        <f>EXP(-LN(2)/2)*CM172+(1-EXP(-LN(2)/2))/(LN(2)/2)*CG173*CJ173*VLOOKUP('Données projet'!$B$12,Paramètres!$A$1:$I$89,3,0)*0.475*44/12</f>
        <v>6.5984216119734705E-21</v>
      </c>
      <c r="CN173" s="22">
        <f t="shared" si="172"/>
        <v>8.0597152261571048E-2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-5.1159076974727213E-13</v>
      </c>
      <c r="CU173" s="17">
        <f>CT173*VLOOKUP('Données projet'!$B$13,Paramètres!$A$1:$I$89,3,0)*VLOOKUP('Données projet'!$B$13,Paramètres!$A$1:$I$89,5,0)</f>
        <v>-4.1500243241898714E-13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266.72672633301022</v>
      </c>
      <c r="CZ173" s="59">
        <f t="shared" si="150"/>
        <v>314.26991662544219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0.16870251820938406</v>
      </c>
      <c r="DG173" s="21">
        <f>EXP(-LN(2)/25)*DG172+(1-EXP(-LN(2)/25))/(LN(2)/25)*Calculateur!DB173*Calculateur!DD173*VLOOKUP('Données projet'!$B$13,Paramètres!$A$1:$I$89,3,0)*0.475*44/12</f>
        <v>0.34996670296428251</v>
      </c>
      <c r="DH173" s="21">
        <f>EXP(-LN(2)/2)*DH172+(1-EXP(-LN(2)/2))/(LN(2)/2)*DB173*DE173*VLOOKUP('Données projet'!$B$13,Paramètres!$A$1:$I$89,3,0)*0.475*44/12</f>
        <v>2.0761106072108331E-20</v>
      </c>
      <c r="DI173" s="22">
        <f t="shared" si="175"/>
        <v>0.51866922117366654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-5.6843418860808015E-14</v>
      </c>
      <c r="DP173" s="17">
        <f>DO173*VLOOKUP('Données projet'!$B$14,Paramètres!$A$1:$I$89,3,0)*VLOOKUP('Données projet'!$B$14,Paramètres!$A$1:$I$89,5,0)</f>
        <v>-6.1186256061773749E-14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442.54137223086991</v>
      </c>
      <c r="DU173" s="59">
        <f t="shared" si="152"/>
        <v>454.23406186660714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0.12471936167622312</v>
      </c>
      <c r="EB173" s="21">
        <f>EXP(-LN(2)/25)*EB172+(1-EXP(-LN(2)/25))/(LN(2)/25)*Calculateur!DW173*Calculateur!DY173*VLOOKUP('Données projet'!$B$14,Paramètres!$A$1:$I$89,3,0)*0.475*44/12</f>
        <v>0.23816287102343783</v>
      </c>
      <c r="EC173" s="21">
        <f>EXP(-LN(2)/2)*EC172+(1-EXP(-LN(2)/2))/(LN(2)/2)*DW173*DZ173*VLOOKUP('Données projet'!$B$14,Paramètres!$A$1:$I$89,3,0)*0.475*44/12</f>
        <v>1.5278973293480786E-20</v>
      </c>
      <c r="ED173" s="22">
        <f t="shared" si="178"/>
        <v>0.36288223269966097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201.49055911472067</v>
      </c>
      <c r="T174" s="59">
        <f t="shared" si="142"/>
        <v>403.37692064114719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4.5668326435804696</v>
      </c>
      <c r="AA174" s="21">
        <f>EXP(-LN(2)/25)*AA173+(1-EXP(-LN(2)/25))/(LN(2)/25)*Calculateur!V174*Calculateur!X174*VLOOKUP('Données projet'!$B$9,Paramètres!$A$1:$I$89,3,0)*0.475*44/12</f>
        <v>1.354513323710093</v>
      </c>
      <c r="AB174" s="21">
        <f>EXP(-LN(2)/2)*AB173+(1-EXP(-LN(2)/2))/(LN(2)/2)*V174*Y174*VLOOKUP('Données projet'!$B$9,Paramètres!$A$1:$I$89,3,0)*0.475*44/12</f>
        <v>3.0734036587261598E-19</v>
      </c>
      <c r="AC174" s="22">
        <f t="shared" si="163"/>
        <v>5.9213459672905628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39.000000000000057</v>
      </c>
      <c r="AJ174" s="13">
        <f>AI174*VLOOKUP('Données projet'!$B$10,Paramètres!$A$1:$I$89,3,0)*VLOOKUP('Données projet'!$B$10,Paramètres!$A$1:$I$89,5,0)</f>
        <v>34.070400000000056</v>
      </c>
      <c r="AK174" s="13">
        <f t="shared" si="164"/>
        <v>10.412633617059328</v>
      </c>
      <c r="AL174" s="20">
        <f t="shared" si="165"/>
        <v>77.474616883045101</v>
      </c>
      <c r="AM174" s="59">
        <f t="shared" si="113"/>
        <v>370.8079502163784</v>
      </c>
      <c r="AN174" s="59">
        <f ca="1">AVERAGE(OFFSET($AM$3,0,0,'Données projet'!$E$10+1,1))-AVERAGE(OFFSET($H$3,0,0,'Données projet'!$E$10+1,1))</f>
        <v>260.53994021583316</v>
      </c>
      <c r="AO174" s="59">
        <f t="shared" si="144"/>
        <v>669.20238852709122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1.7751540668115125E-19</v>
      </c>
      <c r="AX174" s="21">
        <f t="shared" si="166"/>
        <v>1.7751540668115125E-19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-1.1527845344971866E-13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279.20364724206644</v>
      </c>
      <c r="BJ174" s="59">
        <f t="shared" si="146"/>
        <v>173.99850582760712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6.9802181207483577E-2</v>
      </c>
      <c r="BR174" s="21">
        <f>EXP(-LN(2)/2)*BR173+(1-EXP(-LN(2)/2))/(LN(2)/2)*BL174*BO174*VLOOKUP('Données projet'!$B$11,Paramètres!$A$1:$I$89,3,0)*0.475*44/12</f>
        <v>4.1544693609866696E-21</v>
      </c>
      <c r="BS174" s="22">
        <f t="shared" si="169"/>
        <v>6.9802181207483577E-2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-1.2946657079737634E-13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327.06866218660838</v>
      </c>
      <c r="CE174" s="59">
        <f t="shared" si="148"/>
        <v>202.18198935334908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7.8393218894558359E-2</v>
      </c>
      <c r="CM174" s="21">
        <f>EXP(-LN(2)/2)*CM173+(1-EXP(-LN(2)/2))/(LN(2)/2)*CG174*CJ174*VLOOKUP('Données projet'!$B$12,Paramètres!$A$1:$I$89,3,0)*0.475*44/12</f>
        <v>4.6657886669543116E-21</v>
      </c>
      <c r="CN174" s="22">
        <f t="shared" si="172"/>
        <v>7.8393218894558359E-2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-5.1159076974727213E-13</v>
      </c>
      <c r="CU174" s="17">
        <f>CT174*VLOOKUP('Données projet'!$B$13,Paramètres!$A$1:$I$89,3,0)*VLOOKUP('Données projet'!$B$13,Paramètres!$A$1:$I$89,5,0)</f>
        <v>-4.1500243241898714E-13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266.72672633301022</v>
      </c>
      <c r="CZ174" s="59">
        <f t="shared" si="150"/>
        <v>314.26991662544219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0.16539436472567379</v>
      </c>
      <c r="DG174" s="21">
        <f>EXP(-LN(2)/25)*DG173+(1-EXP(-LN(2)/25))/(LN(2)/25)*Calculateur!DB174*Calculateur!DD174*VLOOKUP('Données projet'!$B$13,Paramètres!$A$1:$I$89,3,0)*0.475*44/12</f>
        <v>0.34039684506777518</v>
      </c>
      <c r="DH174" s="21">
        <f>EXP(-LN(2)/2)*DH173+(1-EXP(-LN(2)/2))/(LN(2)/2)*DB174*DE174*VLOOKUP('Données projet'!$B$13,Paramètres!$A$1:$I$89,3,0)*0.475*44/12</f>
        <v>1.4680318888521009E-20</v>
      </c>
      <c r="DI174" s="22">
        <f t="shared" si="175"/>
        <v>0.50579120979344894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-5.6843418860808015E-14</v>
      </c>
      <c r="DP174" s="17">
        <f>DO174*VLOOKUP('Données projet'!$B$14,Paramètres!$A$1:$I$89,3,0)*VLOOKUP('Données projet'!$B$14,Paramètres!$A$1:$I$89,5,0)</f>
        <v>-6.1186256061773749E-14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442.54137223086991</v>
      </c>
      <c r="DU174" s="59">
        <f t="shared" si="152"/>
        <v>454.23406186660714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0.12227369106505159</v>
      </c>
      <c r="EB174" s="21">
        <f>EXP(-LN(2)/25)*EB173+(1-EXP(-LN(2)/25))/(LN(2)/25)*Calculateur!DW174*Calculateur!DY174*VLOOKUP('Données projet'!$B$14,Paramètres!$A$1:$I$89,3,0)*0.475*44/12</f>
        <v>0.23165029479086086</v>
      </c>
      <c r="EC174" s="21">
        <f>EXP(-LN(2)/2)*EC173+(1-EXP(-LN(2)/2))/(LN(2)/2)*DW174*DZ174*VLOOKUP('Données projet'!$B$14,Paramètres!$A$1:$I$89,3,0)*0.475*44/12</f>
        <v>1.0803865625388421E-20</v>
      </c>
      <c r="ED174" s="22">
        <f t="shared" si="178"/>
        <v>0.35392398585591245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201.49055911472067</v>
      </c>
      <c r="T175" s="59">
        <f t="shared" si="142"/>
        <v>403.37692064114719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4.4772798409327246</v>
      </c>
      <c r="AA175" s="21">
        <f>EXP(-LN(2)/25)*AA174+(1-EXP(-LN(2)/25))/(LN(2)/25)*Calculateur!V175*Calculateur!X175*VLOOKUP('Données projet'!$B$9,Paramètres!$A$1:$I$89,3,0)*0.475*44/12</f>
        <v>1.3174740856424807</v>
      </c>
      <c r="AB175" s="21">
        <f>EXP(-LN(2)/2)*AB174+(1-EXP(-LN(2)/2))/(LN(2)/2)*V175*Y175*VLOOKUP('Données projet'!$B$9,Paramètres!$A$1:$I$89,3,0)*0.475*44/12</f>
        <v>2.1732245684088132E-19</v>
      </c>
      <c r="AC175" s="22">
        <f t="shared" si="163"/>
        <v>5.794753926575205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39.000000000000057</v>
      </c>
      <c r="AJ175" s="13">
        <f>AI175*VLOOKUP('Données projet'!$B$10,Paramètres!$A$1:$I$89,3,0)*VLOOKUP('Données projet'!$B$10,Paramètres!$A$1:$I$89,5,0)</f>
        <v>34.070400000000056</v>
      </c>
      <c r="AK175" s="13">
        <f t="shared" si="164"/>
        <v>10.412633617059328</v>
      </c>
      <c r="AL175" s="20">
        <f t="shared" si="165"/>
        <v>77.474616883045101</v>
      </c>
      <c r="AM175" s="59">
        <f t="shared" si="113"/>
        <v>370.8079502163784</v>
      </c>
      <c r="AN175" s="59">
        <f ca="1">AVERAGE(OFFSET($AM$3,0,0,'Données projet'!$E$10+1,1))-AVERAGE(OFFSET($H$3,0,0,'Données projet'!$E$10+1,1))</f>
        <v>260.53994021583316</v>
      </c>
      <c r="AO175" s="59">
        <f t="shared" si="144"/>
        <v>669.20238852709122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1.2552234782932981E-19</v>
      </c>
      <c r="AX175" s="21">
        <f t="shared" si="166"/>
        <v>1.2552234782932981E-19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-1.1527845344971866E-13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279.20364724206644</v>
      </c>
      <c r="BJ175" s="59">
        <f t="shared" si="146"/>
        <v>173.99850582760712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6.7893436891627759E-2</v>
      </c>
      <c r="BR175" s="21">
        <f>EXP(-LN(2)/2)*BR174+(1-EXP(-LN(2)/2))/(LN(2)/2)*BL175*BO175*VLOOKUP('Données projet'!$B$11,Paramètres!$A$1:$I$89,3,0)*0.475*44/12</f>
        <v>2.9376534573854169E-21</v>
      </c>
      <c r="BS175" s="22">
        <f t="shared" si="169"/>
        <v>6.7893436891627759E-2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-1.2946657079737634E-13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327.06866218660838</v>
      </c>
      <c r="CE175" s="59">
        <f t="shared" si="148"/>
        <v>202.18198935334908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7.624955220136645E-2</v>
      </c>
      <c r="CM175" s="21">
        <f>EXP(-LN(2)/2)*CM174+(1-EXP(-LN(2)/2))/(LN(2)/2)*CG175*CJ175*VLOOKUP('Données projet'!$B$12,Paramètres!$A$1:$I$89,3,0)*0.475*44/12</f>
        <v>3.299210805986736E-21</v>
      </c>
      <c r="CN175" s="22">
        <f t="shared" si="172"/>
        <v>7.624955220136645E-2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-5.1159076974727213E-13</v>
      </c>
      <c r="CU175" s="17">
        <f>CT175*VLOOKUP('Données projet'!$B$13,Paramètres!$A$1:$I$89,3,0)*VLOOKUP('Données projet'!$B$13,Paramètres!$A$1:$I$89,5,0)</f>
        <v>-4.1500243241898714E-13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266.72672633301022</v>
      </c>
      <c r="CZ175" s="59">
        <f t="shared" si="150"/>
        <v>314.26991662544219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0.16215108211400467</v>
      </c>
      <c r="DG175" s="21">
        <f>EXP(-LN(2)/25)*DG174+(1-EXP(-LN(2)/25))/(LN(2)/25)*Calculateur!DB175*Calculateur!DD175*VLOOKUP('Données projet'!$B$13,Paramètres!$A$1:$I$89,3,0)*0.475*44/12</f>
        <v>0.33108867543870479</v>
      </c>
      <c r="DH175" s="21">
        <f>EXP(-LN(2)/2)*DH174+(1-EXP(-LN(2)/2))/(LN(2)/2)*DB175*DE175*VLOOKUP('Données projet'!$B$13,Paramètres!$A$1:$I$89,3,0)*0.475*44/12</f>
        <v>1.0380553036054166E-20</v>
      </c>
      <c r="DI175" s="22">
        <f t="shared" si="175"/>
        <v>0.49323975755270943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-5.6843418860808015E-14</v>
      </c>
      <c r="DP175" s="17">
        <f>DO175*VLOOKUP('Données projet'!$B$14,Paramètres!$A$1:$I$89,3,0)*VLOOKUP('Données projet'!$B$14,Paramètres!$A$1:$I$89,5,0)</f>
        <v>-6.1186256061773749E-14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442.54137223086991</v>
      </c>
      <c r="DU175" s="59">
        <f t="shared" si="152"/>
        <v>454.23406186660714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0.11987597856285336</v>
      </c>
      <c r="EB175" s="21">
        <f>EXP(-LN(2)/25)*EB174+(1-EXP(-LN(2)/25))/(LN(2)/25)*Calculateur!DW175*Calculateur!DY175*VLOOKUP('Données projet'!$B$14,Paramètres!$A$1:$I$89,3,0)*0.475*44/12</f>
        <v>0.2253158052978452</v>
      </c>
      <c r="EC175" s="21">
        <f>EXP(-LN(2)/2)*EC174+(1-EXP(-LN(2)/2))/(LN(2)/2)*DW175*DZ175*VLOOKUP('Données projet'!$B$14,Paramètres!$A$1:$I$89,3,0)*0.475*44/12</f>
        <v>7.6394866467403928E-21</v>
      </c>
      <c r="ED175" s="22">
        <f t="shared" si="178"/>
        <v>0.34519178386069854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201.49055911472067</v>
      </c>
      <c r="T176" s="59">
        <f t="shared" si="142"/>
        <v>403.37692064114719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4.3894831141230854</v>
      </c>
      <c r="AA176" s="21">
        <f>EXP(-LN(2)/25)*AA175+(1-EXP(-LN(2)/25))/(LN(2)/25)*Calculateur!V176*Calculateur!X176*VLOOKUP('Données projet'!$B$9,Paramètres!$A$1:$I$89,3,0)*0.475*44/12</f>
        <v>1.2814476874876359</v>
      </c>
      <c r="AB176" s="21">
        <f>EXP(-LN(2)/2)*AB175+(1-EXP(-LN(2)/2))/(LN(2)/2)*V176*Y176*VLOOKUP('Données projet'!$B$9,Paramètres!$A$1:$I$89,3,0)*0.475*44/12</f>
        <v>1.5367018293630799E-19</v>
      </c>
      <c r="AC176" s="22">
        <f t="shared" si="163"/>
        <v>5.6709308016107212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39.000000000000057</v>
      </c>
      <c r="AJ176" s="13">
        <f>AI176*VLOOKUP('Données projet'!$B$10,Paramètres!$A$1:$I$89,3,0)*VLOOKUP('Données projet'!$B$10,Paramètres!$A$1:$I$89,5,0)</f>
        <v>34.070400000000056</v>
      </c>
      <c r="AK176" s="13">
        <f t="shared" si="164"/>
        <v>10.412633617059328</v>
      </c>
      <c r="AL176" s="20">
        <f t="shared" si="165"/>
        <v>77.474616883045101</v>
      </c>
      <c r="AM176" s="59">
        <f t="shared" si="113"/>
        <v>370.8079502163784</v>
      </c>
      <c r="AN176" s="59">
        <f ca="1">AVERAGE(OFFSET($AM$3,0,0,'Données projet'!$E$10+1,1))-AVERAGE(OFFSET($H$3,0,0,'Données projet'!$E$10+1,1))</f>
        <v>260.53994021583316</v>
      </c>
      <c r="AO176" s="59">
        <f t="shared" si="144"/>
        <v>669.20238852709122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8.8757703340575626E-20</v>
      </c>
      <c r="AX176" s="21">
        <f t="shared" si="166"/>
        <v>8.8757703340575626E-20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-1.1527845344971866E-13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279.20364724206644</v>
      </c>
      <c r="BJ176" s="59">
        <f t="shared" si="146"/>
        <v>173.99850582760712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6.6036887289465523E-2</v>
      </c>
      <c r="BR176" s="21">
        <f>EXP(-LN(2)/2)*BR175+(1-EXP(-LN(2)/2))/(LN(2)/2)*BL176*BO176*VLOOKUP('Données projet'!$B$11,Paramètres!$A$1:$I$89,3,0)*0.475*44/12</f>
        <v>2.0772346804933348E-21</v>
      </c>
      <c r="BS176" s="22">
        <f t="shared" si="169"/>
        <v>6.6036887289465523E-2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-1.2946657079737634E-13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327.06866218660838</v>
      </c>
      <c r="CE176" s="59">
        <f t="shared" si="148"/>
        <v>202.18198935334908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7.4164504186630398E-2</v>
      </c>
      <c r="CM176" s="21">
        <f>EXP(-LN(2)/2)*CM175+(1-EXP(-LN(2)/2))/(LN(2)/2)*CG176*CJ176*VLOOKUP('Données projet'!$B$12,Paramètres!$A$1:$I$89,3,0)*0.475*44/12</f>
        <v>2.3328943334771562E-21</v>
      </c>
      <c r="CN176" s="22">
        <f t="shared" si="172"/>
        <v>7.4164504186630398E-2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-5.1159076974727213E-13</v>
      </c>
      <c r="CU176" s="17">
        <f>CT176*VLOOKUP('Données projet'!$B$13,Paramètres!$A$1:$I$89,3,0)*VLOOKUP('Données projet'!$B$13,Paramètres!$A$1:$I$89,5,0)</f>
        <v>-4.1500243241898714E-13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266.72672633301022</v>
      </c>
      <c r="CZ176" s="59">
        <f t="shared" si="150"/>
        <v>314.26991662544219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0.15897139829614332</v>
      </c>
      <c r="DG176" s="21">
        <f>EXP(-LN(2)/25)*DG175+(1-EXP(-LN(2)/25))/(LN(2)/25)*Calculateur!DB176*Calculateur!DD176*VLOOKUP('Données projet'!$B$13,Paramètres!$A$1:$I$89,3,0)*0.475*44/12</f>
        <v>0.32203503819763668</v>
      </c>
      <c r="DH176" s="21">
        <f>EXP(-LN(2)/2)*DH175+(1-EXP(-LN(2)/2))/(LN(2)/2)*DB176*DE176*VLOOKUP('Données projet'!$B$13,Paramètres!$A$1:$I$89,3,0)*0.475*44/12</f>
        <v>7.3401594442605043E-21</v>
      </c>
      <c r="DI176" s="22">
        <f t="shared" si="175"/>
        <v>0.48100643649378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-5.6843418860808015E-14</v>
      </c>
      <c r="DP176" s="17">
        <f>DO176*VLOOKUP('Données projet'!$B$14,Paramètres!$A$1:$I$89,3,0)*VLOOKUP('Données projet'!$B$14,Paramètres!$A$1:$I$89,5,0)</f>
        <v>-6.1186256061773749E-14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442.54137223086991</v>
      </c>
      <c r="DU176" s="59">
        <f t="shared" si="152"/>
        <v>454.23406186660714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0.117525283740363</v>
      </c>
      <c r="EB176" s="21">
        <f>EXP(-LN(2)/25)*EB175+(1-EXP(-LN(2)/25))/(LN(2)/25)*Calculateur!DW176*Calculateur!DY176*VLOOKUP('Données projet'!$B$14,Paramètres!$A$1:$I$89,3,0)*0.475*44/12</f>
        <v>0.2191545327531324</v>
      </c>
      <c r="EC176" s="21">
        <f>EXP(-LN(2)/2)*EC175+(1-EXP(-LN(2)/2))/(LN(2)/2)*DW176*DZ176*VLOOKUP('Données projet'!$B$14,Paramètres!$A$1:$I$89,3,0)*0.475*44/12</f>
        <v>5.4019328126942107E-21</v>
      </c>
      <c r="ED176" s="22">
        <f t="shared" si="178"/>
        <v>0.33667981649349543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201.49055911472067</v>
      </c>
      <c r="T177" s="59">
        <f t="shared" si="142"/>
        <v>403.37692064114719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4.3034080275754683</v>
      </c>
      <c r="AA177" s="21">
        <f>EXP(-LN(2)/25)*AA176+(1-EXP(-LN(2)/25))/(LN(2)/25)*Calculateur!V177*Calculateur!X177*VLOOKUP('Données projet'!$B$9,Paramètres!$A$1:$I$89,3,0)*0.475*44/12</f>
        <v>1.2464064330848814</v>
      </c>
      <c r="AB177" s="21">
        <f>EXP(-LN(2)/2)*AB176+(1-EXP(-LN(2)/2))/(LN(2)/2)*V177*Y177*VLOOKUP('Données projet'!$B$9,Paramètres!$A$1:$I$89,3,0)*0.475*44/12</f>
        <v>1.0866122842044066E-19</v>
      </c>
      <c r="AC177" s="22">
        <f t="shared" si="163"/>
        <v>5.5498144606603494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39.000000000000057</v>
      </c>
      <c r="AJ177" s="13">
        <f>AI177*VLOOKUP('Données projet'!$B$10,Paramètres!$A$1:$I$89,3,0)*VLOOKUP('Données projet'!$B$10,Paramètres!$A$1:$I$89,5,0)</f>
        <v>34.070400000000056</v>
      </c>
      <c r="AK177" s="13">
        <f t="shared" si="164"/>
        <v>10.412633617059328</v>
      </c>
      <c r="AL177" s="20">
        <f t="shared" si="165"/>
        <v>77.474616883045101</v>
      </c>
      <c r="AM177" s="59">
        <f t="shared" si="113"/>
        <v>370.8079502163784</v>
      </c>
      <c r="AN177" s="59">
        <f ca="1">AVERAGE(OFFSET($AM$3,0,0,'Données projet'!$E$10+1,1))-AVERAGE(OFFSET($H$3,0,0,'Données projet'!$E$10+1,1))</f>
        <v>260.53994021583316</v>
      </c>
      <c r="AO177" s="59">
        <f t="shared" si="144"/>
        <v>669.20238852709122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6.2761173914664906E-20</v>
      </c>
      <c r="AX177" s="21">
        <f t="shared" si="166"/>
        <v>6.2761173914664906E-20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-1.1527845344971866E-13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279.20364724206644</v>
      </c>
      <c r="BJ177" s="59">
        <f t="shared" si="146"/>
        <v>173.99850582760712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6.4231105133806116E-2</v>
      </c>
      <c r="BR177" s="21">
        <f>EXP(-LN(2)/2)*BR176+(1-EXP(-LN(2)/2))/(LN(2)/2)*BL177*BO177*VLOOKUP('Données projet'!$B$11,Paramètres!$A$1:$I$89,3,0)*0.475*44/12</f>
        <v>1.4688267286927085E-21</v>
      </c>
      <c r="BS177" s="22">
        <f t="shared" si="169"/>
        <v>6.4231105133806116E-2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-1.2946657079737634E-13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327.06866218660838</v>
      </c>
      <c r="CE177" s="59">
        <f t="shared" si="148"/>
        <v>202.18198935334908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7.2136471919505216E-2</v>
      </c>
      <c r="CM177" s="21">
        <f>EXP(-LN(2)/2)*CM176+(1-EXP(-LN(2)/2))/(LN(2)/2)*CG177*CJ177*VLOOKUP('Données projet'!$B$12,Paramètres!$A$1:$I$89,3,0)*0.475*44/12</f>
        <v>1.6496054029933682E-21</v>
      </c>
      <c r="CN177" s="22">
        <f t="shared" si="172"/>
        <v>7.2136471919505216E-2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-5.1159076974727213E-13</v>
      </c>
      <c r="CU177" s="17">
        <f>CT177*VLOOKUP('Données projet'!$B$13,Paramètres!$A$1:$I$89,3,0)*VLOOKUP('Données projet'!$B$13,Paramètres!$A$1:$I$89,5,0)</f>
        <v>-4.1500243241898714E-13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266.72672633301022</v>
      </c>
      <c r="CZ177" s="59">
        <f t="shared" si="150"/>
        <v>314.26991662544219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0.15585406613853461</v>
      </c>
      <c r="DG177" s="21">
        <f>EXP(-LN(2)/25)*DG176+(1-EXP(-LN(2)/25))/(LN(2)/25)*Calculateur!DB177*Calculateur!DD177*VLOOKUP('Données projet'!$B$13,Paramètres!$A$1:$I$89,3,0)*0.475*44/12</f>
        <v>0.31322897314303566</v>
      </c>
      <c r="DH177" s="21">
        <f>EXP(-LN(2)/2)*DH176+(1-EXP(-LN(2)/2))/(LN(2)/2)*DB177*DE177*VLOOKUP('Données projet'!$B$13,Paramètres!$A$1:$I$89,3,0)*0.475*44/12</f>
        <v>5.1902765180270828E-21</v>
      </c>
      <c r="DI177" s="22">
        <f t="shared" si="175"/>
        <v>0.46908303928157025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-5.6843418860808015E-14</v>
      </c>
      <c r="DP177" s="17">
        <f>DO177*VLOOKUP('Données projet'!$B$14,Paramètres!$A$1:$I$89,3,0)*VLOOKUP('Données projet'!$B$14,Paramètres!$A$1:$I$89,5,0)</f>
        <v>-6.1186256061773749E-14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442.54137223086991</v>
      </c>
      <c r="DU177" s="59">
        <f t="shared" si="152"/>
        <v>454.23406186660714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0.11522068460955942</v>
      </c>
      <c r="EB177" s="21">
        <f>EXP(-LN(2)/25)*EB176+(1-EXP(-LN(2)/25))/(LN(2)/25)*Calculateur!DW177*Calculateur!DY177*VLOOKUP('Données projet'!$B$14,Paramètres!$A$1:$I$89,3,0)*0.475*44/12</f>
        <v>0.21316174053016201</v>
      </c>
      <c r="EC177" s="21">
        <f>EXP(-LN(2)/2)*EC176+(1-EXP(-LN(2)/2))/(LN(2)/2)*DW177*DZ177*VLOOKUP('Données projet'!$B$14,Paramètres!$A$1:$I$89,3,0)*0.475*44/12</f>
        <v>3.8197433233701964E-21</v>
      </c>
      <c r="ED177" s="22">
        <f t="shared" si="178"/>
        <v>0.32838242513972143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201.49055911472067</v>
      </c>
      <c r="T178" s="59">
        <f t="shared" si="142"/>
        <v>403.37692064114719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4.2190208209744311</v>
      </c>
      <c r="AA178" s="21">
        <f>EXP(-LN(2)/25)*AA177+(1-EXP(-LN(2)/25))/(LN(2)/25)*Calculateur!V178*Calculateur!X178*VLOOKUP('Données projet'!$B$9,Paramètres!$A$1:$I$89,3,0)*0.475*44/12</f>
        <v>1.2123233836265097</v>
      </c>
      <c r="AB178" s="21">
        <f>EXP(-LN(2)/2)*AB177+(1-EXP(-LN(2)/2))/(LN(2)/2)*V178*Y178*VLOOKUP('Données projet'!$B$9,Paramètres!$A$1:$I$89,3,0)*0.475*44/12</f>
        <v>7.6835091468153995E-20</v>
      </c>
      <c r="AC178" s="22">
        <f t="shared" si="163"/>
        <v>5.4313442046009408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39.000000000000057</v>
      </c>
      <c r="AJ178" s="13">
        <f>AI178*VLOOKUP('Données projet'!$B$10,Paramètres!$A$1:$I$89,3,0)*VLOOKUP('Données projet'!$B$10,Paramètres!$A$1:$I$89,5,0)</f>
        <v>34.070400000000056</v>
      </c>
      <c r="AK178" s="13">
        <f t="shared" si="164"/>
        <v>10.412633617059328</v>
      </c>
      <c r="AL178" s="20">
        <f t="shared" si="165"/>
        <v>77.474616883045101</v>
      </c>
      <c r="AM178" s="59">
        <f t="shared" si="113"/>
        <v>370.8079502163784</v>
      </c>
      <c r="AN178" s="59">
        <f ca="1">AVERAGE(OFFSET($AM$3,0,0,'Données projet'!$E$10+1,1))-AVERAGE(OFFSET($H$3,0,0,'Données projet'!$E$10+1,1))</f>
        <v>260.53994021583316</v>
      </c>
      <c r="AO178" s="59">
        <f t="shared" si="144"/>
        <v>669.20238852709122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4.4378851670287813E-20</v>
      </c>
      <c r="AX178" s="21">
        <f t="shared" si="166"/>
        <v>4.4378851670287813E-20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-1.1527845344971866E-13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279.20364724206644</v>
      </c>
      <c r="BJ178" s="59">
        <f t="shared" si="146"/>
        <v>173.99850582760712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6.2474702186155168E-2</v>
      </c>
      <c r="BR178" s="21">
        <f>EXP(-LN(2)/2)*BR177+(1-EXP(-LN(2)/2))/(LN(2)/2)*BL178*BO178*VLOOKUP('Données projet'!$B$11,Paramètres!$A$1:$I$89,3,0)*0.475*44/12</f>
        <v>1.0386173402466674E-21</v>
      </c>
      <c r="BS178" s="22">
        <f t="shared" si="169"/>
        <v>6.2474702186155168E-2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-1.2946657079737634E-13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327.06866218660838</v>
      </c>
      <c r="CE178" s="59">
        <f t="shared" si="148"/>
        <v>202.18198935334908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7.0163896301374151E-2</v>
      </c>
      <c r="CM178" s="21">
        <f>EXP(-LN(2)/2)*CM177+(1-EXP(-LN(2)/2))/(LN(2)/2)*CG178*CJ178*VLOOKUP('Données projet'!$B$12,Paramètres!$A$1:$I$89,3,0)*0.475*44/12</f>
        <v>1.1664471667385783E-21</v>
      </c>
      <c r="CN178" s="22">
        <f t="shared" si="172"/>
        <v>7.0163896301374151E-2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-5.1159076974727213E-13</v>
      </c>
      <c r="CU178" s="17">
        <f>CT178*VLOOKUP('Données projet'!$B$13,Paramètres!$A$1:$I$89,3,0)*VLOOKUP('Données projet'!$B$13,Paramètres!$A$1:$I$89,5,0)</f>
        <v>-4.1500243241898714E-13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266.72672633301022</v>
      </c>
      <c r="CZ178" s="59">
        <f t="shared" si="150"/>
        <v>314.26991662544219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0.15279786296315173</v>
      </c>
      <c r="DG178" s="21">
        <f>EXP(-LN(2)/25)*DG177+(1-EXP(-LN(2)/25))/(LN(2)/25)*Calculateur!DB178*Calculateur!DD178*VLOOKUP('Données projet'!$B$13,Paramètres!$A$1:$I$89,3,0)*0.475*44/12</f>
        <v>0.30466371040044354</v>
      </c>
      <c r="DH178" s="21">
        <f>EXP(-LN(2)/2)*DH177+(1-EXP(-LN(2)/2))/(LN(2)/2)*DB178*DE178*VLOOKUP('Données projet'!$B$13,Paramètres!$A$1:$I$89,3,0)*0.475*44/12</f>
        <v>3.6700797221302521E-21</v>
      </c>
      <c r="DI178" s="22">
        <f t="shared" si="175"/>
        <v>0.45746157336359528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-5.6843418860808015E-14</v>
      </c>
      <c r="DP178" s="17">
        <f>DO178*VLOOKUP('Données projet'!$B$14,Paramètres!$A$1:$I$89,3,0)*VLOOKUP('Données projet'!$B$14,Paramètres!$A$1:$I$89,5,0)</f>
        <v>-6.1186256061773749E-14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442.54137223086991</v>
      </c>
      <c r="DU178" s="59">
        <f t="shared" si="152"/>
        <v>454.23406186660714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0.11296127726204423</v>
      </c>
      <c r="EB178" s="21">
        <f>EXP(-LN(2)/25)*EB177+(1-EXP(-LN(2)/25))/(LN(2)/25)*Calculateur!DW178*Calculateur!DY178*VLOOKUP('Données projet'!$B$14,Paramètres!$A$1:$I$89,3,0)*0.475*44/12</f>
        <v>0.20733282152567598</v>
      </c>
      <c r="EC178" s="21">
        <f>EXP(-LN(2)/2)*EC177+(1-EXP(-LN(2)/2))/(LN(2)/2)*DW178*DZ178*VLOOKUP('Données projet'!$B$14,Paramètres!$A$1:$I$89,3,0)*0.475*44/12</f>
        <v>2.7009664063471053E-21</v>
      </c>
      <c r="ED178" s="22">
        <f t="shared" si="178"/>
        <v>0.32029409878772019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201.49055911472067</v>
      </c>
      <c r="T179" s="59">
        <f t="shared" si="142"/>
        <v>403.37692064114719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4.1362883960237262</v>
      </c>
      <c r="AA179" s="21">
        <f>EXP(-LN(2)/25)*AA178+(1-EXP(-LN(2)/25))/(LN(2)/25)*Calculateur!V179*Calculateur!X179*VLOOKUP('Données projet'!$B$9,Paramètres!$A$1:$I$89,3,0)*0.475*44/12</f>
        <v>1.1791723369479268</v>
      </c>
      <c r="AB179" s="21">
        <f>EXP(-LN(2)/2)*AB178+(1-EXP(-LN(2)/2))/(LN(2)/2)*V179*Y179*VLOOKUP('Données projet'!$B$9,Paramètres!$A$1:$I$89,3,0)*0.475*44/12</f>
        <v>5.4330614210220331E-20</v>
      </c>
      <c r="AC179" s="22">
        <f t="shared" si="163"/>
        <v>5.315460732971653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39.000000000000057</v>
      </c>
      <c r="AJ179" s="13">
        <f>AI179*VLOOKUP('Données projet'!$B$10,Paramètres!$A$1:$I$89,3,0)*VLOOKUP('Données projet'!$B$10,Paramètres!$A$1:$I$89,5,0)</f>
        <v>34.070400000000056</v>
      </c>
      <c r="AK179" s="13">
        <f t="shared" si="164"/>
        <v>10.412633617059328</v>
      </c>
      <c r="AL179" s="20">
        <f t="shared" si="165"/>
        <v>77.474616883045101</v>
      </c>
      <c r="AM179" s="59">
        <f t="shared" si="113"/>
        <v>370.8079502163784</v>
      </c>
      <c r="AN179" s="59">
        <f ca="1">AVERAGE(OFFSET($AM$3,0,0,'Données projet'!$E$10+1,1))-AVERAGE(OFFSET($H$3,0,0,'Données projet'!$E$10+1,1))</f>
        <v>260.53994021583316</v>
      </c>
      <c r="AO179" s="59">
        <f t="shared" si="144"/>
        <v>669.20238852709122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3.1380586957332453E-20</v>
      </c>
      <c r="AX179" s="21">
        <f t="shared" si="166"/>
        <v>3.1380586957332453E-20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-1.1527845344971866E-13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279.20364724206644</v>
      </c>
      <c r="BJ179" s="59">
        <f t="shared" si="146"/>
        <v>173.99850582760712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6.0766328169472958E-2</v>
      </c>
      <c r="BR179" s="21">
        <f>EXP(-LN(2)/2)*BR178+(1-EXP(-LN(2)/2))/(LN(2)/2)*BL179*BO179*VLOOKUP('Données projet'!$B$11,Paramètres!$A$1:$I$89,3,0)*0.475*44/12</f>
        <v>7.3441336434635423E-22</v>
      </c>
      <c r="BS179" s="22">
        <f t="shared" si="169"/>
        <v>6.0766328169472958E-2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-1.2946657079737634E-13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327.06866218660838</v>
      </c>
      <c r="CE179" s="59">
        <f t="shared" si="148"/>
        <v>202.18198935334908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6.8245260867254132E-2</v>
      </c>
      <c r="CM179" s="21">
        <f>EXP(-LN(2)/2)*CM178+(1-EXP(-LN(2)/2))/(LN(2)/2)*CG179*CJ179*VLOOKUP('Données projet'!$B$12,Paramètres!$A$1:$I$89,3,0)*0.475*44/12</f>
        <v>8.2480270149668428E-22</v>
      </c>
      <c r="CN179" s="22">
        <f t="shared" si="172"/>
        <v>6.8245260867254132E-2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-5.1159076974727213E-13</v>
      </c>
      <c r="CU179" s="17">
        <f>CT179*VLOOKUP('Données projet'!$B$13,Paramètres!$A$1:$I$89,3,0)*VLOOKUP('Données projet'!$B$13,Paramètres!$A$1:$I$89,5,0)</f>
        <v>-4.1500243241898714E-13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266.72672633301022</v>
      </c>
      <c r="CZ179" s="59">
        <f t="shared" si="150"/>
        <v>314.26991662544219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0.14980159006793825</v>
      </c>
      <c r="DG179" s="21">
        <f>EXP(-LN(2)/25)*DG178+(1-EXP(-LN(2)/25))/(LN(2)/25)*Calculateur!DB179*Calculateur!DD179*VLOOKUP('Données projet'!$B$13,Paramètres!$A$1:$I$89,3,0)*0.475*44/12</f>
        <v>0.29633266521797519</v>
      </c>
      <c r="DH179" s="21">
        <f>EXP(-LN(2)/2)*DH178+(1-EXP(-LN(2)/2))/(LN(2)/2)*DB179*DE179*VLOOKUP('Données projet'!$B$13,Paramètres!$A$1:$I$89,3,0)*0.475*44/12</f>
        <v>2.5951382590135414E-21</v>
      </c>
      <c r="DI179" s="22">
        <f t="shared" si="175"/>
        <v>0.44613425528591344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-5.6843418860808015E-14</v>
      </c>
      <c r="DP179" s="17">
        <f>DO179*VLOOKUP('Données projet'!$B$14,Paramètres!$A$1:$I$89,3,0)*VLOOKUP('Données projet'!$B$14,Paramètres!$A$1:$I$89,5,0)</f>
        <v>-6.1186256061773749E-14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442.54137223086991</v>
      </c>
      <c r="DU179" s="59">
        <f t="shared" si="152"/>
        <v>454.23406186660714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0.11074617551451141</v>
      </c>
      <c r="EB179" s="21">
        <f>EXP(-LN(2)/25)*EB178+(1-EXP(-LN(2)/25))/(LN(2)/25)*Calculateur!DW179*Calculateur!DY179*VLOOKUP('Données projet'!$B$14,Paramètres!$A$1:$I$89,3,0)*0.475*44/12</f>
        <v>0.20166329461789714</v>
      </c>
      <c r="EC179" s="21">
        <f>EXP(-LN(2)/2)*EC178+(1-EXP(-LN(2)/2))/(LN(2)/2)*DW179*DZ179*VLOOKUP('Données projet'!$B$14,Paramètres!$A$1:$I$89,3,0)*0.475*44/12</f>
        <v>1.9098716616850982E-21</v>
      </c>
      <c r="ED179" s="22">
        <f t="shared" si="178"/>
        <v>0.31240947013240855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201.49055911472067</v>
      </c>
      <c r="T180" s="59">
        <f t="shared" si="142"/>
        <v>403.37692064114719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4.0551783034645084</v>
      </c>
      <c r="AA180" s="21">
        <f>EXP(-LN(2)/25)*AA179+(1-EXP(-LN(2)/25))/(LN(2)/25)*Calculateur!V180*Calculateur!X180*VLOOKUP('Données projet'!$B$9,Paramètres!$A$1:$I$89,3,0)*0.475*44/12</f>
        <v>1.1469278073841076</v>
      </c>
      <c r="AB180" s="21">
        <f>EXP(-LN(2)/2)*AB179+(1-EXP(-LN(2)/2))/(LN(2)/2)*V180*Y180*VLOOKUP('Données projet'!$B$9,Paramètres!$A$1:$I$89,3,0)*0.475*44/12</f>
        <v>3.8417545734076997E-20</v>
      </c>
      <c r="AC180" s="22">
        <f t="shared" si="163"/>
        <v>5.2021061108486162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39.000000000000057</v>
      </c>
      <c r="AJ180" s="13">
        <f>AI180*VLOOKUP('Données projet'!$B$10,Paramètres!$A$1:$I$89,3,0)*VLOOKUP('Données projet'!$B$10,Paramètres!$A$1:$I$89,5,0)</f>
        <v>34.070400000000056</v>
      </c>
      <c r="AK180" s="13">
        <f t="shared" si="164"/>
        <v>10.412633617059328</v>
      </c>
      <c r="AL180" s="20">
        <f t="shared" si="165"/>
        <v>77.474616883045101</v>
      </c>
      <c r="AM180" s="59">
        <f t="shared" si="113"/>
        <v>370.8079502163784</v>
      </c>
      <c r="AN180" s="59">
        <f ca="1">AVERAGE(OFFSET($AM$3,0,0,'Données projet'!$E$10+1,1))-AVERAGE(OFFSET($H$3,0,0,'Données projet'!$E$10+1,1))</f>
        <v>260.53994021583316</v>
      </c>
      <c r="AO180" s="59">
        <f t="shared" si="144"/>
        <v>669.20238852709122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2.2189425835143907E-20</v>
      </c>
      <c r="AX180" s="21">
        <f t="shared" si="166"/>
        <v>2.2189425835143907E-20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-1.1527845344971866E-13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279.20364724206644</v>
      </c>
      <c r="BJ180" s="59">
        <f t="shared" si="146"/>
        <v>173.99850582760712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5.9104669730116403E-2</v>
      </c>
      <c r="BR180" s="21">
        <f>EXP(-LN(2)/2)*BR179+(1-EXP(-LN(2)/2))/(LN(2)/2)*BL180*BO180*VLOOKUP('Données projet'!$B$11,Paramètres!$A$1:$I$89,3,0)*0.475*44/12</f>
        <v>5.193086701233337E-22</v>
      </c>
      <c r="BS180" s="22">
        <f t="shared" si="169"/>
        <v>5.9104669730116403E-2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-1.2946657079737634E-13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327.06866218660838</v>
      </c>
      <c r="CE180" s="59">
        <f t="shared" si="148"/>
        <v>202.18198935334908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6.637909061997678E-2</v>
      </c>
      <c r="CM180" s="21">
        <f>EXP(-LN(2)/2)*CM179+(1-EXP(-LN(2)/2))/(LN(2)/2)*CG180*CJ180*VLOOKUP('Données projet'!$B$12,Paramètres!$A$1:$I$89,3,0)*0.475*44/12</f>
        <v>5.8322358336928924E-22</v>
      </c>
      <c r="CN180" s="22">
        <f t="shared" si="172"/>
        <v>6.637909061997678E-2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-5.1159076974727213E-13</v>
      </c>
      <c r="CU180" s="17">
        <f>CT180*VLOOKUP('Données projet'!$B$13,Paramètres!$A$1:$I$89,3,0)*VLOOKUP('Données projet'!$B$13,Paramètres!$A$1:$I$89,5,0)</f>
        <v>-4.1500243241898714E-13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266.72672633301022</v>
      </c>
      <c r="CZ180" s="59">
        <f t="shared" si="150"/>
        <v>314.26991662544219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0.14686407225665388</v>
      </c>
      <c r="DG180" s="21">
        <f>EXP(-LN(2)/25)*DG179+(1-EXP(-LN(2)/25))/(LN(2)/25)*Calculateur!DB180*Calculateur!DD180*VLOOKUP('Données projet'!$B$13,Paramètres!$A$1:$I$89,3,0)*0.475*44/12</f>
        <v>0.28822943290413205</v>
      </c>
      <c r="DH180" s="21">
        <f>EXP(-LN(2)/2)*DH179+(1-EXP(-LN(2)/2))/(LN(2)/2)*DB180*DE180*VLOOKUP('Données projet'!$B$13,Paramètres!$A$1:$I$89,3,0)*0.475*44/12</f>
        <v>1.8350398610651261E-21</v>
      </c>
      <c r="DI180" s="22">
        <f t="shared" si="175"/>
        <v>0.43509350516078593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-5.6843418860808015E-14</v>
      </c>
      <c r="DP180" s="17">
        <f>DO180*VLOOKUP('Données projet'!$B$14,Paramètres!$A$1:$I$89,3,0)*VLOOKUP('Données projet'!$B$14,Paramètres!$A$1:$I$89,5,0)</f>
        <v>-6.1186256061773749E-14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442.54137223086991</v>
      </c>
      <c r="DU180" s="59">
        <f t="shared" si="152"/>
        <v>454.23406186660714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0.10857451056116904</v>
      </c>
      <c r="EB180" s="21">
        <f>EXP(-LN(2)/25)*EB179+(1-EXP(-LN(2)/25))/(LN(2)/25)*Calculateur!DW180*Calculateur!DY180*VLOOKUP('Données projet'!$B$14,Paramètres!$A$1:$I$89,3,0)*0.475*44/12</f>
        <v>0.19614880122155898</v>
      </c>
      <c r="EC180" s="21">
        <f>EXP(-LN(2)/2)*EC179+(1-EXP(-LN(2)/2))/(LN(2)/2)*DW180*DZ180*VLOOKUP('Données projet'!$B$14,Paramètres!$A$1:$I$89,3,0)*0.475*44/12</f>
        <v>1.3504832031735527E-21</v>
      </c>
      <c r="ED180" s="22">
        <f t="shared" si="178"/>
        <v>0.30472331178272805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201.49055911472067</v>
      </c>
      <c r="T181" s="59">
        <f t="shared" si="142"/>
        <v>403.37692064114719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3.9756587303481052</v>
      </c>
      <c r="AA181" s="21">
        <f>EXP(-LN(2)/25)*AA180+(1-EXP(-LN(2)/25))/(LN(2)/25)*Calculateur!V181*Calculateur!X181*VLOOKUP('Données projet'!$B$9,Paramètres!$A$1:$I$89,3,0)*0.475*44/12</f>
        <v>1.1155650061768771</v>
      </c>
      <c r="AB181" s="21">
        <f>EXP(-LN(2)/2)*AB180+(1-EXP(-LN(2)/2))/(LN(2)/2)*V181*Y181*VLOOKUP('Données projet'!$B$9,Paramètres!$A$1:$I$89,3,0)*0.475*44/12</f>
        <v>2.7165307105110165E-20</v>
      </c>
      <c r="AC181" s="22">
        <f t="shared" si="163"/>
        <v>5.0912237365249826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39.000000000000057</v>
      </c>
      <c r="AJ181" s="13">
        <f>AI181*VLOOKUP('Données projet'!$B$10,Paramètres!$A$1:$I$89,3,0)*VLOOKUP('Données projet'!$B$10,Paramètres!$A$1:$I$89,5,0)</f>
        <v>34.070400000000056</v>
      </c>
      <c r="AK181" s="13">
        <f t="shared" si="164"/>
        <v>10.412633617059328</v>
      </c>
      <c r="AL181" s="20">
        <f t="shared" si="165"/>
        <v>77.474616883045101</v>
      </c>
      <c r="AM181" s="59">
        <f t="shared" si="113"/>
        <v>370.8079502163784</v>
      </c>
      <c r="AN181" s="59">
        <f ca="1">AVERAGE(OFFSET($AM$3,0,0,'Données projet'!$E$10+1,1))-AVERAGE(OFFSET($H$3,0,0,'Données projet'!$E$10+1,1))</f>
        <v>260.53994021583316</v>
      </c>
      <c r="AO181" s="59">
        <f t="shared" si="144"/>
        <v>669.20238852709122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1.5690293478666227E-20</v>
      </c>
      <c r="AX181" s="21">
        <f t="shared" si="166"/>
        <v>1.5690293478666227E-20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-1.1527845344971866E-13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279.20364724206644</v>
      </c>
      <c r="BJ181" s="59">
        <f t="shared" si="146"/>
        <v>173.99850582760712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5.7488449428166874E-2</v>
      </c>
      <c r="BR181" s="21">
        <f>EXP(-LN(2)/2)*BR180+(1-EXP(-LN(2)/2))/(LN(2)/2)*BL181*BO181*VLOOKUP('Données projet'!$B$11,Paramètres!$A$1:$I$89,3,0)*0.475*44/12</f>
        <v>3.6720668217317711E-22</v>
      </c>
      <c r="BS181" s="22">
        <f t="shared" si="169"/>
        <v>5.7488449428166874E-2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-1.2946657079737634E-13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327.06866218660838</v>
      </c>
      <c r="CE181" s="59">
        <f t="shared" si="148"/>
        <v>202.18198935334908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6.4563950896248848E-2</v>
      </c>
      <c r="CM181" s="21">
        <f>EXP(-LN(2)/2)*CM180+(1-EXP(-LN(2)/2))/(LN(2)/2)*CG181*CJ181*VLOOKUP('Données projet'!$B$12,Paramètres!$A$1:$I$89,3,0)*0.475*44/12</f>
        <v>4.1240135074834219E-22</v>
      </c>
      <c r="CN181" s="22">
        <f t="shared" si="172"/>
        <v>6.4563950896248848E-2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-5.1159076974727213E-13</v>
      </c>
      <c r="CU181" s="17">
        <f>CT181*VLOOKUP('Données projet'!$B$13,Paramètres!$A$1:$I$89,3,0)*VLOOKUP('Données projet'!$B$13,Paramètres!$A$1:$I$89,5,0)</f>
        <v>-4.1500243241898714E-13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266.72672633301022</v>
      </c>
      <c r="CZ181" s="59">
        <f t="shared" si="150"/>
        <v>314.26991662544219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0.14398415737793985</v>
      </c>
      <c r="DG181" s="21">
        <f>EXP(-LN(2)/25)*DG180+(1-EXP(-LN(2)/25))/(LN(2)/25)*Calculateur!DB181*Calculateur!DD181*VLOOKUP('Données projet'!$B$13,Paramètres!$A$1:$I$89,3,0)*0.475*44/12</f>
        <v>0.28034778390404147</v>
      </c>
      <c r="DH181" s="21">
        <f>EXP(-LN(2)/2)*DH180+(1-EXP(-LN(2)/2))/(LN(2)/2)*DB181*DE181*VLOOKUP('Données projet'!$B$13,Paramètres!$A$1:$I$89,3,0)*0.475*44/12</f>
        <v>1.2975691295067707E-21</v>
      </c>
      <c r="DI181" s="22">
        <f t="shared" si="175"/>
        <v>0.42433194128198132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-5.6843418860808015E-14</v>
      </c>
      <c r="DP181" s="17">
        <f>DO181*VLOOKUP('Données projet'!$B$14,Paramètres!$A$1:$I$89,3,0)*VLOOKUP('Données projet'!$B$14,Paramètres!$A$1:$I$89,5,0)</f>
        <v>-6.1186256061773749E-14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442.54137223086991</v>
      </c>
      <c r="DU181" s="59">
        <f t="shared" si="152"/>
        <v>454.23406186660714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0.10644543063297689</v>
      </c>
      <c r="EB181" s="21">
        <f>EXP(-LN(2)/25)*EB180+(1-EXP(-LN(2)/25))/(LN(2)/25)*Calculateur!DW181*Calculateur!DY181*VLOOKUP('Données projet'!$B$14,Paramètres!$A$1:$I$89,3,0)*0.475*44/12</f>
        <v>0.1907851019371383</v>
      </c>
      <c r="EC181" s="21">
        <f>EXP(-LN(2)/2)*EC180+(1-EXP(-LN(2)/2))/(LN(2)/2)*DW181*DZ181*VLOOKUP('Données projet'!$B$14,Paramètres!$A$1:$I$89,3,0)*0.475*44/12</f>
        <v>9.5493583084254911E-22</v>
      </c>
      <c r="ED181" s="22">
        <f t="shared" si="178"/>
        <v>0.29723053257011517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201.49055911472067</v>
      </c>
      <c r="T182" s="59">
        <f t="shared" si="142"/>
        <v>403.37692064114719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3.897698487558364</v>
      </c>
      <c r="AA182" s="21">
        <f>EXP(-LN(2)/25)*AA181+(1-EXP(-LN(2)/25))/(LN(2)/25)*Calculateur!V182*Calculateur!X182*VLOOKUP('Données projet'!$B$9,Paramètres!$A$1:$I$89,3,0)*0.475*44/12</f>
        <v>1.0850598224179564</v>
      </c>
      <c r="AB182" s="21">
        <f>EXP(-LN(2)/2)*AB181+(1-EXP(-LN(2)/2))/(LN(2)/2)*V182*Y182*VLOOKUP('Données projet'!$B$9,Paramètres!$A$1:$I$89,3,0)*0.475*44/12</f>
        <v>1.9208772867038499E-20</v>
      </c>
      <c r="AC182" s="22">
        <f t="shared" si="163"/>
        <v>4.9827583099763206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39.000000000000057</v>
      </c>
      <c r="AJ182" s="13">
        <f>AI182*VLOOKUP('Données projet'!$B$10,Paramètres!$A$1:$I$89,3,0)*VLOOKUP('Données projet'!$B$10,Paramètres!$A$1:$I$89,5,0)</f>
        <v>34.070400000000056</v>
      </c>
      <c r="AK182" s="13">
        <f t="shared" si="164"/>
        <v>10.412633617059328</v>
      </c>
      <c r="AL182" s="20">
        <f t="shared" si="165"/>
        <v>77.474616883045101</v>
      </c>
      <c r="AM182" s="59">
        <f t="shared" si="113"/>
        <v>370.8079502163784</v>
      </c>
      <c r="AN182" s="59">
        <f ca="1">AVERAGE(OFFSET($AM$3,0,0,'Données projet'!$E$10+1,1))-AVERAGE(OFFSET($H$3,0,0,'Données projet'!$E$10+1,1))</f>
        <v>260.53994021583316</v>
      </c>
      <c r="AO182" s="59">
        <f t="shared" si="144"/>
        <v>669.20238852709122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1.1094712917571953E-20</v>
      </c>
      <c r="AX182" s="21">
        <f t="shared" si="166"/>
        <v>1.1094712917571953E-20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-1.1527845344971866E-13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279.20364724206644</v>
      </c>
      <c r="BJ182" s="59">
        <f t="shared" si="146"/>
        <v>173.99850582760712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5.591642475536749E-2</v>
      </c>
      <c r="BR182" s="21">
        <f>EXP(-LN(2)/2)*BR181+(1-EXP(-LN(2)/2))/(LN(2)/2)*BL182*BO182*VLOOKUP('Données projet'!$B$11,Paramètres!$A$1:$I$89,3,0)*0.475*44/12</f>
        <v>2.5965433506166685E-22</v>
      </c>
      <c r="BS182" s="22">
        <f t="shared" si="169"/>
        <v>5.591642475536749E-2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-1.2946657079737634E-13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327.06866218660838</v>
      </c>
      <c r="CE182" s="59">
        <f t="shared" si="148"/>
        <v>202.18198935334908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6.2798446263720303E-2</v>
      </c>
      <c r="CM182" s="21">
        <f>EXP(-LN(2)/2)*CM181+(1-EXP(-LN(2)/2))/(LN(2)/2)*CG182*CJ182*VLOOKUP('Données projet'!$B$12,Paramètres!$A$1:$I$89,3,0)*0.475*44/12</f>
        <v>2.9161179168464467E-22</v>
      </c>
      <c r="CN182" s="22">
        <f t="shared" si="172"/>
        <v>6.2798446263720303E-2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-5.1159076974727213E-13</v>
      </c>
      <c r="CU182" s="17">
        <f>CT182*VLOOKUP('Données projet'!$B$13,Paramètres!$A$1:$I$89,3,0)*VLOOKUP('Données projet'!$B$13,Paramètres!$A$1:$I$89,5,0)</f>
        <v>-4.1500243241898714E-13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266.72672633301022</v>
      </c>
      <c r="CZ182" s="59">
        <f t="shared" si="150"/>
        <v>314.26991662544219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0.14116071587342277</v>
      </c>
      <c r="DG182" s="21">
        <f>EXP(-LN(2)/25)*DG181+(1-EXP(-LN(2)/25))/(LN(2)/25)*Calculateur!DB182*Calculateur!DD182*VLOOKUP('Données projet'!$B$13,Paramètres!$A$1:$I$89,3,0)*0.475*44/12</f>
        <v>0.27268165901033625</v>
      </c>
      <c r="DH182" s="21">
        <f>EXP(-LN(2)/2)*DH181+(1-EXP(-LN(2)/2))/(LN(2)/2)*DB182*DE182*VLOOKUP('Données projet'!$B$13,Paramètres!$A$1:$I$89,3,0)*0.475*44/12</f>
        <v>9.1751993053256303E-22</v>
      </c>
      <c r="DI182" s="22">
        <f t="shared" si="175"/>
        <v>0.41384237488375902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-5.6843418860808015E-14</v>
      </c>
      <c r="DP182" s="17">
        <f>DO182*VLOOKUP('Données projet'!$B$14,Paramètres!$A$1:$I$89,3,0)*VLOOKUP('Données projet'!$B$14,Paramètres!$A$1:$I$89,5,0)</f>
        <v>-6.1186256061773749E-14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442.54137223086991</v>
      </c>
      <c r="DU182" s="59">
        <f t="shared" si="152"/>
        <v>454.23406186660714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0.10435810066356606</v>
      </c>
      <c r="EB182" s="21">
        <f>EXP(-LN(2)/25)*EB181+(1-EXP(-LN(2)/25))/(LN(2)/25)*Calculateur!DW182*Calculateur!DY182*VLOOKUP('Données projet'!$B$14,Paramètres!$A$1:$I$89,3,0)*0.475*44/12</f>
        <v>0.18556807329171479</v>
      </c>
      <c r="EC182" s="21">
        <f>EXP(-LN(2)/2)*EC181+(1-EXP(-LN(2)/2))/(LN(2)/2)*DW182*DZ182*VLOOKUP('Données projet'!$B$14,Paramètres!$A$1:$I$89,3,0)*0.475*44/12</f>
        <v>6.7524160158677633E-22</v>
      </c>
      <c r="ED182" s="22">
        <f t="shared" si="178"/>
        <v>0.28992617395528086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201.49055911472067</v>
      </c>
      <c r="T183" s="59">
        <f t="shared" si="142"/>
        <v>403.37692064114719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3.821266997578677</v>
      </c>
      <c r="AA183" s="21">
        <f>EXP(-LN(2)/25)*AA182+(1-EXP(-LN(2)/25))/(LN(2)/25)*Calculateur!V183*Calculateur!X183*VLOOKUP('Données projet'!$B$9,Paramètres!$A$1:$I$89,3,0)*0.475*44/12</f>
        <v>1.0553888045131212</v>
      </c>
      <c r="AB183" s="21">
        <f>EXP(-LN(2)/2)*AB182+(1-EXP(-LN(2)/2))/(LN(2)/2)*V183*Y183*VLOOKUP('Données projet'!$B$9,Paramètres!$A$1:$I$89,3,0)*0.475*44/12</f>
        <v>1.3582653552555083E-20</v>
      </c>
      <c r="AC183" s="22">
        <f t="shared" si="163"/>
        <v>4.8766558020917987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39.000000000000057</v>
      </c>
      <c r="AJ183" s="13">
        <f>AI183*VLOOKUP('Données projet'!$B$10,Paramètres!$A$1:$I$89,3,0)*VLOOKUP('Données projet'!$B$10,Paramètres!$A$1:$I$89,5,0)</f>
        <v>34.070400000000056</v>
      </c>
      <c r="AK183" s="13">
        <f t="shared" si="164"/>
        <v>10.412633617059328</v>
      </c>
      <c r="AL183" s="20">
        <f t="shared" si="165"/>
        <v>77.474616883045101</v>
      </c>
      <c r="AM183" s="59">
        <f t="shared" si="113"/>
        <v>370.8079502163784</v>
      </c>
      <c r="AN183" s="59">
        <f ca="1">AVERAGE(OFFSET($AM$3,0,0,'Données projet'!$E$10+1,1))-AVERAGE(OFFSET($H$3,0,0,'Données projet'!$E$10+1,1))</f>
        <v>260.53994021583316</v>
      </c>
      <c r="AO183" s="59">
        <f t="shared" si="144"/>
        <v>669.20238852709122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7.8451467393331133E-21</v>
      </c>
      <c r="AX183" s="21">
        <f t="shared" si="166"/>
        <v>7.8451467393331133E-21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-1.1527845344971866E-13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279.20364724206644</v>
      </c>
      <c r="BJ183" s="59">
        <f t="shared" si="146"/>
        <v>173.99850582760712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5.4387387179914988E-2</v>
      </c>
      <c r="BR183" s="21">
        <f>EXP(-LN(2)/2)*BR182+(1-EXP(-LN(2)/2))/(LN(2)/2)*BL183*BO183*VLOOKUP('Données projet'!$B$11,Paramètres!$A$1:$I$89,3,0)*0.475*44/12</f>
        <v>1.8360334108658856E-22</v>
      </c>
      <c r="BS183" s="22">
        <f t="shared" si="169"/>
        <v>5.4387387179914988E-2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-1.2946657079737634E-13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327.06866218660838</v>
      </c>
      <c r="CE183" s="59">
        <f t="shared" si="148"/>
        <v>202.18198935334908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6.1081219448212112E-2</v>
      </c>
      <c r="CM183" s="21">
        <f>EXP(-LN(2)/2)*CM182+(1-EXP(-LN(2)/2))/(LN(2)/2)*CG183*CJ183*VLOOKUP('Données projet'!$B$12,Paramètres!$A$1:$I$89,3,0)*0.475*44/12</f>
        <v>2.0620067537417114E-22</v>
      </c>
      <c r="CN183" s="22">
        <f t="shared" si="172"/>
        <v>6.1081219448212112E-2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-5.1159076974727213E-13</v>
      </c>
      <c r="CU183" s="17">
        <f>CT183*VLOOKUP('Données projet'!$B$13,Paramètres!$A$1:$I$89,3,0)*VLOOKUP('Données projet'!$B$13,Paramètres!$A$1:$I$89,5,0)</f>
        <v>-4.1500243241898714E-13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266.72672633301022</v>
      </c>
      <c r="CZ183" s="59">
        <f t="shared" si="150"/>
        <v>314.26991662544219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0.13839264033468002</v>
      </c>
      <c r="DG183" s="21">
        <f>EXP(-LN(2)/25)*DG182+(1-EXP(-LN(2)/25))/(LN(2)/25)*Calculateur!DB183*Calculateur!DD183*VLOOKUP('Données projet'!$B$13,Paramètres!$A$1:$I$89,3,0)*0.475*44/12</f>
        <v>0.26522516470499341</v>
      </c>
      <c r="DH183" s="21">
        <f>EXP(-LN(2)/2)*DH182+(1-EXP(-LN(2)/2))/(LN(2)/2)*DB183*DE183*VLOOKUP('Données projet'!$B$13,Paramètres!$A$1:$I$89,3,0)*0.475*44/12</f>
        <v>6.4878456475338535E-22</v>
      </c>
      <c r="DI183" s="22">
        <f t="shared" si="175"/>
        <v>0.40361780503967343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-5.6843418860808015E-14</v>
      </c>
      <c r="DP183" s="17">
        <f>DO183*VLOOKUP('Données projet'!$B$14,Paramètres!$A$1:$I$89,3,0)*VLOOKUP('Données projet'!$B$14,Paramètres!$A$1:$I$89,5,0)</f>
        <v>-6.1186256061773749E-14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442.54137223086991</v>
      </c>
      <c r="DU183" s="59">
        <f t="shared" si="152"/>
        <v>454.23406186660714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0.1023117019617098</v>
      </c>
      <c r="EB183" s="21">
        <f>EXP(-LN(2)/25)*EB182+(1-EXP(-LN(2)/25))/(LN(2)/25)*Calculateur!DW183*Calculateur!DY183*VLOOKUP('Données projet'!$B$14,Paramètres!$A$1:$I$89,3,0)*0.475*44/12</f>
        <v>0.180493704568952</v>
      </c>
      <c r="EC183" s="21">
        <f>EXP(-LN(2)/2)*EC182+(1-EXP(-LN(2)/2))/(LN(2)/2)*DW183*DZ183*VLOOKUP('Données projet'!$B$14,Paramètres!$A$1:$I$89,3,0)*0.475*44/12</f>
        <v>4.7746791542127455E-22</v>
      </c>
      <c r="ED183" s="22">
        <f t="shared" si="178"/>
        <v>0.28280540653066177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201.49055911472067</v>
      </c>
      <c r="T184" s="59">
        <f t="shared" si="142"/>
        <v>403.37692064114719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3.7463342824988861</v>
      </c>
      <c r="AA184" s="21">
        <f>EXP(-LN(2)/25)*AA183+(1-EXP(-LN(2)/25))/(LN(2)/25)*Calculateur!V184*Calculateur!X184*VLOOKUP('Données projet'!$B$9,Paramètres!$A$1:$I$89,3,0)*0.475*44/12</f>
        <v>1.0265291421532248</v>
      </c>
      <c r="AB184" s="21">
        <f>EXP(-LN(2)/2)*AB183+(1-EXP(-LN(2)/2))/(LN(2)/2)*V184*Y184*VLOOKUP('Données projet'!$B$9,Paramètres!$A$1:$I$89,3,0)*0.475*44/12</f>
        <v>9.6043864335192494E-21</v>
      </c>
      <c r="AC184" s="22">
        <f t="shared" si="163"/>
        <v>4.7728634246521109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39.000000000000057</v>
      </c>
      <c r="AJ184" s="13">
        <f>AI184*VLOOKUP('Données projet'!$B$10,Paramètres!$A$1:$I$89,3,0)*VLOOKUP('Données projet'!$B$10,Paramètres!$A$1:$I$89,5,0)</f>
        <v>34.070400000000056</v>
      </c>
      <c r="AK184" s="13">
        <f t="shared" si="164"/>
        <v>10.412633617059328</v>
      </c>
      <c r="AL184" s="20">
        <f t="shared" si="165"/>
        <v>77.474616883045101</v>
      </c>
      <c r="AM184" s="59">
        <f t="shared" si="113"/>
        <v>370.8079502163784</v>
      </c>
      <c r="AN184" s="59">
        <f ca="1">AVERAGE(OFFSET($AM$3,0,0,'Données projet'!$E$10+1,1))-AVERAGE(OFFSET($H$3,0,0,'Données projet'!$E$10+1,1))</f>
        <v>260.53994021583316</v>
      </c>
      <c r="AO184" s="59">
        <f t="shared" si="144"/>
        <v>669.20238852709122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5.5473564587859766E-21</v>
      </c>
      <c r="AX184" s="21">
        <f t="shared" si="166"/>
        <v>5.5473564587859766E-21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-1.1527845344971866E-13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279.20364724206644</v>
      </c>
      <c r="BJ184" s="59">
        <f t="shared" si="146"/>
        <v>173.99850582760712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5.2900161217371823E-2</v>
      </c>
      <c r="BR184" s="21">
        <f>EXP(-LN(2)/2)*BR183+(1-EXP(-LN(2)/2))/(LN(2)/2)*BL184*BO184*VLOOKUP('Données projet'!$B$11,Paramètres!$A$1:$I$89,3,0)*0.475*44/12</f>
        <v>1.2982716753083343E-22</v>
      </c>
      <c r="BS184" s="22">
        <f t="shared" si="169"/>
        <v>5.2900161217371823E-2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-1.2946657079737634E-13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327.06866218660838</v>
      </c>
      <c r="CE184" s="59">
        <f t="shared" si="148"/>
        <v>202.18198935334908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5.9410950290279027E-2</v>
      </c>
      <c r="CM184" s="21">
        <f>EXP(-LN(2)/2)*CM183+(1-EXP(-LN(2)/2))/(LN(2)/2)*CG184*CJ184*VLOOKUP('Données projet'!$B$12,Paramètres!$A$1:$I$89,3,0)*0.475*44/12</f>
        <v>1.4580589584232236E-22</v>
      </c>
      <c r="CN184" s="22">
        <f t="shared" si="172"/>
        <v>5.9410950290279027E-2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-5.1159076974727213E-13</v>
      </c>
      <c r="CU184" s="17">
        <f>CT184*VLOOKUP('Données projet'!$B$13,Paramètres!$A$1:$I$89,3,0)*VLOOKUP('Données projet'!$B$13,Paramètres!$A$1:$I$89,5,0)</f>
        <v>-4.1500243241898714E-13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266.72672633301022</v>
      </c>
      <c r="CZ184" s="59">
        <f t="shared" si="150"/>
        <v>314.26991662544219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0.13567884506889263</v>
      </c>
      <c r="DG184" s="21">
        <f>EXP(-LN(2)/25)*DG183+(1-EXP(-LN(2)/25))/(LN(2)/25)*Calculateur!DB184*Calculateur!DD184*VLOOKUP('Données projet'!$B$13,Paramètres!$A$1:$I$89,3,0)*0.475*44/12</f>
        <v>0.25797256862855011</v>
      </c>
      <c r="DH184" s="21">
        <f>EXP(-LN(2)/2)*DH183+(1-EXP(-LN(2)/2))/(LN(2)/2)*DB184*DE184*VLOOKUP('Données projet'!$B$13,Paramètres!$A$1:$I$89,3,0)*0.475*44/12</f>
        <v>4.5875996526628152E-22</v>
      </c>
      <c r="DI184" s="22">
        <f t="shared" si="175"/>
        <v>0.39365141369744272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-5.6843418860808015E-14</v>
      </c>
      <c r="DP184" s="17">
        <f>DO184*VLOOKUP('Données projet'!$B$14,Paramètres!$A$1:$I$89,3,0)*VLOOKUP('Données projet'!$B$14,Paramètres!$A$1:$I$89,5,0)</f>
        <v>-6.1186256061773749E-14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442.54137223086991</v>
      </c>
      <c r="DU184" s="59">
        <f t="shared" si="152"/>
        <v>454.23406186660714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0.10030543189021698</v>
      </c>
      <c r="EB184" s="21">
        <f>EXP(-LN(2)/25)*EB183+(1-EXP(-LN(2)/25))/(LN(2)/25)*Calculateur!DW184*Calculateur!DY184*VLOOKUP('Données projet'!$B$14,Paramètres!$A$1:$I$89,3,0)*0.475*44/12</f>
        <v>0.17555809472576261</v>
      </c>
      <c r="EC184" s="21">
        <f>EXP(-LN(2)/2)*EC183+(1-EXP(-LN(2)/2))/(LN(2)/2)*DW184*DZ184*VLOOKUP('Données projet'!$B$14,Paramètres!$A$1:$I$89,3,0)*0.475*44/12</f>
        <v>3.3762080079338817E-22</v>
      </c>
      <c r="ED184" s="22">
        <f t="shared" si="178"/>
        <v>0.27586352661597957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201.49055911472067</v>
      </c>
      <c r="T185" s="59">
        <f t="shared" si="142"/>
        <v>403.37692064114719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3.6728709522573664</v>
      </c>
      <c r="AA185" s="21">
        <f>EXP(-LN(2)/25)*AA184+(1-EXP(-LN(2)/25))/(LN(2)/25)*Calculateur!V185*Calculateur!X185*VLOOKUP('Données projet'!$B$9,Paramètres!$A$1:$I$89,3,0)*0.475*44/12</f>
        <v>0.99845864877822343</v>
      </c>
      <c r="AB185" s="21">
        <f>EXP(-LN(2)/2)*AB184+(1-EXP(-LN(2)/2))/(LN(2)/2)*V185*Y185*VLOOKUP('Données projet'!$B$9,Paramètres!$A$1:$I$89,3,0)*0.475*44/12</f>
        <v>6.7913267762775413E-21</v>
      </c>
      <c r="AC185" s="22">
        <f t="shared" si="163"/>
        <v>4.6713296010355894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39.000000000000057</v>
      </c>
      <c r="AJ185" s="13">
        <f>AI185*VLOOKUP('Données projet'!$B$10,Paramètres!$A$1:$I$89,3,0)*VLOOKUP('Données projet'!$B$10,Paramètres!$A$1:$I$89,5,0)</f>
        <v>34.070400000000056</v>
      </c>
      <c r="AK185" s="13">
        <f t="shared" si="164"/>
        <v>10.412633617059328</v>
      </c>
      <c r="AL185" s="20">
        <f t="shared" si="165"/>
        <v>77.474616883045101</v>
      </c>
      <c r="AM185" s="59">
        <f t="shared" si="113"/>
        <v>370.8079502163784</v>
      </c>
      <c r="AN185" s="59">
        <f ca="1">AVERAGE(OFFSET($AM$3,0,0,'Données projet'!$E$10+1,1))-AVERAGE(OFFSET($H$3,0,0,'Données projet'!$E$10+1,1))</f>
        <v>260.53994021583316</v>
      </c>
      <c r="AO185" s="59">
        <f t="shared" si="144"/>
        <v>669.20238852709122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3.9225733696665566E-21</v>
      </c>
      <c r="AX185" s="21">
        <f t="shared" si="166"/>
        <v>3.9225733696665566E-21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-1.1527845344971866E-13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279.20364724206644</v>
      </c>
      <c r="BJ185" s="59">
        <f t="shared" si="146"/>
        <v>173.99850582760712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5.1453603526984214E-2</v>
      </c>
      <c r="BR185" s="21">
        <f>EXP(-LN(2)/2)*BR184+(1-EXP(-LN(2)/2))/(LN(2)/2)*BL185*BO185*VLOOKUP('Données projet'!$B$11,Paramètres!$A$1:$I$89,3,0)*0.475*44/12</f>
        <v>9.1801670543294279E-23</v>
      </c>
      <c r="BS185" s="22">
        <f t="shared" si="169"/>
        <v>5.1453603526984214E-2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-1.2946657079737634E-13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327.06866218660838</v>
      </c>
      <c r="CE185" s="59">
        <f t="shared" si="148"/>
        <v>202.18198935334908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5.7786354730305259E-2</v>
      </c>
      <c r="CM185" s="21">
        <f>EXP(-LN(2)/2)*CM184+(1-EXP(-LN(2)/2))/(LN(2)/2)*CG185*CJ185*VLOOKUP('Données projet'!$B$12,Paramètres!$A$1:$I$89,3,0)*0.475*44/12</f>
        <v>1.0310033768708558E-22</v>
      </c>
      <c r="CN185" s="22">
        <f t="shared" si="172"/>
        <v>5.7786354730305259E-2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-5.1159076974727213E-13</v>
      </c>
      <c r="CU185" s="17">
        <f>CT185*VLOOKUP('Données projet'!$B$13,Paramètres!$A$1:$I$89,3,0)*VLOOKUP('Données projet'!$B$13,Paramètres!$A$1:$I$89,5,0)</f>
        <v>-4.1500243241898714E-13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266.72672633301022</v>
      </c>
      <c r="CZ185" s="59">
        <f t="shared" si="150"/>
        <v>314.26991662544219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0.13301826567301567</v>
      </c>
      <c r="DG185" s="21">
        <f>EXP(-LN(2)/25)*DG184+(1-EXP(-LN(2)/25))/(LN(2)/25)*Calculateur!DB185*Calculateur!DD185*VLOOKUP('Données projet'!$B$13,Paramètres!$A$1:$I$89,3,0)*0.475*44/12</f>
        <v>0.25091829517321462</v>
      </c>
      <c r="DH185" s="21">
        <f>EXP(-LN(2)/2)*DH184+(1-EXP(-LN(2)/2))/(LN(2)/2)*DB185*DE185*VLOOKUP('Données projet'!$B$13,Paramètres!$A$1:$I$89,3,0)*0.475*44/12</f>
        <v>3.2439228237669267E-22</v>
      </c>
      <c r="DI185" s="22">
        <f t="shared" si="175"/>
        <v>0.38393656084623029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-5.6843418860808015E-14</v>
      </c>
      <c r="DP185" s="17">
        <f>DO185*VLOOKUP('Données projet'!$B$14,Paramètres!$A$1:$I$89,3,0)*VLOOKUP('Données projet'!$B$14,Paramètres!$A$1:$I$89,5,0)</f>
        <v>-6.1186256061773749E-14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442.54137223086991</v>
      </c>
      <c r="DU185" s="59">
        <f t="shared" si="152"/>
        <v>454.23406186660714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9.8338503551122225E-2</v>
      </c>
      <c r="EB185" s="21">
        <f>EXP(-LN(2)/25)*EB184+(1-EXP(-LN(2)/25))/(LN(2)/25)*Calculateur!DW185*Calculateur!DY185*VLOOKUP('Données projet'!$B$14,Paramètres!$A$1:$I$89,3,0)*0.475*44/12</f>
        <v>0.17075744939328769</v>
      </c>
      <c r="EC185" s="21">
        <f>EXP(-LN(2)/2)*EC184+(1-EXP(-LN(2)/2))/(LN(2)/2)*DW185*DZ185*VLOOKUP('Données projet'!$B$14,Paramètres!$A$1:$I$89,3,0)*0.475*44/12</f>
        <v>2.3873395771063728E-22</v>
      </c>
      <c r="ED185" s="22">
        <f t="shared" si="178"/>
        <v>0.26909595294440991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201.49055911472067</v>
      </c>
      <c r="T186" s="59">
        <f t="shared" si="142"/>
        <v>403.37692064114719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3.6008481931136758</v>
      </c>
      <c r="AA186" s="21">
        <f>EXP(-LN(2)/25)*AA185+(1-EXP(-LN(2)/25))/(LN(2)/25)*Calculateur!V186*Calculateur!X186*VLOOKUP('Données projet'!$B$9,Paramètres!$A$1:$I$89,3,0)*0.475*44/12</f>
        <v>0.97115574452072462</v>
      </c>
      <c r="AB186" s="21">
        <f>EXP(-LN(2)/2)*AB185+(1-EXP(-LN(2)/2))/(LN(2)/2)*V186*Y186*VLOOKUP('Données projet'!$B$9,Paramètres!$A$1:$I$89,3,0)*0.475*44/12</f>
        <v>4.8021932167596247E-21</v>
      </c>
      <c r="AC186" s="22">
        <f t="shared" si="163"/>
        <v>4.5720039376344008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39.000000000000057</v>
      </c>
      <c r="AJ186" s="13">
        <f>AI186*VLOOKUP('Données projet'!$B$10,Paramètres!$A$1:$I$89,3,0)*VLOOKUP('Données projet'!$B$10,Paramètres!$A$1:$I$89,5,0)</f>
        <v>34.070400000000056</v>
      </c>
      <c r="AK186" s="13">
        <f t="shared" si="164"/>
        <v>10.412633617059328</v>
      </c>
      <c r="AL186" s="20">
        <f t="shared" si="165"/>
        <v>77.474616883045101</v>
      </c>
      <c r="AM186" s="59">
        <f t="shared" si="113"/>
        <v>370.8079502163784</v>
      </c>
      <c r="AN186" s="59">
        <f ca="1">AVERAGE(OFFSET($AM$3,0,0,'Données projet'!$E$10+1,1))-AVERAGE(OFFSET($H$3,0,0,'Données projet'!$E$10+1,1))</f>
        <v>260.53994021583316</v>
      </c>
      <c r="AO186" s="59">
        <f t="shared" si="144"/>
        <v>669.20238852709122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2.7736782293929883E-21</v>
      </c>
      <c r="AX186" s="21">
        <f t="shared" si="166"/>
        <v>2.7736782293929883E-21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-1.1527845344971866E-13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279.20364724206644</v>
      </c>
      <c r="BJ186" s="59">
        <f t="shared" si="146"/>
        <v>173.99850582760712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5.0046602032711419E-2</v>
      </c>
      <c r="BR186" s="21">
        <f>EXP(-LN(2)/2)*BR185+(1-EXP(-LN(2)/2))/(LN(2)/2)*BL186*BO186*VLOOKUP('Données projet'!$B$11,Paramètres!$A$1:$I$89,3,0)*0.475*44/12</f>
        <v>6.4913583765416713E-23</v>
      </c>
      <c r="BS186" s="22">
        <f t="shared" si="169"/>
        <v>5.0046602032711419E-2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-1.2946657079737634E-13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327.06866218660838</v>
      </c>
      <c r="CE186" s="59">
        <f t="shared" si="148"/>
        <v>202.18198935334908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5.6206183821352736E-2</v>
      </c>
      <c r="CM186" s="21">
        <f>EXP(-LN(2)/2)*CM185+(1-EXP(-LN(2)/2))/(LN(2)/2)*CG186*CJ186*VLOOKUP('Données projet'!$B$12,Paramètres!$A$1:$I$89,3,0)*0.475*44/12</f>
        <v>7.290294792116119E-23</v>
      </c>
      <c r="CN186" s="22">
        <f t="shared" si="172"/>
        <v>5.6206183821352736E-2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-5.1159076974727213E-13</v>
      </c>
      <c r="CU186" s="17">
        <f>CT186*VLOOKUP('Données projet'!$B$13,Paramètres!$A$1:$I$89,3,0)*VLOOKUP('Données projet'!$B$13,Paramètres!$A$1:$I$89,5,0)</f>
        <v>-4.1500243241898714E-13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266.72672633301022</v>
      </c>
      <c r="CZ186" s="59">
        <f t="shared" si="150"/>
        <v>314.26991662544219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0.13040985861629867</v>
      </c>
      <c r="DG186" s="21">
        <f>EXP(-LN(2)/25)*DG185+(1-EXP(-LN(2)/25))/(LN(2)/25)*Calculateur!DB186*Calculateur!DD186*VLOOKUP('Données projet'!$B$13,Paramètres!$A$1:$I$89,3,0)*0.475*44/12</f>
        <v>0.2440569211964834</v>
      </c>
      <c r="DH186" s="21">
        <f>EXP(-LN(2)/2)*DH185+(1-EXP(-LN(2)/2))/(LN(2)/2)*DB186*DE186*VLOOKUP('Données projet'!$B$13,Paramètres!$A$1:$I$89,3,0)*0.475*44/12</f>
        <v>2.2937998263314076E-22</v>
      </c>
      <c r="DI186" s="22">
        <f t="shared" si="175"/>
        <v>0.37446677981278209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-5.6843418860808015E-14</v>
      </c>
      <c r="DP186" s="17">
        <f>DO186*VLOOKUP('Données projet'!$B$14,Paramètres!$A$1:$I$89,3,0)*VLOOKUP('Données projet'!$B$14,Paramètres!$A$1:$I$89,5,0)</f>
        <v>-6.1186256061773749E-14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442.54137223086991</v>
      </c>
      <c r="DU186" s="59">
        <f t="shared" si="152"/>
        <v>454.23406186660714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9.6410145477049292E-2</v>
      </c>
      <c r="EB186" s="21">
        <f>EXP(-LN(2)/25)*EB185+(1-EXP(-LN(2)/25))/(LN(2)/25)*Calculateur!DW186*Calculateur!DY186*VLOOKUP('Données projet'!$B$14,Paramètres!$A$1:$I$89,3,0)*0.475*44/12</f>
        <v>0.16608807795988423</v>
      </c>
      <c r="EC186" s="21">
        <f>EXP(-LN(2)/2)*EC185+(1-EXP(-LN(2)/2))/(LN(2)/2)*DW186*DZ186*VLOOKUP('Données projet'!$B$14,Paramètres!$A$1:$I$89,3,0)*0.475*44/12</f>
        <v>1.6881040039669408E-22</v>
      </c>
      <c r="ED186" s="22">
        <f t="shared" si="178"/>
        <v>0.26249822343693352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201.49055911472067</v>
      </c>
      <c r="T187" s="59">
        <f t="shared" si="142"/>
        <v>403.37692064114719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3.5302377563472476</v>
      </c>
      <c r="AA187" s="21">
        <f>EXP(-LN(2)/25)*AA186+(1-EXP(-LN(2)/25))/(LN(2)/25)*Calculateur!V187*Calculateur!X187*VLOOKUP('Données projet'!$B$9,Paramètres!$A$1:$I$89,3,0)*0.475*44/12</f>
        <v>0.94459943961594439</v>
      </c>
      <c r="AB187" s="21">
        <f>EXP(-LN(2)/2)*AB186+(1-EXP(-LN(2)/2))/(LN(2)/2)*V187*Y187*VLOOKUP('Données projet'!$B$9,Paramètres!$A$1:$I$89,3,0)*0.475*44/12</f>
        <v>3.3956633881387707E-21</v>
      </c>
      <c r="AC187" s="22">
        <f t="shared" si="163"/>
        <v>4.4748371959631923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39.000000000000057</v>
      </c>
      <c r="AJ187" s="13">
        <f>AI187*VLOOKUP('Données projet'!$B$10,Paramètres!$A$1:$I$89,3,0)*VLOOKUP('Données projet'!$B$10,Paramètres!$A$1:$I$89,5,0)</f>
        <v>34.070400000000056</v>
      </c>
      <c r="AK187" s="13">
        <f t="shared" si="164"/>
        <v>10.412633617059328</v>
      </c>
      <c r="AL187" s="20">
        <f t="shared" si="165"/>
        <v>77.474616883045101</v>
      </c>
      <c r="AM187" s="59">
        <f t="shared" si="113"/>
        <v>370.8079502163784</v>
      </c>
      <c r="AN187" s="59">
        <f ca="1">AVERAGE(OFFSET($AM$3,0,0,'Données projet'!$E$10+1,1))-AVERAGE(OFFSET($H$3,0,0,'Données projet'!$E$10+1,1))</f>
        <v>260.53994021583316</v>
      </c>
      <c r="AO187" s="59">
        <f t="shared" si="144"/>
        <v>669.20238852709122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1.9612866848332783E-21</v>
      </c>
      <c r="AX187" s="21">
        <f t="shared" si="166"/>
        <v>1.9612866848332783E-21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-1.1527845344971866E-13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279.20364724206644</v>
      </c>
      <c r="BJ187" s="59">
        <f t="shared" si="146"/>
        <v>173.99850582760712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4.8678075068290506E-2</v>
      </c>
      <c r="BR187" s="21">
        <f>EXP(-LN(2)/2)*BR186+(1-EXP(-LN(2)/2))/(LN(2)/2)*BL187*BO187*VLOOKUP('Données projet'!$B$11,Paramètres!$A$1:$I$89,3,0)*0.475*44/12</f>
        <v>4.5900835271647139E-23</v>
      </c>
      <c r="BS187" s="22">
        <f t="shared" si="169"/>
        <v>4.8678075068290506E-2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-1.2946657079737634E-13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327.06866218660838</v>
      </c>
      <c r="CE187" s="59">
        <f t="shared" si="148"/>
        <v>202.18198935334908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5.4669222769003101E-2</v>
      </c>
      <c r="CM187" s="21">
        <f>EXP(-LN(2)/2)*CM186+(1-EXP(-LN(2)/2))/(LN(2)/2)*CG187*CJ187*VLOOKUP('Données projet'!$B$12,Paramètres!$A$1:$I$89,3,0)*0.475*44/12</f>
        <v>5.1550168843542797E-23</v>
      </c>
      <c r="CN187" s="22">
        <f t="shared" si="172"/>
        <v>5.4669222769003101E-2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-5.1159076974727213E-13</v>
      </c>
      <c r="CU187" s="17">
        <f>CT187*VLOOKUP('Données projet'!$B$13,Paramètres!$A$1:$I$89,3,0)*VLOOKUP('Données projet'!$B$13,Paramètres!$A$1:$I$89,5,0)</f>
        <v>-4.1500243241898714E-13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266.72672633301022</v>
      </c>
      <c r="CZ187" s="59">
        <f t="shared" si="150"/>
        <v>314.26991662544219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0.12785260083099267</v>
      </c>
      <c r="DG187" s="21">
        <f>EXP(-LN(2)/25)*DG186+(1-EXP(-LN(2)/25))/(LN(2)/25)*Calculateur!DB187*Calculateur!DD187*VLOOKUP('Données projet'!$B$13,Paramètres!$A$1:$I$89,3,0)*0.475*44/12</f>
        <v>0.23738317185196986</v>
      </c>
      <c r="DH187" s="21">
        <f>EXP(-LN(2)/2)*DH186+(1-EXP(-LN(2)/2))/(LN(2)/2)*DB187*DE187*VLOOKUP('Données projet'!$B$13,Paramètres!$A$1:$I$89,3,0)*0.475*44/12</f>
        <v>1.6219614118834634E-22</v>
      </c>
      <c r="DI187" s="22">
        <f t="shared" si="175"/>
        <v>0.36523577268296253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-5.6843418860808015E-14</v>
      </c>
      <c r="DP187" s="17">
        <f>DO187*VLOOKUP('Données projet'!$B$14,Paramètres!$A$1:$I$89,3,0)*VLOOKUP('Données projet'!$B$14,Paramètres!$A$1:$I$89,5,0)</f>
        <v>-6.1186256061773749E-14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442.54137223086991</v>
      </c>
      <c r="DU187" s="59">
        <f t="shared" si="152"/>
        <v>454.23406186660714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9.4519601328626648E-2</v>
      </c>
      <c r="EB187" s="21">
        <f>EXP(-LN(2)/25)*EB186+(1-EXP(-LN(2)/25))/(LN(2)/25)*Calculateur!DW187*Calculateur!DY187*VLOOKUP('Données projet'!$B$14,Paramètres!$A$1:$I$89,3,0)*0.475*44/12</f>
        <v>0.16154639073387878</v>
      </c>
      <c r="EC187" s="21">
        <f>EXP(-LN(2)/2)*EC186+(1-EXP(-LN(2)/2))/(LN(2)/2)*DW187*DZ187*VLOOKUP('Données projet'!$B$14,Paramètres!$A$1:$I$89,3,0)*0.475*44/12</f>
        <v>1.1936697885531864E-22</v>
      </c>
      <c r="ED187" s="22">
        <f t="shared" si="178"/>
        <v>0.25606599206250541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201.49055911472067</v>
      </c>
      <c r="T188" s="59">
        <f t="shared" si="142"/>
        <v>403.37692064114719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3.4610119471776954</v>
      </c>
      <c r="AA188" s="21">
        <f>EXP(-LN(2)/25)*AA187+(1-EXP(-LN(2)/25))/(LN(2)/25)*Calculateur!V188*Calculateur!X188*VLOOKUP('Données projet'!$B$9,Paramètres!$A$1:$I$89,3,0)*0.475*44/12</f>
        <v>0.91876931826532082</v>
      </c>
      <c r="AB188" s="21">
        <f>EXP(-LN(2)/2)*AB187+(1-EXP(-LN(2)/2))/(LN(2)/2)*V188*Y188*VLOOKUP('Données projet'!$B$9,Paramètres!$A$1:$I$89,3,0)*0.475*44/12</f>
        <v>2.4010966083798123E-21</v>
      </c>
      <c r="AC188" s="22">
        <f t="shared" si="163"/>
        <v>4.3797812654430164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39.000000000000057</v>
      </c>
      <c r="AJ188" s="13">
        <f>AI188*VLOOKUP('Données projet'!$B$10,Paramètres!$A$1:$I$89,3,0)*VLOOKUP('Données projet'!$B$10,Paramètres!$A$1:$I$89,5,0)</f>
        <v>34.070400000000056</v>
      </c>
      <c r="AK188" s="13">
        <f t="shared" si="164"/>
        <v>10.412633617059328</v>
      </c>
      <c r="AL188" s="20">
        <f t="shared" si="165"/>
        <v>77.474616883045101</v>
      </c>
      <c r="AM188" s="59">
        <f t="shared" si="113"/>
        <v>370.8079502163784</v>
      </c>
      <c r="AN188" s="59">
        <f ca="1">AVERAGE(OFFSET($AM$3,0,0,'Données projet'!$E$10+1,1))-AVERAGE(OFFSET($H$3,0,0,'Données projet'!$E$10+1,1))</f>
        <v>260.53994021583316</v>
      </c>
      <c r="AO188" s="59">
        <f t="shared" si="144"/>
        <v>669.20238852709122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1.3868391146964942E-21</v>
      </c>
      <c r="AX188" s="21">
        <f t="shared" si="166"/>
        <v>1.3868391146964942E-21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-1.1527845344971866E-13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279.20364724206644</v>
      </c>
      <c r="BJ188" s="59">
        <f t="shared" si="146"/>
        <v>173.99850582760712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4.7346970545679393E-2</v>
      </c>
      <c r="BR188" s="21">
        <f>EXP(-LN(2)/2)*BR187+(1-EXP(-LN(2)/2))/(LN(2)/2)*BL188*BO188*VLOOKUP('Données projet'!$B$11,Paramètres!$A$1:$I$89,3,0)*0.475*44/12</f>
        <v>3.2456791882708356E-23</v>
      </c>
      <c r="BS188" s="22">
        <f t="shared" si="169"/>
        <v>4.7346970545679393E-2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-1.2946657079737634E-13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327.06866218660838</v>
      </c>
      <c r="CE188" s="59">
        <f t="shared" si="148"/>
        <v>202.18198935334908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5.3174289997455236E-2</v>
      </c>
      <c r="CM188" s="21">
        <f>EXP(-LN(2)/2)*CM187+(1-EXP(-LN(2)/2))/(LN(2)/2)*CG188*CJ188*VLOOKUP('Données projet'!$B$12,Paramètres!$A$1:$I$89,3,0)*0.475*44/12</f>
        <v>3.6451473960580601E-23</v>
      </c>
      <c r="CN188" s="22">
        <f t="shared" si="172"/>
        <v>5.3174289997455236E-2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-5.1159076974727213E-13</v>
      </c>
      <c r="CU188" s="17">
        <f>CT188*VLOOKUP('Données projet'!$B$13,Paramètres!$A$1:$I$89,3,0)*VLOOKUP('Données projet'!$B$13,Paramètres!$A$1:$I$89,5,0)</f>
        <v>-4.1500243241898714E-13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266.72672633301022</v>
      </c>
      <c r="CZ188" s="59">
        <f t="shared" si="150"/>
        <v>314.26991662544219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0.1253454893110833</v>
      </c>
      <c r="DG188" s="21">
        <f>EXP(-LN(2)/25)*DG187+(1-EXP(-LN(2)/25))/(LN(2)/25)*Calculateur!DB188*Calculateur!DD188*VLOOKUP('Données projet'!$B$13,Paramètres!$A$1:$I$89,3,0)*0.475*44/12</f>
        <v>0.23089191653423929</v>
      </c>
      <c r="DH188" s="21">
        <f>EXP(-LN(2)/2)*DH187+(1-EXP(-LN(2)/2))/(LN(2)/2)*DB188*DE188*VLOOKUP('Données projet'!$B$13,Paramètres!$A$1:$I$89,3,0)*0.475*44/12</f>
        <v>1.1468999131657038E-22</v>
      </c>
      <c r="DI188" s="22">
        <f t="shared" si="175"/>
        <v>0.3562374058453226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-5.6843418860808015E-14</v>
      </c>
      <c r="DP188" s="17">
        <f>DO188*VLOOKUP('Données projet'!$B$14,Paramètres!$A$1:$I$89,3,0)*VLOOKUP('Données projet'!$B$14,Paramètres!$A$1:$I$89,5,0)</f>
        <v>-6.1186256061773749E-14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442.54137223086991</v>
      </c>
      <c r="DU188" s="59">
        <f t="shared" si="152"/>
        <v>454.23406186660714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9.2666129597836502E-2</v>
      </c>
      <c r="EB188" s="21">
        <f>EXP(-LN(2)/25)*EB187+(1-EXP(-LN(2)/25))/(LN(2)/25)*Calculateur!DW188*Calculateur!DY188*VLOOKUP('Données projet'!$B$14,Paramètres!$A$1:$I$89,3,0)*0.475*44/12</f>
        <v>0.15712889618390538</v>
      </c>
      <c r="EC188" s="21">
        <f>EXP(-LN(2)/2)*EC187+(1-EXP(-LN(2)/2))/(LN(2)/2)*DW188*DZ188*VLOOKUP('Données projet'!$B$14,Paramètres!$A$1:$I$89,3,0)*0.475*44/12</f>
        <v>8.4405200198347042E-23</v>
      </c>
      <c r="ED188" s="22">
        <f t="shared" si="178"/>
        <v>0.2497950257817419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201.49055911472067</v>
      </c>
      <c r="T189" s="59">
        <f t="shared" si="142"/>
        <v>403.37692064114719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3.3931436139023838</v>
      </c>
      <c r="AA189" s="21">
        <f>EXP(-LN(2)/25)*AA188+(1-EXP(-LN(2)/25))/(LN(2)/25)*Calculateur!V189*Calculateur!X189*VLOOKUP('Données projet'!$B$9,Paramètres!$A$1:$I$89,3,0)*0.475*44/12</f>
        <v>0.893645522941377</v>
      </c>
      <c r="AB189" s="21">
        <f>EXP(-LN(2)/2)*AB188+(1-EXP(-LN(2)/2))/(LN(2)/2)*V189*Y189*VLOOKUP('Données projet'!$B$9,Paramètres!$A$1:$I$89,3,0)*0.475*44/12</f>
        <v>1.6978316940693853E-21</v>
      </c>
      <c r="AC189" s="22">
        <f t="shared" si="163"/>
        <v>4.286789136843761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39.000000000000057</v>
      </c>
      <c r="AJ189" s="13">
        <f>AI189*VLOOKUP('Données projet'!$B$10,Paramètres!$A$1:$I$89,3,0)*VLOOKUP('Données projet'!$B$10,Paramètres!$A$1:$I$89,5,0)</f>
        <v>34.070400000000056</v>
      </c>
      <c r="AK189" s="13">
        <f t="shared" si="164"/>
        <v>10.412633617059328</v>
      </c>
      <c r="AL189" s="20">
        <f t="shared" si="165"/>
        <v>77.474616883045101</v>
      </c>
      <c r="AM189" s="59">
        <f t="shared" si="113"/>
        <v>370.8079502163784</v>
      </c>
      <c r="AN189" s="59">
        <f ca="1">AVERAGE(OFFSET($AM$3,0,0,'Données projet'!$E$10+1,1))-AVERAGE(OFFSET($H$3,0,0,'Données projet'!$E$10+1,1))</f>
        <v>260.53994021583316</v>
      </c>
      <c r="AO189" s="59">
        <f t="shared" si="144"/>
        <v>669.20238852709122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9.8064334241663916E-22</v>
      </c>
      <c r="AX189" s="21">
        <f t="shared" si="166"/>
        <v>9.8064334241663916E-22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-1.1527845344971866E-13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279.20364724206644</v>
      </c>
      <c r="BJ189" s="59">
        <f t="shared" si="146"/>
        <v>173.99850582760712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4.6052265146238822E-2</v>
      </c>
      <c r="BR189" s="21">
        <f>EXP(-LN(2)/2)*BR188+(1-EXP(-LN(2)/2))/(LN(2)/2)*BL189*BO189*VLOOKUP('Données projet'!$B$11,Paramètres!$A$1:$I$89,3,0)*0.475*44/12</f>
        <v>2.295041763582357E-23</v>
      </c>
      <c r="BS189" s="22">
        <f t="shared" si="169"/>
        <v>4.6052265146238822E-2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-1.2946657079737634E-13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327.06866218660838</v>
      </c>
      <c r="CE189" s="59">
        <f t="shared" si="148"/>
        <v>202.18198935334908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5.1720236241160442E-2</v>
      </c>
      <c r="CM189" s="21">
        <f>EXP(-LN(2)/2)*CM188+(1-EXP(-LN(2)/2))/(LN(2)/2)*CG189*CJ189*VLOOKUP('Données projet'!$B$12,Paramètres!$A$1:$I$89,3,0)*0.475*44/12</f>
        <v>2.5775084421771404E-23</v>
      </c>
      <c r="CN189" s="22">
        <f t="shared" si="172"/>
        <v>5.1720236241160442E-2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-5.1159076974727213E-13</v>
      </c>
      <c r="CU189" s="17">
        <f>CT189*VLOOKUP('Données projet'!$B$13,Paramètres!$A$1:$I$89,3,0)*VLOOKUP('Données projet'!$B$13,Paramètres!$A$1:$I$89,5,0)</f>
        <v>-4.1500243241898714E-13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266.72672633301022</v>
      </c>
      <c r="CZ189" s="59">
        <f t="shared" si="150"/>
        <v>314.26991662544219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0.12288754071889231</v>
      </c>
      <c r="DG189" s="21">
        <f>EXP(-LN(2)/25)*DG188+(1-EXP(-LN(2)/25))/(LN(2)/25)*Calculateur!DB189*Calculateur!DD189*VLOOKUP('Données projet'!$B$13,Paramètres!$A$1:$I$89,3,0)*0.475*44/12</f>
        <v>0.22457816493453234</v>
      </c>
      <c r="DH189" s="21">
        <f>EXP(-LN(2)/2)*DH188+(1-EXP(-LN(2)/2))/(LN(2)/2)*DB189*DE189*VLOOKUP('Données projet'!$B$13,Paramètres!$A$1:$I$89,3,0)*0.475*44/12</f>
        <v>8.1098070594173168E-23</v>
      </c>
      <c r="DI189" s="22">
        <f t="shared" si="175"/>
        <v>0.34746570565342466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-5.6843418860808015E-14</v>
      </c>
      <c r="DP189" s="17">
        <f>DO189*VLOOKUP('Données projet'!$B$14,Paramètres!$A$1:$I$89,3,0)*VLOOKUP('Données projet'!$B$14,Paramètres!$A$1:$I$89,5,0)</f>
        <v>-6.1186256061773749E-14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442.54137223086991</v>
      </c>
      <c r="DU189" s="59">
        <f t="shared" si="152"/>
        <v>454.23406186660714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9.0849003317181015E-2</v>
      </c>
      <c r="EB189" s="21">
        <f>EXP(-LN(2)/25)*EB188+(1-EXP(-LN(2)/25))/(LN(2)/25)*Calculateur!DW189*Calculateur!DY189*VLOOKUP('Données projet'!$B$14,Paramètres!$A$1:$I$89,3,0)*0.475*44/12</f>
        <v>0.15283219825470695</v>
      </c>
      <c r="EC189" s="21">
        <f>EXP(-LN(2)/2)*EC188+(1-EXP(-LN(2)/2))/(LN(2)/2)*DW189*DZ189*VLOOKUP('Données projet'!$B$14,Paramètres!$A$1:$I$89,3,0)*0.475*44/12</f>
        <v>5.9683489427659319E-23</v>
      </c>
      <c r="ED189" s="22">
        <f t="shared" si="178"/>
        <v>0.24368120157188797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201.49055911472067</v>
      </c>
      <c r="T190" s="59">
        <f t="shared" si="142"/>
        <v>403.37692064114719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3.3266061372470053</v>
      </c>
      <c r="AA190" s="21">
        <f>EXP(-LN(2)/25)*AA189+(1-EXP(-LN(2)/25))/(LN(2)/25)*Calculateur!V190*Calculateur!X190*VLOOKUP('Données projet'!$B$9,Paramètres!$A$1:$I$89,3,0)*0.475*44/12</f>
        <v>0.86920873912176944</v>
      </c>
      <c r="AB190" s="21">
        <f>EXP(-LN(2)/2)*AB189+(1-EXP(-LN(2)/2))/(LN(2)/2)*V190*Y190*VLOOKUP('Données projet'!$B$9,Paramètres!$A$1:$I$89,3,0)*0.475*44/12</f>
        <v>1.2005483041899062E-21</v>
      </c>
      <c r="AC190" s="22">
        <f t="shared" si="163"/>
        <v>4.1958148763687744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39.000000000000057</v>
      </c>
      <c r="AJ190" s="13">
        <f>AI190*VLOOKUP('Données projet'!$B$10,Paramètres!$A$1:$I$89,3,0)*VLOOKUP('Données projet'!$B$10,Paramètres!$A$1:$I$89,5,0)</f>
        <v>34.070400000000056</v>
      </c>
      <c r="AK190" s="13">
        <f t="shared" si="164"/>
        <v>10.412633617059328</v>
      </c>
      <c r="AL190" s="20">
        <f t="shared" si="165"/>
        <v>77.474616883045101</v>
      </c>
      <c r="AM190" s="59">
        <f t="shared" si="113"/>
        <v>370.8079502163784</v>
      </c>
      <c r="AN190" s="59">
        <f ca="1">AVERAGE(OFFSET($AM$3,0,0,'Données projet'!$E$10+1,1))-AVERAGE(OFFSET($H$3,0,0,'Données projet'!$E$10+1,1))</f>
        <v>260.53994021583316</v>
      </c>
      <c r="AO190" s="59">
        <f t="shared" si="144"/>
        <v>669.20238852709122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6.9341955734824708E-22</v>
      </c>
      <c r="AX190" s="21">
        <f t="shared" si="166"/>
        <v>6.9341955734824708E-22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-1.1527845344971866E-13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279.20364724206644</v>
      </c>
      <c r="BJ190" s="59">
        <f t="shared" si="146"/>
        <v>173.99850582760712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4.4792963534031553E-2</v>
      </c>
      <c r="BR190" s="21">
        <f>EXP(-LN(2)/2)*BR189+(1-EXP(-LN(2)/2))/(LN(2)/2)*BL190*BO190*VLOOKUP('Données projet'!$B$11,Paramètres!$A$1:$I$89,3,0)*0.475*44/12</f>
        <v>1.6228395941354178E-23</v>
      </c>
      <c r="BS190" s="22">
        <f t="shared" si="169"/>
        <v>4.4792963534031553E-2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-1.2946657079737634E-13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327.06866218660838</v>
      </c>
      <c r="CE190" s="59">
        <f t="shared" si="148"/>
        <v>202.18198935334908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5.0305943661296891E-2</v>
      </c>
      <c r="CM190" s="21">
        <f>EXP(-LN(2)/2)*CM189+(1-EXP(-LN(2)/2))/(LN(2)/2)*CG190*CJ190*VLOOKUP('Données projet'!$B$12,Paramètres!$A$1:$I$89,3,0)*0.475*44/12</f>
        <v>1.8225736980290303E-23</v>
      </c>
      <c r="CN190" s="22">
        <f t="shared" si="172"/>
        <v>5.0305943661296891E-2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-5.1159076974727213E-13</v>
      </c>
      <c r="CU190" s="17">
        <f>CT190*VLOOKUP('Données projet'!$B$13,Paramètres!$A$1:$I$89,3,0)*VLOOKUP('Données projet'!$B$13,Paramètres!$A$1:$I$89,5,0)</f>
        <v>-4.1500243241898714E-13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266.72672633301022</v>
      </c>
      <c r="CZ190" s="59">
        <f t="shared" si="150"/>
        <v>314.26991662544219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0.12047779099939358</v>
      </c>
      <c r="DG190" s="21">
        <f>EXP(-LN(2)/25)*DG189+(1-EXP(-LN(2)/25))/(LN(2)/25)*Calculateur!DB190*Calculateur!DD190*VLOOKUP('Données projet'!$B$13,Paramètres!$A$1:$I$89,3,0)*0.475*44/12</f>
        <v>0.21843706320434514</v>
      </c>
      <c r="DH190" s="21">
        <f>EXP(-LN(2)/2)*DH189+(1-EXP(-LN(2)/2))/(LN(2)/2)*DB190*DE190*VLOOKUP('Données projet'!$B$13,Paramètres!$A$1:$I$89,3,0)*0.475*44/12</f>
        <v>5.734499565828519E-23</v>
      </c>
      <c r="DI190" s="22">
        <f t="shared" si="175"/>
        <v>0.33891485420373874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-5.6843418860808015E-14</v>
      </c>
      <c r="DP190" s="17">
        <f>DO190*VLOOKUP('Données projet'!$B$14,Paramètres!$A$1:$I$89,3,0)*VLOOKUP('Données projet'!$B$14,Paramètres!$A$1:$I$89,5,0)</f>
        <v>-6.1186256061773749E-14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442.54137223086991</v>
      </c>
      <c r="DU190" s="59">
        <f t="shared" si="152"/>
        <v>454.23406186660714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8.9067509774551593E-2</v>
      </c>
      <c r="EB190" s="21">
        <f>EXP(-LN(2)/25)*EB189+(1-EXP(-LN(2)/25))/(LN(2)/25)*Calculateur!DW190*Calculateur!DY190*VLOOKUP('Données projet'!$B$14,Paramètres!$A$1:$I$89,3,0)*0.475*44/12</f>
        <v>0.14865299375633598</v>
      </c>
      <c r="EC190" s="21">
        <f>EXP(-LN(2)/2)*EC189+(1-EXP(-LN(2)/2))/(LN(2)/2)*DW190*DZ190*VLOOKUP('Données projet'!$B$14,Paramètres!$A$1:$I$89,3,0)*0.475*44/12</f>
        <v>4.2202600099173521E-23</v>
      </c>
      <c r="ED190" s="22">
        <f t="shared" si="178"/>
        <v>0.23772050353088758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201.49055911472067</v>
      </c>
      <c r="T191" s="59">
        <f t="shared" si="142"/>
        <v>403.37692064114719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3.2613734199249853</v>
      </c>
      <c r="AA191" s="21">
        <f>EXP(-LN(2)/25)*AA190+(1-EXP(-LN(2)/25))/(LN(2)/25)*Calculateur!V191*Calculateur!X191*VLOOKUP('Données projet'!$B$9,Paramètres!$A$1:$I$89,3,0)*0.475*44/12</f>
        <v>0.84544018044078362</v>
      </c>
      <c r="AB191" s="21">
        <f>EXP(-LN(2)/2)*AB190+(1-EXP(-LN(2)/2))/(LN(2)/2)*V191*Y191*VLOOKUP('Données projet'!$B$9,Paramètres!$A$1:$I$89,3,0)*0.475*44/12</f>
        <v>8.4891584703469267E-22</v>
      </c>
      <c r="AC191" s="22">
        <f t="shared" si="163"/>
        <v>4.1068136003657685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39.000000000000057</v>
      </c>
      <c r="AJ191" s="13">
        <f>AI191*VLOOKUP('Données projet'!$B$10,Paramètres!$A$1:$I$89,3,0)*VLOOKUP('Données projet'!$B$10,Paramètres!$A$1:$I$89,5,0)</f>
        <v>34.070400000000056</v>
      </c>
      <c r="AK191" s="13">
        <f t="shared" si="164"/>
        <v>10.412633617059328</v>
      </c>
      <c r="AL191" s="20">
        <f t="shared" si="165"/>
        <v>77.474616883045101</v>
      </c>
      <c r="AM191" s="59">
        <f t="shared" si="113"/>
        <v>370.8079502163784</v>
      </c>
      <c r="AN191" s="59">
        <f ca="1">AVERAGE(OFFSET($AM$3,0,0,'Données projet'!$E$10+1,1))-AVERAGE(OFFSET($H$3,0,0,'Données projet'!$E$10+1,1))</f>
        <v>260.53994021583316</v>
      </c>
      <c r="AO191" s="59">
        <f t="shared" si="144"/>
        <v>669.20238852709122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4.9032167120831958E-22</v>
      </c>
      <c r="AX191" s="21">
        <f t="shared" si="166"/>
        <v>4.9032167120831958E-22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-1.1527845344971866E-13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279.20364724206644</v>
      </c>
      <c r="BJ191" s="59">
        <f t="shared" si="146"/>
        <v>173.99850582760712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4.3568097590633882E-2</v>
      </c>
      <c r="BR191" s="21">
        <f>EXP(-LN(2)/2)*BR190+(1-EXP(-LN(2)/2))/(LN(2)/2)*BL191*BO191*VLOOKUP('Données projet'!$B$11,Paramètres!$A$1:$I$89,3,0)*0.475*44/12</f>
        <v>1.1475208817911785E-23</v>
      </c>
      <c r="BS191" s="22">
        <f t="shared" si="169"/>
        <v>4.3568097590633882E-2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-1.2946657079737634E-13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327.06866218660838</v>
      </c>
      <c r="CE191" s="59">
        <f t="shared" si="148"/>
        <v>202.18198935334908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4.8930324986404129E-2</v>
      </c>
      <c r="CM191" s="21">
        <f>EXP(-LN(2)/2)*CM190+(1-EXP(-LN(2)/2))/(LN(2)/2)*CG191*CJ191*VLOOKUP('Données projet'!$B$12,Paramètres!$A$1:$I$89,3,0)*0.475*44/12</f>
        <v>1.2887542210885704E-23</v>
      </c>
      <c r="CN191" s="22">
        <f t="shared" si="172"/>
        <v>4.8930324986404129E-2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-5.1159076974727213E-13</v>
      </c>
      <c r="CU191" s="17">
        <f>CT191*VLOOKUP('Données projet'!$B$13,Paramètres!$A$1:$I$89,3,0)*VLOOKUP('Données projet'!$B$13,Paramètres!$A$1:$I$89,5,0)</f>
        <v>-4.1500243241898714E-13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266.72672633301022</v>
      </c>
      <c r="CZ191" s="59">
        <f t="shared" si="150"/>
        <v>314.26991662544219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0.11811529500209202</v>
      </c>
      <c r="DG191" s="21">
        <f>EXP(-LN(2)/25)*DG190+(1-EXP(-LN(2)/25))/(LN(2)/25)*Calculateur!DB191*Calculateur!DD191*VLOOKUP('Données projet'!$B$13,Paramètres!$A$1:$I$89,3,0)*0.475*44/12</f>
        <v>0.2124638902239164</v>
      </c>
      <c r="DH191" s="21">
        <f>EXP(-LN(2)/2)*DH190+(1-EXP(-LN(2)/2))/(LN(2)/2)*DB191*DE191*VLOOKUP('Données projet'!$B$13,Paramètres!$A$1:$I$89,3,0)*0.475*44/12</f>
        <v>4.0549035297086584E-23</v>
      </c>
      <c r="DI191" s="22">
        <f t="shared" si="175"/>
        <v>0.33057918522600843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-5.6843418860808015E-14</v>
      </c>
      <c r="DP191" s="17">
        <f>DO191*VLOOKUP('Données projet'!$B$14,Paramètres!$A$1:$I$89,3,0)*VLOOKUP('Données projet'!$B$14,Paramètres!$A$1:$I$89,5,0)</f>
        <v>-6.1186256061773749E-14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442.54137223086991</v>
      </c>
      <c r="DU191" s="59">
        <f t="shared" si="152"/>
        <v>454.23406186660714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8.7320950233689368E-2</v>
      </c>
      <c r="EB191" s="21">
        <f>EXP(-LN(2)/25)*EB190+(1-EXP(-LN(2)/25))/(LN(2)/25)*Calculateur!DW191*Calculateur!DY191*VLOOKUP('Données projet'!$B$14,Paramètres!$A$1:$I$89,3,0)*0.475*44/12</f>
        <v>0.14458806982474778</v>
      </c>
      <c r="EC191" s="21">
        <f>EXP(-LN(2)/2)*EC190+(1-EXP(-LN(2)/2))/(LN(2)/2)*DW191*DZ191*VLOOKUP('Données projet'!$B$14,Paramètres!$A$1:$I$89,3,0)*0.475*44/12</f>
        <v>2.984174471382966E-23</v>
      </c>
      <c r="ED191" s="22">
        <f t="shared" si="178"/>
        <v>0.23190902005843717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201.49055911472067</v>
      </c>
      <c r="T192" s="59">
        <f t="shared" si="142"/>
        <v>403.37692064114719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3.1974198764016211</v>
      </c>
      <c r="AA192" s="21">
        <f>EXP(-LN(2)/25)*AA191+(1-EXP(-LN(2)/25))/(LN(2)/25)*Calculateur!V192*Calculateur!X192*VLOOKUP('Données projet'!$B$9,Paramètres!$A$1:$I$89,3,0)*0.475*44/12</f>
        <v>0.82232157424686358</v>
      </c>
      <c r="AB192" s="21">
        <f>EXP(-LN(2)/2)*AB191+(1-EXP(-LN(2)/2))/(LN(2)/2)*V192*Y192*VLOOKUP('Données projet'!$B$9,Paramètres!$A$1:$I$89,3,0)*0.475*44/12</f>
        <v>6.0027415209495309E-22</v>
      </c>
      <c r="AC192" s="22">
        <f t="shared" si="163"/>
        <v>4.0197414506484845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39.000000000000057</v>
      </c>
      <c r="AJ192" s="13">
        <f>AI192*VLOOKUP('Données projet'!$B$10,Paramètres!$A$1:$I$89,3,0)*VLOOKUP('Données projet'!$B$10,Paramètres!$A$1:$I$89,5,0)</f>
        <v>34.070400000000056</v>
      </c>
      <c r="AK192" s="13">
        <f t="shared" si="164"/>
        <v>10.412633617059328</v>
      </c>
      <c r="AL192" s="20">
        <f t="shared" si="165"/>
        <v>77.474616883045101</v>
      </c>
      <c r="AM192" s="59">
        <f t="shared" si="113"/>
        <v>370.8079502163784</v>
      </c>
      <c r="AN192" s="59">
        <f ca="1">AVERAGE(OFFSET($AM$3,0,0,'Données projet'!$E$10+1,1))-AVERAGE(OFFSET($H$3,0,0,'Données projet'!$E$10+1,1))</f>
        <v>260.53994021583316</v>
      </c>
      <c r="AO192" s="59">
        <f t="shared" si="144"/>
        <v>669.20238852709122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3.4670977867412354E-22</v>
      </c>
      <c r="AX192" s="21">
        <f t="shared" si="166"/>
        <v>3.4670977867412354E-22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-1.1527845344971866E-13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279.20364724206644</v>
      </c>
      <c r="BJ192" s="59">
        <f t="shared" si="146"/>
        <v>173.99850582760712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4.2376725670871321E-2</v>
      </c>
      <c r="BR192" s="21">
        <f>EXP(-LN(2)/2)*BR191+(1-EXP(-LN(2)/2))/(LN(2)/2)*BL192*BO192*VLOOKUP('Données projet'!$B$11,Paramètres!$A$1:$I$89,3,0)*0.475*44/12</f>
        <v>8.1141979706770891E-24</v>
      </c>
      <c r="BS192" s="22">
        <f t="shared" si="169"/>
        <v>4.2376725670871321E-2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-1.2946657079737634E-13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327.06866218660838</v>
      </c>
      <c r="CE192" s="59">
        <f t="shared" si="148"/>
        <v>202.18198935334908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4.7592322676516946E-2</v>
      </c>
      <c r="CM192" s="21">
        <f>EXP(-LN(2)/2)*CM191+(1-EXP(-LN(2)/2))/(LN(2)/2)*CG192*CJ192*VLOOKUP('Données projet'!$B$12,Paramètres!$A$1:$I$89,3,0)*0.475*44/12</f>
        <v>9.1128684901451531E-24</v>
      </c>
      <c r="CN192" s="22">
        <f t="shared" si="172"/>
        <v>4.7592322676516946E-2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-5.1159076974727213E-13</v>
      </c>
      <c r="CU192" s="17">
        <f>CT192*VLOOKUP('Données projet'!$B$13,Paramètres!$A$1:$I$89,3,0)*VLOOKUP('Données projet'!$B$13,Paramètres!$A$1:$I$89,5,0)</f>
        <v>-4.1500243241898714E-13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266.72672633301022</v>
      </c>
      <c r="CZ192" s="59">
        <f t="shared" si="150"/>
        <v>314.26991662544219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0.11579912611031727</v>
      </c>
      <c r="DG192" s="21">
        <f>EXP(-LN(2)/25)*DG191+(1-EXP(-LN(2)/25))/(LN(2)/25)*Calculateur!DB192*Calculateur!DD192*VLOOKUP('Données projet'!$B$13,Paramètres!$A$1:$I$89,3,0)*0.475*44/12</f>
        <v>0.20665405397275302</v>
      </c>
      <c r="DH192" s="21">
        <f>EXP(-LN(2)/2)*DH191+(1-EXP(-LN(2)/2))/(LN(2)/2)*DB192*DE192*VLOOKUP('Données projet'!$B$13,Paramètres!$A$1:$I$89,3,0)*0.475*44/12</f>
        <v>2.8672497829142595E-23</v>
      </c>
      <c r="DI192" s="22">
        <f t="shared" si="175"/>
        <v>0.32245318008307028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-5.6843418860808015E-14</v>
      </c>
      <c r="DP192" s="17">
        <f>DO192*VLOOKUP('Données projet'!$B$14,Paramètres!$A$1:$I$89,3,0)*VLOOKUP('Données projet'!$B$14,Paramètres!$A$1:$I$89,5,0)</f>
        <v>-6.1186256061773749E-14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442.54137223086991</v>
      </c>
      <c r="DU192" s="59">
        <f t="shared" si="152"/>
        <v>454.23406186660714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8.5608639660127328E-2</v>
      </c>
      <c r="EB192" s="21">
        <f>EXP(-LN(2)/25)*EB191+(1-EXP(-LN(2)/25))/(LN(2)/25)*Calculateur!DW192*Calculateur!DY192*VLOOKUP('Données projet'!$B$14,Paramètres!$A$1:$I$89,3,0)*0.475*44/12</f>
        <v>0.14063430145183392</v>
      </c>
      <c r="EC192" s="21">
        <f>EXP(-LN(2)/2)*EC191+(1-EXP(-LN(2)/2))/(LN(2)/2)*DW192*DZ192*VLOOKUP('Données projet'!$B$14,Paramètres!$A$1:$I$89,3,0)*0.475*44/12</f>
        <v>2.110130004958676E-23</v>
      </c>
      <c r="ED192" s="22">
        <f t="shared" si="178"/>
        <v>0.22624294111196125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201.49055911472067</v>
      </c>
      <c r="T193" s="59">
        <f t="shared" si="142"/>
        <v>403.37692064114719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3.1347204228589405</v>
      </c>
      <c r="AA193" s="21">
        <f>EXP(-LN(2)/25)*AA192+(1-EXP(-LN(2)/25))/(LN(2)/25)*Calculateur!V193*Calculateur!X193*VLOOKUP('Données projet'!$B$9,Paramètres!$A$1:$I$89,3,0)*0.475*44/12</f>
        <v>0.7998351475550709</v>
      </c>
      <c r="AB193" s="21">
        <f>EXP(-LN(2)/2)*AB192+(1-EXP(-LN(2)/2))/(LN(2)/2)*V193*Y193*VLOOKUP('Données projet'!$B$9,Paramètres!$A$1:$I$89,3,0)*0.475*44/12</f>
        <v>4.2445792351734633E-22</v>
      </c>
      <c r="AC193" s="22">
        <f t="shared" si="163"/>
        <v>3.9345555704140116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39.000000000000057</v>
      </c>
      <c r="AJ193" s="13">
        <f>AI193*VLOOKUP('Données projet'!$B$10,Paramètres!$A$1:$I$89,3,0)*VLOOKUP('Données projet'!$B$10,Paramètres!$A$1:$I$89,5,0)</f>
        <v>34.070400000000056</v>
      </c>
      <c r="AK193" s="13">
        <f t="shared" si="164"/>
        <v>10.412633617059328</v>
      </c>
      <c r="AL193" s="20">
        <f t="shared" si="165"/>
        <v>77.474616883045101</v>
      </c>
      <c r="AM193" s="59">
        <f t="shared" si="113"/>
        <v>370.8079502163784</v>
      </c>
      <c r="AN193" s="59">
        <f ca="1">AVERAGE(OFFSET($AM$3,0,0,'Données projet'!$E$10+1,1))-AVERAGE(OFFSET($H$3,0,0,'Données projet'!$E$10+1,1))</f>
        <v>260.53994021583316</v>
      </c>
      <c r="AO193" s="59">
        <f t="shared" si="144"/>
        <v>669.20238852709122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2.4516083560415979E-22</v>
      </c>
      <c r="AX193" s="21">
        <f t="shared" si="166"/>
        <v>2.4516083560415979E-22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-1.1527845344971866E-13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279.20364724206644</v>
      </c>
      <c r="BJ193" s="59">
        <f t="shared" si="146"/>
        <v>173.99850582760712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4.1217931878906197E-2</v>
      </c>
      <c r="BR193" s="21">
        <f>EXP(-LN(2)/2)*BR192+(1-EXP(-LN(2)/2))/(LN(2)/2)*BL193*BO193*VLOOKUP('Données projet'!$B$11,Paramètres!$A$1:$I$89,3,0)*0.475*44/12</f>
        <v>5.7376044089558924E-24</v>
      </c>
      <c r="BS193" s="22">
        <f t="shared" si="169"/>
        <v>4.1217931878906197E-2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-1.2946657079737634E-13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327.06866218660838</v>
      </c>
      <c r="CE193" s="59">
        <f t="shared" si="148"/>
        <v>202.18198935334908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4.6290908110156112E-2</v>
      </c>
      <c r="CM193" s="21">
        <f>EXP(-LN(2)/2)*CM192+(1-EXP(-LN(2)/2))/(LN(2)/2)*CG193*CJ193*VLOOKUP('Données projet'!$B$12,Paramètres!$A$1:$I$89,3,0)*0.475*44/12</f>
        <v>6.4437711054428533E-24</v>
      </c>
      <c r="CN193" s="22">
        <f t="shared" si="172"/>
        <v>4.6290908110156112E-2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-5.1159076974727213E-13</v>
      </c>
      <c r="CU193" s="17">
        <f>CT193*VLOOKUP('Données projet'!$B$13,Paramètres!$A$1:$I$89,3,0)*VLOOKUP('Données projet'!$B$13,Paramètres!$A$1:$I$89,5,0)</f>
        <v>-4.1500243241898714E-13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266.72672633301022</v>
      </c>
      <c r="CZ193" s="59">
        <f t="shared" si="150"/>
        <v>314.26991662544219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0.11352837587778669</v>
      </c>
      <c r="DG193" s="21">
        <f>EXP(-LN(2)/25)*DG192+(1-EXP(-LN(2)/25))/(LN(2)/25)*Calculateur!DB193*Calculateur!DD193*VLOOKUP('Données projet'!$B$13,Paramètres!$A$1:$I$89,3,0)*0.475*44/12</f>
        <v>0.2010030879994037</v>
      </c>
      <c r="DH193" s="21">
        <f>EXP(-LN(2)/2)*DH192+(1-EXP(-LN(2)/2))/(LN(2)/2)*DB193*DE193*VLOOKUP('Données projet'!$B$13,Paramètres!$A$1:$I$89,3,0)*0.475*44/12</f>
        <v>2.0274517648543292E-23</v>
      </c>
      <c r="DI193" s="22">
        <f t="shared" si="175"/>
        <v>0.31453146387719039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-5.6843418860808015E-14</v>
      </c>
      <c r="DP193" s="17">
        <f>DO193*VLOOKUP('Données projet'!$B$14,Paramètres!$A$1:$I$89,3,0)*VLOOKUP('Données projet'!$B$14,Paramètres!$A$1:$I$89,5,0)</f>
        <v>-6.1186256061773749E-14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442.54137223086991</v>
      </c>
      <c r="DU193" s="59">
        <f t="shared" si="152"/>
        <v>454.23406186660714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8.3929906452506517E-2</v>
      </c>
      <c r="EB193" s="21">
        <f>EXP(-LN(2)/25)*EB192+(1-EXP(-LN(2)/25))/(LN(2)/25)*Calculateur!DW193*Calculateur!DY193*VLOOKUP('Données projet'!$B$14,Paramètres!$A$1:$I$89,3,0)*0.475*44/12</f>
        <v>0.13678864908299704</v>
      </c>
      <c r="EC193" s="21">
        <f>EXP(-LN(2)/2)*EC192+(1-EXP(-LN(2)/2))/(LN(2)/2)*DW193*DZ193*VLOOKUP('Données projet'!$B$14,Paramètres!$A$1:$I$89,3,0)*0.475*44/12</f>
        <v>1.492087235691483E-23</v>
      </c>
      <c r="ED193" s="22">
        <f t="shared" si="178"/>
        <v>0.22071855553550357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201.49055911472067</v>
      </c>
      <c r="T194" s="59">
        <f t="shared" si="142"/>
        <v>403.37692064114719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3.0732504673573411</v>
      </c>
      <c r="AA194" s="21">
        <f>EXP(-LN(2)/25)*AA193+(1-EXP(-LN(2)/25))/(LN(2)/25)*Calculateur!V194*Calculateur!X194*VLOOKUP('Données projet'!$B$9,Paramètres!$A$1:$I$89,3,0)*0.475*44/12</f>
        <v>0.77796361338367515</v>
      </c>
      <c r="AB194" s="21">
        <f>EXP(-LN(2)/2)*AB193+(1-EXP(-LN(2)/2))/(LN(2)/2)*V194*Y194*VLOOKUP('Données projet'!$B$9,Paramètres!$A$1:$I$89,3,0)*0.475*44/12</f>
        <v>3.0013707604747654E-22</v>
      </c>
      <c r="AC194" s="22">
        <f t="shared" si="163"/>
        <v>3.8512140807410162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39.000000000000057</v>
      </c>
      <c r="AJ194" s="13">
        <f>AI194*VLOOKUP('Données projet'!$B$10,Paramètres!$A$1:$I$89,3,0)*VLOOKUP('Données projet'!$B$10,Paramètres!$A$1:$I$89,5,0)</f>
        <v>34.070400000000056</v>
      </c>
      <c r="AK194" s="13">
        <f t="shared" si="164"/>
        <v>10.412633617059328</v>
      </c>
      <c r="AL194" s="20">
        <f t="shared" si="165"/>
        <v>77.474616883045101</v>
      </c>
      <c r="AM194" s="59">
        <f t="shared" si="113"/>
        <v>370.8079502163784</v>
      </c>
      <c r="AN194" s="59">
        <f ca="1">AVERAGE(OFFSET($AM$3,0,0,'Données projet'!$E$10+1,1))-AVERAGE(OFFSET($H$3,0,0,'Données projet'!$E$10+1,1))</f>
        <v>260.53994021583316</v>
      </c>
      <c r="AO194" s="59">
        <f t="shared" si="144"/>
        <v>669.20238852709122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1.7335488933706177E-22</v>
      </c>
      <c r="AX194" s="21">
        <f t="shared" si="166"/>
        <v>1.7335488933706177E-22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-1.1527845344971866E-13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279.20364724206644</v>
      </c>
      <c r="BJ194" s="59">
        <f t="shared" si="146"/>
        <v>173.99850582760712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4.0090825364120675E-2</v>
      </c>
      <c r="BR194" s="21">
        <f>EXP(-LN(2)/2)*BR193+(1-EXP(-LN(2)/2))/(LN(2)/2)*BL194*BO194*VLOOKUP('Données projet'!$B$11,Paramètres!$A$1:$I$89,3,0)*0.475*44/12</f>
        <v>4.0570989853385445E-24</v>
      </c>
      <c r="BS194" s="22">
        <f t="shared" si="169"/>
        <v>4.0090825364120675E-2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-1.2946657079737634E-13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327.06866218660838</v>
      </c>
      <c r="CE194" s="59">
        <f t="shared" si="148"/>
        <v>202.18198935334908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4.5025080793550838E-2</v>
      </c>
      <c r="CM194" s="21">
        <f>EXP(-LN(2)/2)*CM193+(1-EXP(-LN(2)/2))/(LN(2)/2)*CG194*CJ194*VLOOKUP('Données projet'!$B$12,Paramètres!$A$1:$I$89,3,0)*0.475*44/12</f>
        <v>4.5564342450725773E-24</v>
      </c>
      <c r="CN194" s="22">
        <f t="shared" si="172"/>
        <v>4.5025080793550838E-2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-5.1159076974727213E-13</v>
      </c>
      <c r="CU194" s="17">
        <f>CT194*VLOOKUP('Données projet'!$B$13,Paramètres!$A$1:$I$89,3,0)*VLOOKUP('Données projet'!$B$13,Paramètres!$A$1:$I$89,5,0)</f>
        <v>-4.1500243241898714E-13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266.72672633301022</v>
      </c>
      <c r="CZ194" s="59">
        <f t="shared" si="150"/>
        <v>314.26991662544219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0.11130215367229515</v>
      </c>
      <c r="DG194" s="21">
        <f>EXP(-LN(2)/25)*DG193+(1-EXP(-LN(2)/25))/(LN(2)/25)*Calculateur!DB194*Calculateur!DD194*VLOOKUP('Données projet'!$B$13,Paramètres!$A$1:$I$89,3,0)*0.475*44/12</f>
        <v>0.19550664798776701</v>
      </c>
      <c r="DH194" s="21">
        <f>EXP(-LN(2)/2)*DH193+(1-EXP(-LN(2)/2))/(LN(2)/2)*DB194*DE194*VLOOKUP('Données projet'!$B$13,Paramètres!$A$1:$I$89,3,0)*0.475*44/12</f>
        <v>1.4336248914571297E-23</v>
      </c>
      <c r="DI194" s="22">
        <f t="shared" si="175"/>
        <v>0.30680880166006219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-5.6843418860808015E-14</v>
      </c>
      <c r="DP194" s="17">
        <f>DO194*VLOOKUP('Données projet'!$B$14,Paramètres!$A$1:$I$89,3,0)*VLOOKUP('Données projet'!$B$14,Paramètres!$A$1:$I$89,5,0)</f>
        <v>-6.1186256061773749E-14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442.54137223086991</v>
      </c>
      <c r="DU194" s="59">
        <f t="shared" si="152"/>
        <v>454.23406186660714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8.2284092179160995E-2</v>
      </c>
      <c r="EB194" s="21">
        <f>EXP(-LN(2)/25)*EB193+(1-EXP(-LN(2)/25))/(LN(2)/25)*Calculateur!DW194*Calculateur!DY194*VLOOKUP('Données projet'!$B$14,Paramètres!$A$1:$I$89,3,0)*0.475*44/12</f>
        <v>0.13304815628042008</v>
      </c>
      <c r="EC194" s="21">
        <f>EXP(-LN(2)/2)*EC193+(1-EXP(-LN(2)/2))/(LN(2)/2)*DW194*DZ194*VLOOKUP('Données projet'!$B$14,Paramètres!$A$1:$I$89,3,0)*0.475*44/12</f>
        <v>1.055065002479338E-23</v>
      </c>
      <c r="ED194" s="22">
        <f t="shared" si="178"/>
        <v>0.21533224845958107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201.49055911472067</v>
      </c>
      <c r="T195" s="59">
        <f t="shared" si="142"/>
        <v>403.37692064114719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3.0129859001901576</v>
      </c>
      <c r="AA195" s="21">
        <f>EXP(-LN(2)/25)*AA194+(1-EXP(-LN(2)/25))/(LN(2)/25)*Calculateur!V195*Calculateur!X195*VLOOKUP('Données projet'!$B$9,Paramètres!$A$1:$I$89,3,0)*0.475*44/12</f>
        <v>0.75669015746437018</v>
      </c>
      <c r="AB195" s="21">
        <f>EXP(-LN(2)/2)*AB194+(1-EXP(-LN(2)/2))/(LN(2)/2)*V195*Y195*VLOOKUP('Données projet'!$B$9,Paramètres!$A$1:$I$89,3,0)*0.475*44/12</f>
        <v>2.1222896175867317E-22</v>
      </c>
      <c r="AC195" s="22">
        <f t="shared" si="163"/>
        <v>3.7696760576545278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39.000000000000057</v>
      </c>
      <c r="AJ195" s="13">
        <f>AI195*VLOOKUP('Données projet'!$B$10,Paramètres!$A$1:$I$89,3,0)*VLOOKUP('Données projet'!$B$10,Paramètres!$A$1:$I$89,5,0)</f>
        <v>34.070400000000056</v>
      </c>
      <c r="AK195" s="13">
        <f t="shared" si="164"/>
        <v>10.412633617059328</v>
      </c>
      <c r="AL195" s="20">
        <f t="shared" si="165"/>
        <v>77.474616883045101</v>
      </c>
      <c r="AM195" s="59">
        <f t="shared" si="113"/>
        <v>370.8079502163784</v>
      </c>
      <c r="AN195" s="59">
        <f ca="1">AVERAGE(OFFSET($AM$3,0,0,'Données projet'!$E$10+1,1))-AVERAGE(OFFSET($H$3,0,0,'Données projet'!$E$10+1,1))</f>
        <v>260.53994021583316</v>
      </c>
      <c r="AO195" s="59">
        <f t="shared" si="144"/>
        <v>669.20238852709122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1.2258041780207989E-22</v>
      </c>
      <c r="AX195" s="21">
        <f t="shared" si="166"/>
        <v>1.2258041780207989E-22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-1.1527845344971866E-13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279.20364724206644</v>
      </c>
      <c r="BJ195" s="59">
        <f t="shared" si="146"/>
        <v>173.99850582760712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3.8994539636253919E-2</v>
      </c>
      <c r="BR195" s="21">
        <f>EXP(-LN(2)/2)*BR194+(1-EXP(-LN(2)/2))/(LN(2)/2)*BL195*BO195*VLOOKUP('Données projet'!$B$11,Paramètres!$A$1:$I$89,3,0)*0.475*44/12</f>
        <v>2.8688022044779462E-24</v>
      </c>
      <c r="BS195" s="22">
        <f t="shared" si="169"/>
        <v>3.8994539636253919E-2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-1.2946657079737634E-13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327.06866218660838</v>
      </c>
      <c r="CE195" s="59">
        <f t="shared" si="148"/>
        <v>202.18198935334908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4.3793867591485097E-2</v>
      </c>
      <c r="CM195" s="21">
        <f>EXP(-LN(2)/2)*CM194+(1-EXP(-LN(2)/2))/(LN(2)/2)*CG195*CJ195*VLOOKUP('Données projet'!$B$12,Paramètres!$A$1:$I$89,3,0)*0.475*44/12</f>
        <v>3.221885552721427E-24</v>
      </c>
      <c r="CN195" s="22">
        <f t="shared" si="172"/>
        <v>4.3793867591485097E-2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-5.1159076974727213E-13</v>
      </c>
      <c r="CU195" s="17">
        <f>CT195*VLOOKUP('Données projet'!$B$13,Paramètres!$A$1:$I$89,3,0)*VLOOKUP('Données projet'!$B$13,Paramètres!$A$1:$I$89,5,0)</f>
        <v>-4.1500243241898714E-13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266.72672633301022</v>
      </c>
      <c r="CZ195" s="59">
        <f t="shared" si="150"/>
        <v>314.26991662544219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0.10911958632639183</v>
      </c>
      <c r="DG195" s="21">
        <f>EXP(-LN(2)/25)*DG194+(1-EXP(-LN(2)/25))/(LN(2)/25)*Calculateur!DB195*Calculateur!DD195*VLOOKUP('Données projet'!$B$13,Paramètres!$A$1:$I$89,3,0)*0.475*44/12</f>
        <v>0.19016050841729373</v>
      </c>
      <c r="DH195" s="21">
        <f>EXP(-LN(2)/2)*DH194+(1-EXP(-LN(2)/2))/(LN(2)/2)*DB195*DE195*VLOOKUP('Données projet'!$B$13,Paramètres!$A$1:$I$89,3,0)*0.475*44/12</f>
        <v>1.0137258824271646E-23</v>
      </c>
      <c r="DI195" s="22">
        <f t="shared" si="175"/>
        <v>0.29928009474368555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-5.6843418860808015E-14</v>
      </c>
      <c r="DP195" s="17">
        <f>DO195*VLOOKUP('Données projet'!$B$14,Paramètres!$A$1:$I$89,3,0)*VLOOKUP('Données projet'!$B$14,Paramètres!$A$1:$I$89,5,0)</f>
        <v>-6.1186256061773749E-14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442.54137223086991</v>
      </c>
      <c r="DU195" s="59">
        <f t="shared" si="152"/>
        <v>454.23406186660714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8.0670551319868194E-2</v>
      </c>
      <c r="EB195" s="21">
        <f>EXP(-LN(2)/25)*EB194+(1-EXP(-LN(2)/25))/(LN(2)/25)*Calculateur!DW195*Calculateur!DY195*VLOOKUP('Données projet'!$B$14,Paramètres!$A$1:$I$89,3,0)*0.475*44/12</f>
        <v>0.12940994745023354</v>
      </c>
      <c r="EC195" s="21">
        <f>EXP(-LN(2)/2)*EC194+(1-EXP(-LN(2)/2))/(LN(2)/2)*DW195*DZ195*VLOOKUP('Données projet'!$B$14,Paramètres!$A$1:$I$89,3,0)*0.475*44/12</f>
        <v>7.4604361784574149E-24</v>
      </c>
      <c r="ED195" s="22">
        <f t="shared" si="178"/>
        <v>0.21008049877010174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201.49055911472067</v>
      </c>
      <c r="T196" s="59">
        <f t="shared" si="142"/>
        <v>403.37692064114719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2.9539030844273659</v>
      </c>
      <c r="AA196" s="21">
        <f>EXP(-LN(2)/25)*AA195+(1-EXP(-LN(2)/25))/(LN(2)/25)*Calculateur!V196*Calculateur!X196*VLOOKUP('Données projet'!$B$9,Paramètres!$A$1:$I$89,3,0)*0.475*44/12</f>
        <v>0.73599842531590098</v>
      </c>
      <c r="AB196" s="21">
        <f>EXP(-LN(2)/2)*AB195+(1-EXP(-LN(2)/2))/(LN(2)/2)*V196*Y196*VLOOKUP('Données projet'!$B$9,Paramètres!$A$1:$I$89,3,0)*0.475*44/12</f>
        <v>1.5006853802373827E-22</v>
      </c>
      <c r="AC196" s="22">
        <f t="shared" si="163"/>
        <v>3.689901509743267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39.000000000000057</v>
      </c>
      <c r="AJ196" s="13">
        <f>AI196*VLOOKUP('Données projet'!$B$10,Paramètres!$A$1:$I$89,3,0)*VLOOKUP('Données projet'!$B$10,Paramètres!$A$1:$I$89,5,0)</f>
        <v>34.070400000000056</v>
      </c>
      <c r="AK196" s="13">
        <f t="shared" si="164"/>
        <v>10.412633617059328</v>
      </c>
      <c r="AL196" s="20">
        <f t="shared" si="165"/>
        <v>77.474616883045101</v>
      </c>
      <c r="AM196" s="59">
        <f t="shared" ref="AM196:AM203" si="193">AL196+(AD196+AE196)*44/12</f>
        <v>370.8079502163784</v>
      </c>
      <c r="AN196" s="59">
        <f ca="1">AVERAGE(OFFSET($AM$3,0,0,'Données projet'!$E$10+1,1))-AVERAGE(OFFSET($H$3,0,0,'Données projet'!$E$10+1,1))</f>
        <v>260.53994021583316</v>
      </c>
      <c r="AO196" s="59">
        <f t="shared" si="144"/>
        <v>669.20238852709122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8.6677444668530885E-23</v>
      </c>
      <c r="AX196" s="21">
        <f t="shared" si="166"/>
        <v>8.6677444668530885E-23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-1.1527845344971866E-13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279.20364724206644</v>
      </c>
      <c r="BJ196" s="59">
        <f t="shared" si="146"/>
        <v>173.99850582760712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3.7928231899266841E-2</v>
      </c>
      <c r="BR196" s="21">
        <f>EXP(-LN(2)/2)*BR195+(1-EXP(-LN(2)/2))/(LN(2)/2)*BL196*BO196*VLOOKUP('Données projet'!$B$11,Paramètres!$A$1:$I$89,3,0)*0.475*44/12</f>
        <v>2.0285494926692723E-24</v>
      </c>
      <c r="BS196" s="22">
        <f t="shared" si="169"/>
        <v>3.7928231899266841E-2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-1.2946657079737634E-13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327.06866218660838</v>
      </c>
      <c r="CE196" s="59">
        <f t="shared" si="148"/>
        <v>202.18198935334908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4.2596321979176531E-2</v>
      </c>
      <c r="CM196" s="21">
        <f>EXP(-LN(2)/2)*CM195+(1-EXP(-LN(2)/2))/(LN(2)/2)*CG196*CJ196*VLOOKUP('Données projet'!$B$12,Paramètres!$A$1:$I$89,3,0)*0.475*44/12</f>
        <v>2.278217122536289E-24</v>
      </c>
      <c r="CN196" s="22">
        <f t="shared" si="172"/>
        <v>4.2596321979176531E-2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-5.1159076974727213E-13</v>
      </c>
      <c r="CU196" s="17">
        <f>CT196*VLOOKUP('Données projet'!$B$13,Paramètres!$A$1:$I$89,3,0)*VLOOKUP('Données projet'!$B$13,Paramètres!$A$1:$I$89,5,0)</f>
        <v>-4.1500243241898714E-13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266.72672633301022</v>
      </c>
      <c r="CZ196" s="59">
        <f t="shared" si="150"/>
        <v>314.26991662544219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0.10697981779490705</v>
      </c>
      <c r="DG196" s="21">
        <f>EXP(-LN(2)/25)*DG195+(1-EXP(-LN(2)/25))/(LN(2)/25)*Calculateur!DB196*Calculateur!DD196*VLOOKUP('Données projet'!$B$13,Paramètres!$A$1:$I$89,3,0)*0.475*44/12</f>
        <v>0.18496055931451633</v>
      </c>
      <c r="DH196" s="21">
        <f>EXP(-LN(2)/2)*DH195+(1-EXP(-LN(2)/2))/(LN(2)/2)*DB196*DE196*VLOOKUP('Données projet'!$B$13,Paramètres!$A$1:$I$89,3,0)*0.475*44/12</f>
        <v>7.1681244572856487E-24</v>
      </c>
      <c r="DI196" s="22">
        <f t="shared" si="175"/>
        <v>0.29194037710942339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-5.6843418860808015E-14</v>
      </c>
      <c r="DP196" s="17">
        <f>DO196*VLOOKUP('Données projet'!$B$14,Paramètres!$A$1:$I$89,3,0)*VLOOKUP('Données projet'!$B$14,Paramètres!$A$1:$I$89,5,0)</f>
        <v>-6.1186256061773749E-14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442.54137223086991</v>
      </c>
      <c r="DU196" s="59">
        <f t="shared" si="152"/>
        <v>454.23406186660714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7.908865101266338E-2</v>
      </c>
      <c r="EB196" s="21">
        <f>EXP(-LN(2)/25)*EB195+(1-EXP(-LN(2)/25))/(LN(2)/25)*Calculateur!DW196*Calculateur!DY196*VLOOKUP('Données projet'!$B$14,Paramètres!$A$1:$I$89,3,0)*0.475*44/12</f>
        <v>0.12587122563183353</v>
      </c>
      <c r="EC196" s="21">
        <f>EXP(-LN(2)/2)*EC195+(1-EXP(-LN(2)/2))/(LN(2)/2)*DW196*DZ196*VLOOKUP('Données projet'!$B$14,Paramètres!$A$1:$I$89,3,0)*0.475*44/12</f>
        <v>5.2753250123966901E-24</v>
      </c>
      <c r="ED196" s="22">
        <f t="shared" si="178"/>
        <v>0.20495987664449691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201.49055911472067</v>
      </c>
      <c r="T197" s="59">
        <f t="shared" ref="T197:T203" si="204">$T$3</f>
        <v>403.37692064114719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2.8959788466447236</v>
      </c>
      <c r="AA197" s="21">
        <f>EXP(-LN(2)/25)*AA196+(1-EXP(-LN(2)/25))/(LN(2)/25)*Calculateur!V197*Calculateur!X197*VLOOKUP('Données projet'!$B$9,Paramètres!$A$1:$I$89,3,0)*0.475*44/12</f>
        <v>0.71587250967116267</v>
      </c>
      <c r="AB197" s="21">
        <f>EXP(-LN(2)/2)*AB196+(1-EXP(-LN(2)/2))/(LN(2)/2)*V197*Y197*VLOOKUP('Données projet'!$B$9,Paramètres!$A$1:$I$89,3,0)*0.475*44/12</f>
        <v>1.0611448087933658E-22</v>
      </c>
      <c r="AC197" s="22">
        <f t="shared" si="163"/>
        <v>3.6118513563158863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39.000000000000057</v>
      </c>
      <c r="AJ197" s="13">
        <f>AI197*VLOOKUP('Données projet'!$B$10,Paramètres!$A$1:$I$89,3,0)*VLOOKUP('Données projet'!$B$10,Paramètres!$A$1:$I$89,5,0)</f>
        <v>34.070400000000056</v>
      </c>
      <c r="AK197" s="13">
        <f t="shared" si="164"/>
        <v>10.412633617059328</v>
      </c>
      <c r="AL197" s="20">
        <f t="shared" si="165"/>
        <v>77.474616883045101</v>
      </c>
      <c r="AM197" s="59">
        <f t="shared" si="193"/>
        <v>370.8079502163784</v>
      </c>
      <c r="AN197" s="59">
        <f ca="1">AVERAGE(OFFSET($AM$3,0,0,'Données projet'!$E$10+1,1))-AVERAGE(OFFSET($H$3,0,0,'Données projet'!$E$10+1,1))</f>
        <v>260.53994021583316</v>
      </c>
      <c r="AO197" s="59">
        <f t="shared" ref="AO197:AO203" si="205">$AO$3</f>
        <v>669.20238852709122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6.1290208901039947E-23</v>
      </c>
      <c r="AX197" s="21">
        <f t="shared" si="166"/>
        <v>6.1290208901039947E-23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-1.1527845344971866E-13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279.20364724206644</v>
      </c>
      <c r="BJ197" s="59">
        <f t="shared" ref="BJ197:BJ203" si="206">$BJ$3</f>
        <v>173.99850582760712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3.6891082403422357E-2</v>
      </c>
      <c r="BR197" s="21">
        <f>EXP(-LN(2)/2)*BR196+(1-EXP(-LN(2)/2))/(LN(2)/2)*BL197*BO197*VLOOKUP('Données projet'!$B$11,Paramètres!$A$1:$I$89,3,0)*0.475*44/12</f>
        <v>1.4344011022389731E-24</v>
      </c>
      <c r="BS197" s="22">
        <f t="shared" si="169"/>
        <v>3.6891082403422357E-2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-1.2946657079737634E-13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327.06866218660838</v>
      </c>
      <c r="CE197" s="59">
        <f t="shared" ref="CE197:CE203" si="207">$CE$3</f>
        <v>202.18198935334908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4.143152331461273E-2</v>
      </c>
      <c r="CM197" s="21">
        <f>EXP(-LN(2)/2)*CM196+(1-EXP(-LN(2)/2))/(LN(2)/2)*CG197*CJ197*VLOOKUP('Données projet'!$B$12,Paramètres!$A$1:$I$89,3,0)*0.475*44/12</f>
        <v>1.6109427763607137E-24</v>
      </c>
      <c r="CN197" s="22">
        <f t="shared" si="172"/>
        <v>4.143152331461273E-2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-5.1159076974727213E-13</v>
      </c>
      <c r="CU197" s="17">
        <f>CT197*VLOOKUP('Données projet'!$B$13,Paramètres!$A$1:$I$89,3,0)*VLOOKUP('Données projet'!$B$13,Paramètres!$A$1:$I$89,5,0)</f>
        <v>-4.1500243241898714E-13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266.72672633301022</v>
      </c>
      <c r="CZ197" s="59">
        <f t="shared" ref="CZ197:CZ203" si="208">$CZ$3</f>
        <v>314.26991662544219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0.10488200881919475</v>
      </c>
      <c r="DG197" s="21">
        <f>EXP(-LN(2)/25)*DG196+(1-EXP(-LN(2)/25))/(LN(2)/25)*Calculateur!DB197*Calculateur!DD197*VLOOKUP('Données projet'!$B$13,Paramètres!$A$1:$I$89,3,0)*0.475*44/12</f>
        <v>0.17990280309340781</v>
      </c>
      <c r="DH197" s="21">
        <f>EXP(-LN(2)/2)*DH196+(1-EXP(-LN(2)/2))/(LN(2)/2)*DB197*DE197*VLOOKUP('Données projet'!$B$13,Paramètres!$A$1:$I$89,3,0)*0.475*44/12</f>
        <v>5.068629412135823E-24</v>
      </c>
      <c r="DI197" s="22">
        <f t="shared" si="175"/>
        <v>0.28478481191260258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-5.6843418860808015E-14</v>
      </c>
      <c r="DP197" s="17">
        <f>DO197*VLOOKUP('Données projet'!$B$14,Paramètres!$A$1:$I$89,3,0)*VLOOKUP('Données projet'!$B$14,Paramètres!$A$1:$I$89,5,0)</f>
        <v>-6.1186256061773749E-14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442.54137223086991</v>
      </c>
      <c r="DU197" s="59">
        <f t="shared" ref="DU197:DU203" si="209">$DU$3</f>
        <v>454.23406186660714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7.7537770805618939E-2</v>
      </c>
      <c r="EB197" s="21">
        <f>EXP(-LN(2)/25)*EB196+(1-EXP(-LN(2)/25))/(LN(2)/25)*Calculateur!DW197*Calculateur!DY197*VLOOKUP('Données projet'!$B$14,Paramètres!$A$1:$I$89,3,0)*0.475*44/12</f>
        <v>0.12242927034765097</v>
      </c>
      <c r="EC197" s="21">
        <f>EXP(-LN(2)/2)*EC196+(1-EXP(-LN(2)/2))/(LN(2)/2)*DW197*DZ197*VLOOKUP('Données projet'!$B$14,Paramètres!$A$1:$I$89,3,0)*0.475*44/12</f>
        <v>3.7302180892287074E-24</v>
      </c>
      <c r="ED197" s="22">
        <f t="shared" si="178"/>
        <v>0.19996704115326991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201.49055911472067</v>
      </c>
      <c r="T198" s="59">
        <f t="shared" si="204"/>
        <v>403.37692064114719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2.8391904678347024</v>
      </c>
      <c r="AA198" s="21">
        <f>EXP(-LN(2)/25)*AA197+(1-EXP(-LN(2)/25))/(LN(2)/25)*Calculateur!V198*Calculateur!X198*VLOOKUP('Données projet'!$B$9,Paramètres!$A$1:$I$89,3,0)*0.475*44/12</f>
        <v>0.69629693824810557</v>
      </c>
      <c r="AB198" s="21">
        <f>EXP(-LN(2)/2)*AB197+(1-EXP(-LN(2)/2))/(LN(2)/2)*V198*Y198*VLOOKUP('Données projet'!$B$9,Paramètres!$A$1:$I$89,3,0)*0.475*44/12</f>
        <v>7.5034269011869136E-23</v>
      </c>
      <c r="AC198" s="22">
        <f t="shared" si="163"/>
        <v>3.5354874060828081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39.000000000000057</v>
      </c>
      <c r="AJ198" s="13">
        <f>AI198*VLOOKUP('Données projet'!$B$10,Paramètres!$A$1:$I$89,3,0)*VLOOKUP('Données projet'!$B$10,Paramètres!$A$1:$I$89,5,0)</f>
        <v>34.070400000000056</v>
      </c>
      <c r="AK198" s="13">
        <f t="shared" si="164"/>
        <v>10.412633617059328</v>
      </c>
      <c r="AL198" s="20">
        <f t="shared" si="165"/>
        <v>77.474616883045101</v>
      </c>
      <c r="AM198" s="59">
        <f t="shared" si="193"/>
        <v>370.8079502163784</v>
      </c>
      <c r="AN198" s="59">
        <f ca="1">AVERAGE(OFFSET($AM$3,0,0,'Données projet'!$E$10+1,1))-AVERAGE(OFFSET($H$3,0,0,'Données projet'!$E$10+1,1))</f>
        <v>260.53994021583316</v>
      </c>
      <c r="AO198" s="59">
        <f t="shared" si="205"/>
        <v>669.20238852709122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4.3338722334265442E-23</v>
      </c>
      <c r="AX198" s="21">
        <f t="shared" si="166"/>
        <v>4.3338722334265442E-23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-1.1527845344971866E-13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279.20364724206644</v>
      </c>
      <c r="BJ198" s="59">
        <f t="shared" si="206"/>
        <v>173.99850582760712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3.5882293815083066E-2</v>
      </c>
      <c r="BR198" s="21">
        <f>EXP(-LN(2)/2)*BR197+(1-EXP(-LN(2)/2))/(LN(2)/2)*BL198*BO198*VLOOKUP('Données projet'!$B$11,Paramètres!$A$1:$I$89,3,0)*0.475*44/12</f>
        <v>1.0142747463346361E-24</v>
      </c>
      <c r="BS198" s="22">
        <f t="shared" si="169"/>
        <v>3.5882293815083066E-2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-1.2946657079737634E-13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327.06866218660838</v>
      </c>
      <c r="CE198" s="59">
        <f t="shared" si="207"/>
        <v>202.18198935334908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4.0298576130785524E-2</v>
      </c>
      <c r="CM198" s="21">
        <f>EXP(-LN(2)/2)*CM197+(1-EXP(-LN(2)/2))/(LN(2)/2)*CG198*CJ198*VLOOKUP('Données projet'!$B$12,Paramètres!$A$1:$I$89,3,0)*0.475*44/12</f>
        <v>1.1391085612681447E-24</v>
      </c>
      <c r="CN198" s="22">
        <f t="shared" si="172"/>
        <v>4.0298576130785524E-2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-5.1159076974727213E-13</v>
      </c>
      <c r="CU198" s="17">
        <f>CT198*VLOOKUP('Données projet'!$B$13,Paramètres!$A$1:$I$89,3,0)*VLOOKUP('Données projet'!$B$13,Paramètres!$A$1:$I$89,5,0)</f>
        <v>-4.1500243241898714E-13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266.72672633301022</v>
      </c>
      <c r="CZ198" s="59">
        <f t="shared" si="208"/>
        <v>314.26991662544219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0.10282533659795905</v>
      </c>
      <c r="DG198" s="21">
        <f>EXP(-LN(2)/25)*DG197+(1-EXP(-LN(2)/25))/(LN(2)/25)*Calculateur!DB198*Calculateur!DD198*VLOOKUP('Données projet'!$B$13,Paramètres!$A$1:$I$89,3,0)*0.475*44/12</f>
        <v>0.17498335148214134</v>
      </c>
      <c r="DH198" s="21">
        <f>EXP(-LN(2)/2)*DH197+(1-EXP(-LN(2)/2))/(LN(2)/2)*DB198*DE198*VLOOKUP('Données projet'!$B$13,Paramètres!$A$1:$I$89,3,0)*0.475*44/12</f>
        <v>3.5840622286428243E-24</v>
      </c>
      <c r="DI198" s="22">
        <f t="shared" si="175"/>
        <v>0.2778086880801004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-5.6843418860808015E-14</v>
      </c>
      <c r="DP198" s="17">
        <f>DO198*VLOOKUP('Données projet'!$B$14,Paramètres!$A$1:$I$89,3,0)*VLOOKUP('Données projet'!$B$14,Paramètres!$A$1:$I$89,5,0)</f>
        <v>-6.1186256061773749E-14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442.54137223086991</v>
      </c>
      <c r="DU198" s="59">
        <f t="shared" si="209"/>
        <v>454.23406186660714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7.6017302413491111E-2</v>
      </c>
      <c r="EB198" s="21">
        <f>EXP(-LN(2)/25)*EB197+(1-EXP(-LN(2)/25))/(LN(2)/25)*Calculateur!DW198*Calculateur!DY198*VLOOKUP('Données projet'!$B$14,Paramètres!$A$1:$I$89,3,0)*0.475*44/12</f>
        <v>0.11908143551171894</v>
      </c>
      <c r="EC198" s="21">
        <f>EXP(-LN(2)/2)*EC197+(1-EXP(-LN(2)/2))/(LN(2)/2)*DW198*DZ198*VLOOKUP('Données projet'!$B$14,Paramètres!$A$1:$I$89,3,0)*0.475*44/12</f>
        <v>2.6376625061983451E-24</v>
      </c>
      <c r="ED198" s="22">
        <f t="shared" si="178"/>
        <v>0.19509873792521004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201.49055911472067</v>
      </c>
      <c r="T199" s="59">
        <f t="shared" si="204"/>
        <v>403.37692064114719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2.7835156744956548</v>
      </c>
      <c r="AA199" s="21">
        <f>EXP(-LN(2)/25)*AA198+(1-EXP(-LN(2)/25))/(LN(2)/25)*Calculateur!V199*Calculateur!X199*VLOOKUP('Données projet'!$B$9,Paramètres!$A$1:$I$89,3,0)*0.475*44/12</f>
        <v>0.67725666185504652</v>
      </c>
      <c r="AB199" s="21">
        <f>EXP(-LN(2)/2)*AB198+(1-EXP(-LN(2)/2))/(LN(2)/2)*V199*Y199*VLOOKUP('Données projet'!$B$9,Paramètres!$A$1:$I$89,3,0)*0.475*44/12</f>
        <v>5.3057240439668292E-23</v>
      </c>
      <c r="AC199" s="22">
        <f t="shared" si="163"/>
        <v>3.4607723363507015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39.000000000000057</v>
      </c>
      <c r="AJ199" s="13">
        <f>AI199*VLOOKUP('Données projet'!$B$10,Paramètres!$A$1:$I$89,3,0)*VLOOKUP('Données projet'!$B$10,Paramètres!$A$1:$I$89,5,0)</f>
        <v>34.070400000000056</v>
      </c>
      <c r="AK199" s="13">
        <f t="shared" si="164"/>
        <v>10.412633617059328</v>
      </c>
      <c r="AL199" s="20">
        <f t="shared" si="165"/>
        <v>77.474616883045101</v>
      </c>
      <c r="AM199" s="59">
        <f t="shared" si="193"/>
        <v>370.8079502163784</v>
      </c>
      <c r="AN199" s="59">
        <f ca="1">AVERAGE(OFFSET($AM$3,0,0,'Données projet'!$E$10+1,1))-AVERAGE(OFFSET($H$3,0,0,'Données projet'!$E$10+1,1))</f>
        <v>260.53994021583316</v>
      </c>
      <c r="AO199" s="59">
        <f t="shared" si="205"/>
        <v>669.20238852709122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3.0645104450519974E-23</v>
      </c>
      <c r="AX199" s="21">
        <f t="shared" si="166"/>
        <v>3.0645104450519974E-23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-1.1527845344971866E-13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279.20364724206644</v>
      </c>
      <c r="BJ199" s="59">
        <f t="shared" si="206"/>
        <v>173.99850582760712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3.4901090603741795E-2</v>
      </c>
      <c r="BR199" s="21">
        <f>EXP(-LN(2)/2)*BR198+(1-EXP(-LN(2)/2))/(LN(2)/2)*BL199*BO199*VLOOKUP('Données projet'!$B$11,Paramètres!$A$1:$I$89,3,0)*0.475*44/12</f>
        <v>7.1720055111948655E-25</v>
      </c>
      <c r="BS199" s="22">
        <f t="shared" si="169"/>
        <v>3.4901090603741795E-2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-1.2946657079737634E-13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327.06866218660838</v>
      </c>
      <c r="CE199" s="59">
        <f t="shared" si="207"/>
        <v>202.18198935334908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3.9196609447279179E-2</v>
      </c>
      <c r="CM199" s="21">
        <f>EXP(-LN(2)/2)*CM198+(1-EXP(-LN(2)/2))/(LN(2)/2)*CG199*CJ199*VLOOKUP('Données projet'!$B$12,Paramètres!$A$1:$I$89,3,0)*0.475*44/12</f>
        <v>8.0547138818035703E-25</v>
      </c>
      <c r="CN199" s="22">
        <f t="shared" si="172"/>
        <v>3.9196609447279179E-2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-5.1159076974727213E-13</v>
      </c>
      <c r="CU199" s="17">
        <f>CT199*VLOOKUP('Données projet'!$B$13,Paramètres!$A$1:$I$89,3,0)*VLOOKUP('Données projet'!$B$13,Paramètres!$A$1:$I$89,5,0)</f>
        <v>-4.1500243241898714E-13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266.72672633301022</v>
      </c>
      <c r="CZ199" s="59">
        <f t="shared" si="208"/>
        <v>314.26991662544219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0.10080899446453558</v>
      </c>
      <c r="DG199" s="21">
        <f>EXP(-LN(2)/25)*DG198+(1-EXP(-LN(2)/25))/(LN(2)/25)*Calculateur!DB199*Calculateur!DD199*VLOOKUP('Données projet'!$B$13,Paramètres!$A$1:$I$89,3,0)*0.475*44/12</f>
        <v>0.17019842253388764</v>
      </c>
      <c r="DH199" s="21">
        <f>EXP(-LN(2)/2)*DH198+(1-EXP(-LN(2)/2))/(LN(2)/2)*DB199*DE199*VLOOKUP('Données projet'!$B$13,Paramètres!$A$1:$I$89,3,0)*0.475*44/12</f>
        <v>2.5343147060679115E-24</v>
      </c>
      <c r="DI199" s="22">
        <f t="shared" si="175"/>
        <v>0.27100741699842323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-5.6843418860808015E-14</v>
      </c>
      <c r="DP199" s="17">
        <f>DO199*VLOOKUP('Données projet'!$B$14,Paramètres!$A$1:$I$89,3,0)*VLOOKUP('Données projet'!$B$14,Paramètres!$A$1:$I$89,5,0)</f>
        <v>-6.1186256061773749E-14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442.54137223086991</v>
      </c>
      <c r="DU199" s="59">
        <f t="shared" si="209"/>
        <v>454.23406186660714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7.4526649479138757E-2</v>
      </c>
      <c r="EB199" s="21">
        <f>EXP(-LN(2)/25)*EB198+(1-EXP(-LN(2)/25))/(LN(2)/25)*Calculateur!DW199*Calculateur!DY199*VLOOKUP('Données projet'!$B$14,Paramètres!$A$1:$I$89,3,0)*0.475*44/12</f>
        <v>0.11582514739543046</v>
      </c>
      <c r="EC199" s="21">
        <f>EXP(-LN(2)/2)*EC198+(1-EXP(-LN(2)/2))/(LN(2)/2)*DW199*DZ199*VLOOKUP('Données projet'!$B$14,Paramètres!$A$1:$I$89,3,0)*0.475*44/12</f>
        <v>1.8651090446143537E-24</v>
      </c>
      <c r="ED199" s="22">
        <f t="shared" si="178"/>
        <v>0.19035179687456921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201.49055911472067</v>
      </c>
      <c r="T200" s="59">
        <f t="shared" si="204"/>
        <v>403.37692064114719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2.7289326298957151</v>
      </c>
      <c r="AA200" s="21">
        <f>EXP(-LN(2)/25)*AA199+(1-EXP(-LN(2)/25))/(LN(2)/25)*Calculateur!V200*Calculateur!X200*VLOOKUP('Données projet'!$B$9,Paramètres!$A$1:$I$89,3,0)*0.475*44/12</f>
        <v>0.65873704282124035</v>
      </c>
      <c r="AB200" s="21">
        <f>EXP(-LN(2)/2)*AB199+(1-EXP(-LN(2)/2))/(LN(2)/2)*V200*Y200*VLOOKUP('Données projet'!$B$9,Paramètres!$A$1:$I$89,3,0)*0.475*44/12</f>
        <v>3.7517134505934568E-23</v>
      </c>
      <c r="AC200" s="22">
        <f t="shared" si="163"/>
        <v>3.3876696727169553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39.000000000000057</v>
      </c>
      <c r="AJ200" s="13">
        <f>AI200*VLOOKUP('Données projet'!$B$10,Paramètres!$A$1:$I$89,3,0)*VLOOKUP('Données projet'!$B$10,Paramètres!$A$1:$I$89,5,0)</f>
        <v>34.070400000000056</v>
      </c>
      <c r="AK200" s="13">
        <f t="shared" si="164"/>
        <v>10.412633617059328</v>
      </c>
      <c r="AL200" s="20">
        <f t="shared" si="165"/>
        <v>77.474616883045101</v>
      </c>
      <c r="AM200" s="59">
        <f t="shared" si="193"/>
        <v>370.8079502163784</v>
      </c>
      <c r="AN200" s="59">
        <f ca="1">AVERAGE(OFFSET($AM$3,0,0,'Données projet'!$E$10+1,1))-AVERAGE(OFFSET($H$3,0,0,'Données projet'!$E$10+1,1))</f>
        <v>260.53994021583316</v>
      </c>
      <c r="AO200" s="59">
        <f t="shared" si="205"/>
        <v>669.20238852709122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2.1669361167132721E-23</v>
      </c>
      <c r="AX200" s="21">
        <f t="shared" si="166"/>
        <v>2.1669361167132721E-23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-1.1527845344971866E-13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279.20364724206644</v>
      </c>
      <c r="BJ200" s="59">
        <f t="shared" si="206"/>
        <v>173.99850582760712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3.3946718445813887E-2</v>
      </c>
      <c r="BR200" s="21">
        <f>EXP(-LN(2)/2)*BR199+(1-EXP(-LN(2)/2))/(LN(2)/2)*BL200*BO200*VLOOKUP('Données projet'!$B$11,Paramètres!$A$1:$I$89,3,0)*0.475*44/12</f>
        <v>5.0713737316731807E-25</v>
      </c>
      <c r="BS200" s="22">
        <f t="shared" si="169"/>
        <v>3.3946718445813887E-2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-1.2946657079737634E-13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327.06866218660838</v>
      </c>
      <c r="CE200" s="59">
        <f t="shared" si="207"/>
        <v>202.18198935334908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3.8124776100683225E-2</v>
      </c>
      <c r="CM200" s="21">
        <f>EXP(-LN(2)/2)*CM199+(1-EXP(-LN(2)/2))/(LN(2)/2)*CG200*CJ200*VLOOKUP('Données projet'!$B$12,Paramètres!$A$1:$I$89,3,0)*0.475*44/12</f>
        <v>5.6955428063407244E-25</v>
      </c>
      <c r="CN200" s="22">
        <f t="shared" si="172"/>
        <v>3.8124776100683225E-2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-5.1159076974727213E-13</v>
      </c>
      <c r="CU200" s="17">
        <f>CT200*VLOOKUP('Données projet'!$B$13,Paramètres!$A$1:$I$89,3,0)*VLOOKUP('Données projet'!$B$13,Paramètres!$A$1:$I$89,5,0)</f>
        <v>-4.1500243241898714E-13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266.72672633301022</v>
      </c>
      <c r="CZ200" s="59">
        <f t="shared" si="208"/>
        <v>314.26991662544219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9.8832191570501285E-2</v>
      </c>
      <c r="DG200" s="21">
        <f>EXP(-LN(2)/25)*DG199+(1-EXP(-LN(2)/25))/(LN(2)/25)*Calculateur!DB200*Calculateur!DD200*VLOOKUP('Données projet'!$B$13,Paramètres!$A$1:$I$89,3,0)*0.475*44/12</f>
        <v>0.16554433771935245</v>
      </c>
      <c r="DH200" s="21">
        <f>EXP(-LN(2)/2)*DH199+(1-EXP(-LN(2)/2))/(LN(2)/2)*DB200*DE200*VLOOKUP('Données projet'!$B$13,Paramètres!$A$1:$I$89,3,0)*0.475*44/12</f>
        <v>1.7920311143214122E-24</v>
      </c>
      <c r="DI200" s="22">
        <f t="shared" si="175"/>
        <v>0.26437652928985372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-5.6843418860808015E-14</v>
      </c>
      <c r="DP200" s="17">
        <f>DO200*VLOOKUP('Données projet'!$B$14,Paramètres!$A$1:$I$89,3,0)*VLOOKUP('Données projet'!$B$14,Paramètres!$A$1:$I$89,5,0)</f>
        <v>-6.1186256061773749E-14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442.54137223086991</v>
      </c>
      <c r="DU200" s="59">
        <f t="shared" si="209"/>
        <v>454.23406186660714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7.306522733962055E-2</v>
      </c>
      <c r="EB200" s="21">
        <f>EXP(-LN(2)/25)*EB199+(1-EXP(-LN(2)/25))/(LN(2)/25)*Calculateur!DW200*Calculateur!DY200*VLOOKUP('Données projet'!$B$14,Paramètres!$A$1:$I$89,3,0)*0.475*44/12</f>
        <v>0.11265790264892263</v>
      </c>
      <c r="EC200" s="21">
        <f>EXP(-LN(2)/2)*EC199+(1-EXP(-LN(2)/2))/(LN(2)/2)*DW200*DZ200*VLOOKUP('Données projet'!$B$14,Paramètres!$A$1:$I$89,3,0)*0.475*44/12</f>
        <v>1.3188312530991725E-24</v>
      </c>
      <c r="ED200" s="22">
        <f t="shared" si="178"/>
        <v>0.18572312998854318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201.49055911472067</v>
      </c>
      <c r="T201" s="59">
        <f t="shared" si="204"/>
        <v>403.37692064114719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2.67541992550801</v>
      </c>
      <c r="AA201" s="21">
        <f>EXP(-LN(2)/25)*AA200+(1-EXP(-LN(2)/25))/(LN(2)/25)*Calculateur!V201*Calculateur!X201*VLOOKUP('Données projet'!$B$9,Paramètres!$A$1:$I$89,3,0)*0.475*44/12</f>
        <v>0.64072384374381797</v>
      </c>
      <c r="AB201" s="21">
        <f>EXP(-LN(2)/2)*AB200+(1-EXP(-LN(2)/2))/(LN(2)/2)*V201*Y201*VLOOKUP('Données projet'!$B$9,Paramètres!$A$1:$I$89,3,0)*0.475*44/12</f>
        <v>2.6528620219834146E-23</v>
      </c>
      <c r="AC201" s="22">
        <f t="shared" si="163"/>
        <v>3.3161437692518279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39.000000000000057</v>
      </c>
      <c r="AJ201" s="13">
        <f>AI201*VLOOKUP('Données projet'!$B$10,Paramètres!$A$1:$I$89,3,0)*VLOOKUP('Données projet'!$B$10,Paramètres!$A$1:$I$89,5,0)</f>
        <v>34.070400000000056</v>
      </c>
      <c r="AK201" s="13">
        <f t="shared" si="164"/>
        <v>10.412633617059328</v>
      </c>
      <c r="AL201" s="20">
        <f t="shared" si="165"/>
        <v>77.474616883045101</v>
      </c>
      <c r="AM201" s="59">
        <f t="shared" si="193"/>
        <v>370.8079502163784</v>
      </c>
      <c r="AN201" s="59">
        <f ca="1">AVERAGE(OFFSET($AM$3,0,0,'Données projet'!$E$10+1,1))-AVERAGE(OFFSET($H$3,0,0,'Données projet'!$E$10+1,1))</f>
        <v>260.53994021583316</v>
      </c>
      <c r="AO201" s="59">
        <f t="shared" si="205"/>
        <v>669.20238852709122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1.5322552225259987E-23</v>
      </c>
      <c r="AX201" s="21">
        <f t="shared" si="166"/>
        <v>1.5322552225259987E-23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-1.1527845344971866E-13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279.20364724206644</v>
      </c>
      <c r="BJ201" s="59">
        <f t="shared" si="206"/>
        <v>173.99850582760712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3.3018443644732769E-2</v>
      </c>
      <c r="BR201" s="21">
        <f>EXP(-LN(2)/2)*BR200+(1-EXP(-LN(2)/2))/(LN(2)/2)*BL201*BO201*VLOOKUP('Données projet'!$B$11,Paramètres!$A$1:$I$89,3,0)*0.475*44/12</f>
        <v>3.5860027555974328E-25</v>
      </c>
      <c r="BS201" s="22">
        <f t="shared" si="169"/>
        <v>3.3018443644732769E-2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-1.2946657079737634E-13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327.06866218660838</v>
      </c>
      <c r="CE201" s="59">
        <f t="shared" si="207"/>
        <v>202.18198935334908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3.7082252093315199E-2</v>
      </c>
      <c r="CM201" s="21">
        <f>EXP(-LN(2)/2)*CM200+(1-EXP(-LN(2)/2))/(LN(2)/2)*CG201*CJ201*VLOOKUP('Données projet'!$B$12,Paramètres!$A$1:$I$89,3,0)*0.475*44/12</f>
        <v>4.0273569409017856E-25</v>
      </c>
      <c r="CN201" s="22">
        <f t="shared" si="172"/>
        <v>3.7082252093315199E-2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-5.1159076974727213E-13</v>
      </c>
      <c r="CU201" s="17">
        <f>CT201*VLOOKUP('Données projet'!$B$13,Paramètres!$A$1:$I$89,3,0)*VLOOKUP('Données projet'!$B$13,Paramètres!$A$1:$I$89,5,0)</f>
        <v>-4.1500243241898714E-13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266.72672633301022</v>
      </c>
      <c r="CZ201" s="59">
        <f t="shared" si="208"/>
        <v>314.26991662544219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9.6894152575488293E-2</v>
      </c>
      <c r="DG201" s="21">
        <f>EXP(-LN(2)/25)*DG200+(1-EXP(-LN(2)/25))/(LN(2)/25)*Calculateur!DB201*Calculateur!DD201*VLOOKUP('Données projet'!$B$13,Paramètres!$A$1:$I$89,3,0)*0.475*44/12</f>
        <v>0.1610175190988184</v>
      </c>
      <c r="DH201" s="21">
        <f>EXP(-LN(2)/2)*DH200+(1-EXP(-LN(2)/2))/(LN(2)/2)*DB201*DE201*VLOOKUP('Données projet'!$B$13,Paramètres!$A$1:$I$89,3,0)*0.475*44/12</f>
        <v>1.2671573530339558E-24</v>
      </c>
      <c r="DI201" s="22">
        <f t="shared" si="175"/>
        <v>0.25791167167430668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-5.6843418860808015E-14</v>
      </c>
      <c r="DP201" s="17">
        <f>DO201*VLOOKUP('Données projet'!$B$14,Paramètres!$A$1:$I$89,3,0)*VLOOKUP('Données projet'!$B$14,Paramètres!$A$1:$I$89,5,0)</f>
        <v>-6.1186256061773749E-14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442.54137223086991</v>
      </c>
      <c r="DU201" s="59">
        <f t="shared" si="209"/>
        <v>454.23406186660714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7.1632462796878807E-2</v>
      </c>
      <c r="EB201" s="21">
        <f>EXP(-LN(2)/25)*EB200+(1-EXP(-LN(2)/25))/(LN(2)/25)*Calculateur!DW201*Calculateur!DY201*VLOOKUP('Données projet'!$B$14,Paramètres!$A$1:$I$89,3,0)*0.475*44/12</f>
        <v>0.10957726637656622</v>
      </c>
      <c r="EC201" s="21">
        <f>EXP(-LN(2)/2)*EC200+(1-EXP(-LN(2)/2))/(LN(2)/2)*DW201*DZ201*VLOOKUP('Données projet'!$B$14,Paramètres!$A$1:$I$89,3,0)*0.475*44/12</f>
        <v>9.3255452230717686E-25</v>
      </c>
      <c r="ED201" s="22">
        <f t="shared" si="178"/>
        <v>0.18120972917344502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201.49055911472067</v>
      </c>
      <c r="T202" s="59">
        <f t="shared" si="204"/>
        <v>403.37692064114719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2.6229565726138211</v>
      </c>
      <c r="AA202" s="21">
        <f>EXP(-LN(2)/25)*AA201+(1-EXP(-LN(2)/25))/(LN(2)/25)*Calculateur!V202*Calculateur!X202*VLOOKUP('Données projet'!$B$9,Paramètres!$A$1:$I$89,3,0)*0.475*44/12</f>
        <v>0.62320321654244071</v>
      </c>
      <c r="AB202" s="21">
        <f>EXP(-LN(2)/2)*AB201+(1-EXP(-LN(2)/2))/(LN(2)/2)*V202*Y202*VLOOKUP('Données projet'!$B$9,Paramètres!$A$1:$I$89,3,0)*0.475*44/12</f>
        <v>1.8758567252967284E-23</v>
      </c>
      <c r="AC202" s="22">
        <f t="shared" si="163"/>
        <v>3.2461597891562617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39.000000000000057</v>
      </c>
      <c r="AJ202" s="13">
        <f>AI202*VLOOKUP('Données projet'!$B$10,Paramètres!$A$1:$I$89,3,0)*VLOOKUP('Données projet'!$B$10,Paramètres!$A$1:$I$89,5,0)</f>
        <v>34.070400000000056</v>
      </c>
      <c r="AK202" s="13">
        <f t="shared" si="164"/>
        <v>10.412633617059328</v>
      </c>
      <c r="AL202" s="20">
        <f t="shared" si="165"/>
        <v>77.474616883045101</v>
      </c>
      <c r="AM202" s="59">
        <f t="shared" si="193"/>
        <v>370.8079502163784</v>
      </c>
      <c r="AN202" s="59">
        <f ca="1">AVERAGE(OFFSET($AM$3,0,0,'Données projet'!$E$10+1,1))-AVERAGE(OFFSET($H$3,0,0,'Données projet'!$E$10+1,1))</f>
        <v>260.53994021583316</v>
      </c>
      <c r="AO202" s="59">
        <f t="shared" si="205"/>
        <v>669.20238852709122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1.0834680583566361E-23</v>
      </c>
      <c r="AX202" s="21">
        <f t="shared" si="166"/>
        <v>1.0834680583566361E-23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-1.1527845344971866E-13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279.20364724206644</v>
      </c>
      <c r="BJ202" s="59">
        <f t="shared" si="206"/>
        <v>173.99850582760712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3.2115552566903065E-2</v>
      </c>
      <c r="BR202" s="21">
        <f>EXP(-LN(2)/2)*BR201+(1-EXP(-LN(2)/2))/(LN(2)/2)*BL202*BO202*VLOOKUP('Données projet'!$B$11,Paramètres!$A$1:$I$89,3,0)*0.475*44/12</f>
        <v>2.5356868658365903E-25</v>
      </c>
      <c r="BS202" s="22">
        <f t="shared" si="169"/>
        <v>3.2115552566903065E-2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-1.2946657079737634E-13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327.06866218660838</v>
      </c>
      <c r="CE202" s="59">
        <f t="shared" si="207"/>
        <v>202.18198935334908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3.6068235959752608E-2</v>
      </c>
      <c r="CM202" s="21">
        <f>EXP(-LN(2)/2)*CM201+(1-EXP(-LN(2)/2))/(LN(2)/2)*CG202*CJ202*VLOOKUP('Données projet'!$B$12,Paramètres!$A$1:$I$89,3,0)*0.475*44/12</f>
        <v>2.8477714031703627E-25</v>
      </c>
      <c r="CN202" s="22">
        <f t="shared" si="172"/>
        <v>3.6068235959752608E-2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-5.1159076974727213E-13</v>
      </c>
      <c r="CU202" s="17">
        <f>CT202*VLOOKUP('Données projet'!$B$13,Paramètres!$A$1:$I$89,3,0)*VLOOKUP('Données projet'!$B$13,Paramètres!$A$1:$I$89,5,0)</f>
        <v>-4.1500243241898714E-13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266.72672633301022</v>
      </c>
      <c r="CZ202" s="59">
        <f t="shared" si="208"/>
        <v>314.26991662544219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9.4994117343080442E-2</v>
      </c>
      <c r="DG202" s="21">
        <f>EXP(-LN(2)/25)*DG201+(1-EXP(-LN(2)/25))/(LN(2)/25)*Calculateur!DB202*Calculateur!DD202*VLOOKUP('Données projet'!$B$13,Paramètres!$A$1:$I$89,3,0)*0.475*44/12</f>
        <v>0.15661448657151789</v>
      </c>
      <c r="DH202" s="21">
        <f>EXP(-LN(2)/2)*DH201+(1-EXP(-LN(2)/2))/(LN(2)/2)*DB202*DE202*VLOOKUP('Données projet'!$B$13,Paramètres!$A$1:$I$89,3,0)*0.475*44/12</f>
        <v>8.9601555716070609E-25</v>
      </c>
      <c r="DI202" s="22">
        <f t="shared" si="175"/>
        <v>0.25160860391459833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-5.6843418860808015E-14</v>
      </c>
      <c r="DP202" s="17">
        <f>DO202*VLOOKUP('Données projet'!$B$14,Paramètres!$A$1:$I$89,3,0)*VLOOKUP('Données projet'!$B$14,Paramètres!$A$1:$I$89,5,0)</f>
        <v>-6.1186256061773749E-14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442.54137223086991</v>
      </c>
      <c r="DU202" s="59">
        <f t="shared" si="209"/>
        <v>454.23406186660714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7.0227793892920137E-2</v>
      </c>
      <c r="EB202" s="21">
        <f>EXP(-LN(2)/25)*EB201+(1-EXP(-LN(2)/25))/(LN(2)/25)*Calculateur!DW202*Calculateur!DY202*VLOOKUP('Données projet'!$B$14,Paramètres!$A$1:$I$89,3,0)*0.475*44/12</f>
        <v>0.10658087026508102</v>
      </c>
      <c r="EC202" s="21">
        <f>EXP(-LN(2)/2)*EC201+(1-EXP(-LN(2)/2))/(LN(2)/2)*DW202*DZ202*VLOOKUP('Données projet'!$B$14,Paramètres!$A$1:$I$89,3,0)*0.475*44/12</f>
        <v>6.5941562654958626E-25</v>
      </c>
      <c r="ED202" s="22">
        <f t="shared" si="178"/>
        <v>0.17680866415800117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201.49055911472067</v>
      </c>
      <c r="T203" s="59">
        <f t="shared" si="204"/>
        <v>403.37692064114719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2.5715219940704017</v>
      </c>
      <c r="AA203" s="21">
        <f>EXP(-LN(2)/25)*AA202+(1-EXP(-LN(2)/25))/(LN(2)/25)*Calculateur!V203*Calculateur!X203*VLOOKUP('Données projet'!$B$9,Paramètres!$A$1:$I$89,3,0)*0.475*44/12</f>
        <v>0.60616169181325485</v>
      </c>
      <c r="AB203" s="21">
        <f>EXP(-LN(2)/2)*AB202+(1-EXP(-LN(2)/2))/(LN(2)/2)*V203*Y203*VLOOKUP('Données projet'!$B$9,Paramètres!$A$1:$I$89,3,0)*0.475*44/12</f>
        <v>1.3264310109917073E-23</v>
      </c>
      <c r="AC203" s="22">
        <f t="shared" si="163"/>
        <v>3.1776836858836566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39.000000000000057</v>
      </c>
      <c r="AJ203" s="13">
        <f>AI203*VLOOKUP('Données projet'!$B$10,Paramètres!$A$1:$I$89,3,0)*VLOOKUP('Données projet'!$B$10,Paramètres!$A$1:$I$89,5,0)</f>
        <v>34.070400000000056</v>
      </c>
      <c r="AK203" s="13">
        <f t="shared" si="164"/>
        <v>10.412633617059328</v>
      </c>
      <c r="AL203" s="20">
        <f t="shared" si="165"/>
        <v>77.474616883045101</v>
      </c>
      <c r="AM203" s="59">
        <f t="shared" si="193"/>
        <v>370.8079502163784</v>
      </c>
      <c r="AN203" s="59">
        <f ca="1">AVERAGE(OFFSET($AM$3,0,0,'Données projet'!$E$10+1,1))-AVERAGE(OFFSET($H$3,0,0,'Données projet'!$E$10+1,1))</f>
        <v>260.53994021583316</v>
      </c>
      <c r="AO203" s="59">
        <f t="shared" si="205"/>
        <v>669.20238852709122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7.6612761126299934E-24</v>
      </c>
      <c r="AX203" s="21">
        <f t="shared" si="166"/>
        <v>7.6612761126299934E-24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-1.1527845344971866E-13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279.20364724206644</v>
      </c>
      <c r="BJ203" s="59">
        <f t="shared" si="206"/>
        <v>173.99850582760712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3.1237351093077591E-2</v>
      </c>
      <c r="BR203" s="21">
        <f>EXP(-LN(2)/2)*BR202+(1-EXP(-LN(2)/2))/(LN(2)/2)*BL203*BO203*VLOOKUP('Données projet'!$B$11,Paramètres!$A$1:$I$89,3,0)*0.475*44/12</f>
        <v>1.7930013777987164E-25</v>
      </c>
      <c r="BS203" s="22">
        <f t="shared" si="169"/>
        <v>3.1237351093077591E-2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-1.2946657079737634E-13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327.06866218660838</v>
      </c>
      <c r="CE203" s="59">
        <f t="shared" si="207"/>
        <v>202.18198935334908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3.5081948150687076E-2</v>
      </c>
      <c r="CM203" s="21">
        <f>EXP(-LN(2)/2)*CM202+(1-EXP(-LN(2)/2))/(LN(2)/2)*CG203*CJ203*VLOOKUP('Données projet'!$B$12,Paramètres!$A$1:$I$89,3,0)*0.475*44/12</f>
        <v>2.0136784704508933E-25</v>
      </c>
      <c r="CN203" s="22">
        <f t="shared" si="172"/>
        <v>3.5081948150687076E-2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-5.1159076974727213E-13</v>
      </c>
      <c r="CU203" s="17">
        <f>CT203*VLOOKUP('Données projet'!$B$13,Paramètres!$A$1:$I$89,3,0)*VLOOKUP('Données projet'!$B$13,Paramètres!$A$1:$I$89,5,0)</f>
        <v>-4.1500243241898714E-13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266.72672633301022</v>
      </c>
      <c r="CZ203" s="59">
        <f t="shared" si="208"/>
        <v>314.26991662544219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9.3131340642673047E-2</v>
      </c>
      <c r="DG203" s="21">
        <f>EXP(-LN(2)/25)*DG202+(1-EXP(-LN(2)/25))/(LN(2)/25)*Calculateur!DB203*Calculateur!DD203*VLOOKUP('Données projet'!$B$13,Paramètres!$A$1:$I$89,3,0)*0.475*44/12</f>
        <v>0.15233185520022183</v>
      </c>
      <c r="DH203" s="21">
        <f>EXP(-LN(2)/2)*DH202+(1-EXP(-LN(2)/2))/(LN(2)/2)*DB203*DE203*VLOOKUP('Données projet'!$B$13,Paramètres!$A$1:$I$89,3,0)*0.475*44/12</f>
        <v>6.3357867651697788E-25</v>
      </c>
      <c r="DI203" s="22">
        <f t="shared" si="175"/>
        <v>0.24546319584289489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-5.6843418860808015E-14</v>
      </c>
      <c r="DP203" s="17">
        <f>DO203*VLOOKUP('Données projet'!$B$14,Paramètres!$A$1:$I$89,3,0)*VLOOKUP('Données projet'!$B$14,Paramètres!$A$1:$I$89,5,0)</f>
        <v>-6.1186256061773749E-14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442.54137223086991</v>
      </c>
      <c r="DU203" s="59">
        <f t="shared" si="209"/>
        <v>454.23406186660714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6.8850669689404675E-2</v>
      </c>
      <c r="EB203" s="21">
        <f>EXP(-LN(2)/25)*EB202+(1-EXP(-LN(2)/25))/(LN(2)/25)*Calculateur!DW203*Calculateur!DY203*VLOOKUP('Données projet'!$B$14,Paramètres!$A$1:$I$89,3,0)*0.475*44/12</f>
        <v>0.103666410762838</v>
      </c>
      <c r="EC203" s="21">
        <f>EXP(-LN(2)/2)*EC202+(1-EXP(-LN(2)/2))/(LN(2)/2)*DW203*DZ203*VLOOKUP('Données projet'!$B$14,Paramètres!$A$1:$I$89,3,0)*0.475*44/12</f>
        <v>4.6627726115358843E-25</v>
      </c>
      <c r="ED203" s="22">
        <f t="shared" si="178"/>
        <v>0.17251708045224268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1.4375746958096607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1.7164663642617921</v>
      </c>
      <c r="BA205" s="82">
        <f>EXP(LN('Données projet'!B88)/'Données projet'!A88)</f>
        <v>1.2054868146447177</v>
      </c>
      <c r="BV205" s="82">
        <f>EXP(LN('Données projet'!B114)/'Données projet'!A114)</f>
        <v>1.2054868146447177</v>
      </c>
      <c r="CQ205" s="82">
        <f>EXP(LN('Données projet'!B140)/'Données projet'!A140)</f>
        <v>1.2709816152101407</v>
      </c>
      <c r="DL205" s="82">
        <f>EXP(LN('Données projet'!B166)/'Données projet'!A166)</f>
        <v>1.2688471048731957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>
      <c r="A93" s="122" t="s">
        <v>208</v>
      </c>
    </row>
    <row r="94" spans="1:14">
      <c r="A94" s="122" t="s">
        <v>209</v>
      </c>
    </row>
    <row r="95" spans="1:1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P8" sqref="P8"/>
    </sheetView>
  </sheetViews>
  <sheetFormatPr baseColWidth="10" defaultColWidth="11.42578125" defaultRowHeight="1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maritime</v>
      </c>
      <c r="B6" s="146">
        <f>'Données projet'!D9</f>
        <v>9.9163000000000014</v>
      </c>
      <c r="C6" s="147">
        <f ca="1">IF(OR('Données projet'!B9="",'Données projet'!C9="",'Données projet'!C9=0%),0,Calculateur!S3)</f>
        <v>201.49055911472067</v>
      </c>
      <c r="D6" s="147">
        <f>IF(OR('Données projet'!B9="",'Données projet'!C9="",'Données projet'!C9=0%),0,Calculateur!T3)</f>
        <v>403.37692064114719</v>
      </c>
      <c r="E6" s="147">
        <f ca="1">MIN(C6,D6)</f>
        <v>201.49055911472067</v>
      </c>
      <c r="F6" s="147">
        <f ca="1">E6*B6</f>
        <v>1998.0408313493049</v>
      </c>
      <c r="G6" s="147">
        <f ca="1">F6*(100%-'Données projet'!$C$24)*(100%-'Données projet'!$C$25)*(100%-'Données projet'!$C$26)*(100%-'Données projet'!$C$27)</f>
        <v>1528.5012359822183</v>
      </c>
      <c r="H6" s="148">
        <f>IF(OR('Données projet'!B9="",'Données projet'!C9="",'Données projet'!C9=0%),0,AVERAGE(Calculateur!$AC$3:$AC$33)*B6)</f>
        <v>120.49548199314781</v>
      </c>
      <c r="I6" s="149">
        <f>H6*(100%-'Données projet'!$C$24)*(100%-'Données projet'!$C$25)*(100%-'Données projet'!$C$26)*(100%-'Données projet'!$C$27)</f>
        <v>92.17904372475806</v>
      </c>
      <c r="J6" s="150">
        <f>IF(OR('Données projet'!B9="",'Données projet'!C9="",'Données projet'!C9=0%),0,SUM(Calculateur!$V$3:$V$33)*VLOOKUP('Données projet'!$B$9,Paramètres!$A$1:$I$89,9,0)*B6)</f>
        <v>684.52218900000014</v>
      </c>
      <c r="K6" s="151">
        <f>J6*(100%-'Données projet'!$C$24)*(100%-'Données projet'!$C$25)*(100%-'Données projet'!$C$26)*(100%-'Données projet'!$C$27)</f>
        <v>523.65947458500011</v>
      </c>
      <c r="L6" s="152">
        <f ca="1">G6+I6+K6</f>
        <v>2144.3397542919765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Eucalyptus</v>
      </c>
      <c r="B7" s="154">
        <f>'Données projet'!D10</f>
        <v>4.4904000000000002</v>
      </c>
      <c r="C7" s="147">
        <f ca="1">IF(OR('Données projet'!B10="",'Données projet'!C10="",'Données projet'!C10=0%),0,Calculateur!AN3)</f>
        <v>260.53994021583316</v>
      </c>
      <c r="D7" s="147">
        <f>IF(OR('Données projet'!B10="",'Données projet'!C10="",'Données projet'!C10=0%),0,Calculateur!AO3)</f>
        <v>669.20238852709122</v>
      </c>
      <c r="E7" s="147">
        <f t="shared" ref="E7:E15" ca="1" si="0">MIN(C7,D7)</f>
        <v>260.53994021583316</v>
      </c>
      <c r="F7" s="147">
        <f t="shared" ref="F7:F15" ca="1" si="1">E7*B7</f>
        <v>1169.9285475451773</v>
      </c>
      <c r="G7" s="147">
        <f ca="1">F7*(100%-'Données projet'!$C$24)*(100%-'Données projet'!$C$25)*(100%-'Données projet'!$C$26)*(100%-'Données projet'!$C$27)</f>
        <v>894.99533887206053</v>
      </c>
      <c r="H7" s="155">
        <f>IF(OR('Données projet'!B10="",'Données projet'!C10="",'Données projet'!C10=0%),0,AVERAGE(Calculateur!$AX$3:$AX$33)*B7)</f>
        <v>242.85196963922789</v>
      </c>
      <c r="I7" s="149">
        <f>H7*(100%-'Données projet'!$C$24)*(100%-'Données projet'!$C$25)*(100%-'Données projet'!$C$26)*(100%-'Données projet'!$C$27)</f>
        <v>185.78175677400935</v>
      </c>
      <c r="J7" s="150">
        <f>IF(OR('Données projet'!B10="",'Données projet'!C10="",'Données projet'!C10=0%),0,SUM(Calculateur!$AQ$3:$AQ$33)*VLOOKUP('Données projet'!$B$10,Paramètres!$A$1:$I$89,9,0)*B7)</f>
        <v>954.21</v>
      </c>
      <c r="K7" s="151">
        <f>J7*(100%-'Données projet'!$C$24)*(100%-'Données projet'!$C$25)*(100%-'Données projet'!$C$26)*(100%-'Données projet'!$C$27)</f>
        <v>729.97065000000009</v>
      </c>
      <c r="L7" s="152">
        <f t="shared" ref="L7:L15" ca="1" si="2">G7+I7+K7</f>
        <v>1810.7477456460701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Chêne pubescent</v>
      </c>
      <c r="B8" s="154">
        <f>'Données projet'!D11</f>
        <v>1.3097000000000001</v>
      </c>
      <c r="C8" s="147">
        <f ca="1">IF(OR('Données projet'!B11="",'Données projet'!C11="",'Données projet'!C11=0%),0,Calculateur!BI3)</f>
        <v>279.20364724206644</v>
      </c>
      <c r="D8" s="147">
        <f>IF(OR('Données projet'!B11="",'Données projet'!C11="",'Données projet'!C11=0%),0,Calculateur!BJ3)</f>
        <v>173.99850582760712</v>
      </c>
      <c r="E8" s="147">
        <f t="shared" ca="1" si="0"/>
        <v>173.99850582760712</v>
      </c>
      <c r="F8" s="147">
        <f t="shared" ca="1" si="1"/>
        <v>227.88584308241707</v>
      </c>
      <c r="G8" s="147">
        <f ca="1">F8*(100%-'Données projet'!$C$24)*(100%-'Données projet'!$C$25)*(100%-'Données projet'!$C$26)*(100%-'Données projet'!$C$27)</f>
        <v>174.33266995804905</v>
      </c>
      <c r="H8" s="155">
        <f>IF(OR('Données projet'!B11="",'Données projet'!C11="",'Données projet'!C11=0%),0,AVERAGE(Calculateur!$BS$3:$BS$33)*B8)</f>
        <v>0.44010697837295398</v>
      </c>
      <c r="I8" s="149">
        <f>H8*(100%-'Données projet'!$C$24)*(100%-'Données projet'!$C$25)*(100%-'Données projet'!$C$26)*(100%-'Données projet'!$C$27)</f>
        <v>0.3366818384553098</v>
      </c>
      <c r="J8" s="150">
        <f>IF(OR('Données projet'!B11="",'Données projet'!C11="",'Données projet'!C11=0%),0,SUM(Calculateur!$BL$3:$BL$33)*VLOOKUP('Données projet'!$B$11,Paramètres!$A$1:$I$89,9,0)*B8)</f>
        <v>9.4953250000000011</v>
      </c>
      <c r="K8" s="151">
        <f>J8*(100%-'Données projet'!$C$24)*(100%-'Données projet'!$C$25)*(100%-'Données projet'!$C$26)*(100%-'Données projet'!$C$27)</f>
        <v>7.2639236250000003</v>
      </c>
      <c r="L8" s="152">
        <f t="shared" ca="1" si="2"/>
        <v>181.93327542150436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>Chêne vert</v>
      </c>
      <c r="B9" s="154">
        <f>'Données projet'!D12</f>
        <v>1.3097000000000001</v>
      </c>
      <c r="C9" s="147">
        <f ca="1">IF(OR('Données projet'!B12="",'Données projet'!C12="",'Données projet'!C12=0%),0,Calculateur!CD3)</f>
        <v>327.06866218660838</v>
      </c>
      <c r="D9" s="147">
        <f>IF(OR('Données projet'!B12="",'Données projet'!C12="",'Données projet'!C12=0%),0,Calculateur!CE3)</f>
        <v>202.18198935334908</v>
      </c>
      <c r="E9" s="147">
        <f t="shared" ca="1" si="0"/>
        <v>202.18198935334908</v>
      </c>
      <c r="F9" s="147">
        <f t="shared" ca="1" si="1"/>
        <v>264.7977514560813</v>
      </c>
      <c r="G9" s="147">
        <f ca="1">F9*(100%-'Données projet'!$C$24)*(100%-'Données projet'!$C$25)*(100%-'Données projet'!$C$26)*(100%-'Données projet'!$C$27)</f>
        <v>202.57027986390219</v>
      </c>
      <c r="H9" s="155">
        <f>IF(OR('Données projet'!B12="",'Données projet'!C12="",'Données projet'!C12=0%),0,AVERAGE(Calculateur!$CN$3:$CN$33)*B9)</f>
        <v>0.49427399109577913</v>
      </c>
      <c r="I9" s="149">
        <f>H9*(100%-'Données projet'!$C$24)*(100%-'Données projet'!$C$25)*(100%-'Données projet'!$C$26)*(100%-'Données projet'!$C$27)</f>
        <v>0.37811960318827104</v>
      </c>
      <c r="J9" s="150">
        <f>IF(OR('Données projet'!B12="",'Données projet'!C12="",'Données projet'!C12=0%),0,SUM(Calculateur!$CG$3:$CG$33)*VLOOKUP('Données projet'!$B$12,Paramètres!$A$1:$I$89,9,0)*B9)</f>
        <v>9.4953250000000011</v>
      </c>
      <c r="K9" s="151">
        <f>J9*(100%-'Données projet'!$C$24)*(100%-'Données projet'!$C$25)*(100%-'Données projet'!$C$26)*(100%-'Données projet'!$C$27)</f>
        <v>7.2639236250000003</v>
      </c>
      <c r="L9" s="152">
        <f t="shared" ca="1" si="2"/>
        <v>210.21232309209046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>Bouleau verruqueux</v>
      </c>
      <c r="B10" s="154">
        <f>'Données projet'!D13</f>
        <v>1.3097000000000001</v>
      </c>
      <c r="C10" s="147">
        <f ca="1">IF(OR('Données projet'!B13="",'Données projet'!C13="",'Données projet'!C13=0%),0,Calculateur!CY3)</f>
        <v>266.72672633301022</v>
      </c>
      <c r="D10" s="147">
        <f>IF(OR('Données projet'!B13="",'Données projet'!C13="",'Données projet'!C13=0%),0,Calculateur!CZ3)</f>
        <v>314.26991662544219</v>
      </c>
      <c r="E10" s="147">
        <f t="shared" ca="1" si="0"/>
        <v>266.72672633301022</v>
      </c>
      <c r="F10" s="147">
        <f t="shared" ca="1" si="1"/>
        <v>349.33199347834352</v>
      </c>
      <c r="G10" s="147">
        <f ca="1">F10*(100%-'Données projet'!$C$24)*(100%-'Données projet'!$C$25)*(100%-'Données projet'!$C$26)*(100%-'Données projet'!$C$27)</f>
        <v>267.23897501093279</v>
      </c>
      <c r="H10" s="155">
        <f>IF(OR('Données projet'!B13="",'Données projet'!C13="",'Données projet'!C13=0%),0,AVERAGE(Calculateur!$DI$3:$DI$33)*B10)</f>
        <v>6.065007485204652</v>
      </c>
      <c r="I10" s="149">
        <f>H10*(100%-'Données projet'!$C$24)*(100%-'Données projet'!$C$25)*(100%-'Données projet'!$C$26)*(100%-'Données projet'!$C$27)</f>
        <v>4.6397307261815595</v>
      </c>
      <c r="J10" s="150">
        <f>IF(OR('Données projet'!B13="",'Données projet'!C13="",'Données projet'!C13=0%),0,SUM(Calculateur!$DB$3:$DB$33)*VLOOKUP('Données projet'!$B$13,Paramètres!$A$1:$I$89,9,0)*B10)</f>
        <v>44.857225</v>
      </c>
      <c r="K10" s="151">
        <f>J10*(100%-'Données projet'!$C$24)*(100%-'Données projet'!$C$25)*(100%-'Données projet'!$C$26)*(100%-'Données projet'!$C$27)</f>
        <v>34.315777124999997</v>
      </c>
      <c r="L10" s="152">
        <f t="shared" ca="1" si="2"/>
        <v>306.19448286211434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>Cormier</v>
      </c>
      <c r="B11" s="154">
        <f>'Données projet'!D14</f>
        <v>0.37420000000000003</v>
      </c>
      <c r="C11" s="147">
        <f ca="1">IF(OR('Données projet'!B14="",'Données projet'!C14="",'Données projet'!C14=0%),0,Calculateur!DT3)</f>
        <v>442.54137223086991</v>
      </c>
      <c r="D11" s="147">
        <f>IF(OR('Données projet'!B14="",'Données projet'!C14="",'Données projet'!C14=0%),0,Calculateur!DU3)</f>
        <v>454.23406186660714</v>
      </c>
      <c r="E11" s="147">
        <f t="shared" ca="1" si="0"/>
        <v>442.54137223086991</v>
      </c>
      <c r="F11" s="147">
        <f t="shared" ca="1" si="1"/>
        <v>165.59898148879154</v>
      </c>
      <c r="G11" s="147">
        <f ca="1">F11*(100%-'Données projet'!$C$24)*(100%-'Données projet'!$C$25)*(100%-'Données projet'!$C$26)*(100%-'Données projet'!$C$27)</f>
        <v>126.68322083892554</v>
      </c>
      <c r="H11" s="155">
        <f>IF(OR('Données projet'!B14="",'Données projet'!C14="",'Données projet'!C14=0%),0,AVERAGE(Calculateur!$ED$3:$ED$33)*B11)</f>
        <v>1.0226825405524973</v>
      </c>
      <c r="I11" s="149">
        <f>H11*(100%-'Données projet'!$C$24)*(100%-'Données projet'!$C$25)*(100%-'Données projet'!$C$26)*(100%-'Données projet'!$C$27)</f>
        <v>0.78235214352266036</v>
      </c>
      <c r="J11" s="150">
        <f>IF(OR('Données projet'!B14="",'Données projet'!C14="",'Données projet'!C14=0%),0,SUM(Calculateur!$DW$3:$DW$33)*VLOOKUP('Données projet'!$B$14,Paramètres!$A$1:$I$89,9,0)*B11)</f>
        <v>6.1743000000000006</v>
      </c>
      <c r="K11" s="151">
        <f>J11*(100%-'Données projet'!$C$24)*(100%-'Données projet'!$C$25)*(100%-'Données projet'!$C$26)*(100%-'Données projet'!$C$27)</f>
        <v>4.7233395000000007</v>
      </c>
      <c r="L11" s="152">
        <f t="shared" ca="1" si="2"/>
        <v>132.18891248244819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>
      <c r="A16" s="209"/>
      <c r="B16" s="213"/>
      <c r="C16" s="214"/>
      <c r="D16" s="23"/>
      <c r="E16" s="23"/>
      <c r="F16" s="165">
        <f t="shared" ref="F16:L16" ca="1" si="3">SUM(F6:F15)</f>
        <v>4175.5839484001153</v>
      </c>
      <c r="G16" s="166">
        <f t="shared" ca="1" si="3"/>
        <v>3194.3217205260885</v>
      </c>
      <c r="H16" s="167">
        <f t="shared" si="3"/>
        <v>371.36952262760161</v>
      </c>
      <c r="I16" s="167">
        <f t="shared" si="3"/>
        <v>284.0976848101152</v>
      </c>
      <c r="J16" s="168">
        <f t="shared" si="3"/>
        <v>1708.7543640000004</v>
      </c>
      <c r="K16" s="168">
        <f t="shared" si="3"/>
        <v>1307.1970884600003</v>
      </c>
      <c r="L16" s="169">
        <f t="shared" ca="1" si="3"/>
        <v>4785.6164937962048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>
      <c r="A39" s="170" t="str">
        <f>A7</f>
        <v>Eucalyptus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>
      <c r="A94" s="170" t="str">
        <f>A10</f>
        <v>Bouleau verruqueux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80" zoomScaleNormal="80" workbookViewId="0">
      <selection activeCell="R7" sqref="R7:V28"/>
    </sheetView>
  </sheetViews>
  <sheetFormatPr baseColWidth="10" defaultColWidth="11.42578125" defaultRowHeight="1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3387.9744425201634</v>
      </c>
      <c r="U10" s="178">
        <f>'Données projet'!D9</f>
        <v>9.9163000000000014</v>
      </c>
      <c r="V10" s="177">
        <f>U10*T10</f>
        <v>33596.170964362704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Eucalyptus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4337.0332903254266</v>
      </c>
      <c r="U11" s="178">
        <f>'Données projet'!D10</f>
        <v>4.4904000000000002</v>
      </c>
      <c r="V11" s="177">
        <f t="shared" ref="V11" si="0">U11*T11</f>
        <v>19475.014286877296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-10000</v>
      </c>
      <c r="U12" s="178">
        <f>'Données projet'!D11</f>
        <v>1.3097000000000001</v>
      </c>
      <c r="V12" s="177">
        <f t="shared" ref="V12:V19" si="1">U12*T12</f>
        <v>-13097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-10000</v>
      </c>
      <c r="U13" s="178">
        <f>'Données projet'!D12</f>
        <v>1.3097000000000001</v>
      </c>
      <c r="V13" s="177">
        <f t="shared" si="1"/>
        <v>-13097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Bouleau verruqueux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-10000</v>
      </c>
      <c r="U14" s="178">
        <f>'Données projet'!D13</f>
        <v>1.3097000000000001</v>
      </c>
      <c r="V14" s="177">
        <f t="shared" si="1"/>
        <v>-13097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-10000</v>
      </c>
      <c r="U15" s="178">
        <f>'Données projet'!D14</f>
        <v>0.37420000000000003</v>
      </c>
      <c r="V15" s="177">
        <f t="shared" si="1"/>
        <v>-3742.0000000000005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2200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34.999999999999986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1049.9999999999995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3300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14</v>
      </c>
      <c r="B23" s="181">
        <f>'Données projet'!D36</f>
        <v>45</v>
      </c>
      <c r="C23" s="193">
        <v>10</v>
      </c>
      <c r="D23" s="182">
        <f>B23*C23</f>
        <v>450</v>
      </c>
      <c r="E23" s="193"/>
      <c r="F23" s="230"/>
      <c r="H23" s="190">
        <v>3</v>
      </c>
      <c r="I23" s="191">
        <v>650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-110263.19313710512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20</v>
      </c>
      <c r="B24" s="181">
        <f>'Données projet'!D37</f>
        <v>72</v>
      </c>
      <c r="C24" s="193">
        <v>35</v>
      </c>
      <c r="D24" s="182">
        <f t="shared" ref="D24:D42" si="2">B24*C24</f>
        <v>2520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4209.1356375467485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35</v>
      </c>
      <c r="B25" s="181">
        <f>'Données projet'!D38</f>
        <v>446</v>
      </c>
      <c r="C25" s="193">
        <v>45</v>
      </c>
      <c r="D25" s="182">
        <f t="shared" si="2"/>
        <v>20070</v>
      </c>
      <c r="E25" s="193"/>
      <c r="F25" s="233"/>
      <c r="H25" s="190">
        <v>5</v>
      </c>
      <c r="I25" s="191">
        <v>650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-114472.32877465186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166</v>
      </c>
      <c r="B45" s="174" t="str">
        <f>IF('Données projet'!$B$10="","",'Données projet'!$B$10)</f>
        <v>Eucalyptus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1800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10</v>
      </c>
      <c r="B54" s="181">
        <f>'Données projet'!D62</f>
        <v>200</v>
      </c>
      <c r="C54" s="191">
        <v>15</v>
      </c>
      <c r="D54" s="179">
        <f>B54*C54</f>
        <v>3000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20</v>
      </c>
      <c r="B55" s="181">
        <f>'Données projet'!D63</f>
        <v>300</v>
      </c>
      <c r="C55" s="191">
        <v>45</v>
      </c>
      <c r="D55" s="179">
        <f t="shared" ref="D55:D73" si="4">B55*C55</f>
        <v>13500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30</v>
      </c>
      <c r="B56" s="181">
        <f>'Données projet'!D64</f>
        <v>350</v>
      </c>
      <c r="C56" s="191">
        <v>45</v>
      </c>
      <c r="D56" s="179">
        <f t="shared" si="4"/>
        <v>15750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10000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30</v>
      </c>
      <c r="B86" s="181">
        <f>'Données projet'!D89</f>
        <v>29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40</v>
      </c>
      <c r="B87" s="181">
        <f>'Données projet'!D90</f>
        <v>42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50</v>
      </c>
      <c r="B88" s="181">
        <f>'Données projet'!D91</f>
        <v>42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60</v>
      </c>
      <c r="B89" s="181">
        <f>'Données projet'!D92</f>
        <v>42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70</v>
      </c>
      <c r="B90" s="181">
        <f>'Données projet'!D93</f>
        <v>42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80</v>
      </c>
      <c r="B91" s="181">
        <f>'Données projet'!D94</f>
        <v>42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90</v>
      </c>
      <c r="B92" s="181">
        <f>'Données projet'!D95</f>
        <v>42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100</v>
      </c>
      <c r="B93" s="181">
        <f>'Données projet'!D96</f>
        <v>42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110</v>
      </c>
      <c r="B94" s="181">
        <f>'Données projet'!D97</f>
        <v>39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120</v>
      </c>
      <c r="B95" s="181">
        <f>'Données projet'!D98</f>
        <v>303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10000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20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30</v>
      </c>
      <c r="B117" s="181">
        <f>'Données projet'!D115</f>
        <v>29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40</v>
      </c>
      <c r="B118" s="181">
        <f>'Données projet'!D116</f>
        <v>42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50</v>
      </c>
      <c r="B119" s="181">
        <f>'Données projet'!D117</f>
        <v>42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60</v>
      </c>
      <c r="B120" s="181">
        <f>'Données projet'!D118</f>
        <v>42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70</v>
      </c>
      <c r="B121" s="181">
        <f>'Données projet'!D119</f>
        <v>42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80</v>
      </c>
      <c r="B122" s="181">
        <f>'Données projet'!D120</f>
        <v>42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90</v>
      </c>
      <c r="B123" s="181">
        <f>'Données projet'!D121</f>
        <v>42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100</v>
      </c>
      <c r="B124" s="181">
        <f>'Données projet'!D122</f>
        <v>42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110</v>
      </c>
      <c r="B125" s="181">
        <f>'Données projet'!D123</f>
        <v>39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120</v>
      </c>
      <c r="B126" s="181">
        <f>'Données projet'!D124</f>
        <v>303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169</v>
      </c>
      <c r="B138" s="174" t="str">
        <f>IF('Données projet'!B13="","",'Données projet'!B13)</f>
        <v>Bouleau verruqueux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10000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20</v>
      </c>
      <c r="B148" s="175">
        <f>'Données projet'!D141</f>
        <v>67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30</v>
      </c>
      <c r="B149" s="175">
        <f>'Données projet'!D142</f>
        <v>70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40</v>
      </c>
      <c r="B150" s="175">
        <f>'Données projet'!D143</f>
        <v>70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50</v>
      </c>
      <c r="B151" s="175">
        <f>'Données projet'!D144</f>
        <v>43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60</v>
      </c>
      <c r="B152" s="175">
        <f>'Données projet'!D145</f>
        <v>30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70</v>
      </c>
      <c r="B153" s="175">
        <f>'Données projet'!D146</f>
        <v>26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80</v>
      </c>
      <c r="B154" s="175">
        <f>'Données projet'!D147</f>
        <v>342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170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10000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20</v>
      </c>
      <c r="B178" s="181">
        <f>'Données projet'!D166</f>
        <v>27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30</v>
      </c>
      <c r="B179" s="181">
        <f>'Données projet'!D167</f>
        <v>39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40</v>
      </c>
      <c r="B180" s="181">
        <f>'Données projet'!D168</f>
        <v>61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50</v>
      </c>
      <c r="B181" s="181">
        <f>'Données projet'!D169</f>
        <v>71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60</v>
      </c>
      <c r="B182" s="181">
        <f>'Données projet'!D170</f>
        <v>72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70</v>
      </c>
      <c r="B183" s="181">
        <f>'Données projet'!D171</f>
        <v>69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80</v>
      </c>
      <c r="B184" s="181">
        <f>'Données projet'!D172</f>
        <v>412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Isabelle PLANTAT</cp:lastModifiedBy>
  <cp:lastPrinted>2024-10-15T12:16:06Z</cp:lastPrinted>
  <dcterms:created xsi:type="dcterms:W3CDTF">2021-02-01T08:22:39Z</dcterms:created>
  <dcterms:modified xsi:type="dcterms:W3CDTF">2024-10-15T12:43:36Z</dcterms:modified>
</cp:coreProperties>
</file>