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Yves LACOUTURE/St-Etienne-de-Puycorbier (Daniel Tournier)/2.Dossier_LBC_déposé/"/>
    </mc:Choice>
  </mc:AlternateContent>
  <xr:revisionPtr revIDLastSave="0" documentId="8_{475A3E12-DC67-4679-ABA7-29FD8D1492F1}" xr6:coauthVersionLast="47" xr6:coauthVersionMax="47" xr10:uidLastSave="{00000000-0000-0000-0000-000000000000}"/>
  <bookViews>
    <workbookView xWindow="-60" yWindow="120" windowWidth="19190" windowHeight="112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GL4" i="2"/>
  <c r="BQ4" i="2"/>
  <c r="BR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C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X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I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EC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HG146" i="2"/>
  <c r="EA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FS156" i="2"/>
  <c r="DH156" i="2"/>
  <c r="EX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HH157" i="2"/>
  <c r="EA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EA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HG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HH168" i="2"/>
  <c r="EV168" i="2"/>
  <c r="EY168" i="2" s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V172" i="2"/>
  <c r="EA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FS175" i="2"/>
  <c r="EW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H185" i="2"/>
  <c r="EB185" i="2"/>
  <c r="HI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W192" i="2"/>
  <c r="EC192" i="2"/>
  <c r="HI192" i="2"/>
  <c r="EV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FQ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FQ195" i="2" l="1"/>
  <c r="HI195" i="2"/>
  <c r="EA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S202" i="2" l="1"/>
  <c r="FZ6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165" i="2" a="1"/>
  <c r="FY165" i="2" s="1"/>
  <c r="FY35" i="2" a="1"/>
  <c r="FY35" i="2" s="1"/>
  <c r="FY29" i="2" a="1"/>
  <c r="FY29" i="2" s="1"/>
  <c r="FY18" i="2" a="1"/>
  <c r="FY18" i="2" s="1"/>
  <c r="FY110" i="2" a="1"/>
  <c r="FY110" i="2" s="1"/>
  <c r="FY191" i="2" a="1"/>
  <c r="FY191" i="2" s="1"/>
  <c r="FY143" i="2" a="1"/>
  <c r="FY143" i="2" s="1"/>
  <c r="FY186" i="2" a="1"/>
  <c r="FY186" i="2" s="1"/>
  <c r="FY174" i="2" a="1"/>
  <c r="FY174" i="2" s="1"/>
  <c r="FY78" i="2" a="1"/>
  <c r="FY78" i="2" s="1"/>
  <c r="FY28" i="2" a="1"/>
  <c r="FY28" i="2" s="1"/>
  <c r="FY55" i="2" a="1"/>
  <c r="FY55" i="2" s="1"/>
  <c r="FY124" i="2" a="1"/>
  <c r="FY124" i="2" s="1"/>
  <c r="FY24" i="2" a="1"/>
  <c r="FY24" i="2" s="1"/>
  <c r="FY149" i="2" a="1"/>
  <c r="FY149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58" i="2" a="1"/>
  <c r="FY58" i="2" s="1"/>
  <c r="FY182" i="2" a="1"/>
  <c r="FY182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83" i="2" a="1"/>
  <c r="BC83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38" i="2" l="1" a="1"/>
  <c r="BC38" i="2" s="1"/>
  <c r="BC151" i="2" a="1"/>
  <c r="BC151" i="2" s="1"/>
  <c r="BC82" i="2" a="1"/>
  <c r="BC82" i="2" s="1"/>
  <c r="BC32" i="2" a="1"/>
  <c r="BC32" i="2" s="1"/>
  <c r="BC164" i="2" a="1"/>
  <c r="BC164" i="2" s="1"/>
  <c r="BC55" i="2" a="1"/>
  <c r="BC55" i="2" s="1"/>
  <c r="BC18" i="2" a="1"/>
  <c r="BC18" i="2" s="1"/>
  <c r="BC130" i="2" a="1"/>
  <c r="BC130" i="2" s="1"/>
  <c r="AH151" i="2" a="1"/>
  <c r="AH151" i="2" s="1"/>
  <c r="BP203" i="2"/>
  <c r="AH90" i="2" a="1"/>
  <c r="AH90" i="2" s="1"/>
  <c r="FY115" i="2" a="1"/>
  <c r="FY115" i="2" s="1"/>
  <c r="CS77" i="2" a="1"/>
  <c r="CS77" i="2" s="1"/>
  <c r="BC114" i="2" a="1"/>
  <c r="BC114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FY86" i="2" a="1"/>
  <c r="FY86" i="2" s="1"/>
  <c r="BC126" i="2" a="1"/>
  <c r="BC12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CS137" i="2" a="1"/>
  <c r="CS137" i="2" s="1"/>
  <c r="CS161" i="2" a="1"/>
  <c r="CS161" i="2" s="1"/>
  <c r="CS52" i="2" a="1"/>
  <c r="CS52" i="2" s="1"/>
  <c r="FY169" i="2" a="1"/>
  <c r="FY169" i="2" s="1"/>
  <c r="FY99" i="2" a="1"/>
  <c r="FY99" i="2" s="1"/>
  <c r="FY153" i="2" a="1"/>
  <c r="FY153" i="2" s="1"/>
  <c r="BX107" i="2" a="1"/>
  <c r="BX107" i="2" s="1"/>
  <c r="CS114" i="2" a="1"/>
  <c r="CS114" i="2" s="1"/>
  <c r="CS120" i="2" a="1"/>
  <c r="CS120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CS72" i="2" a="1"/>
  <c r="CS72" i="2" s="1"/>
  <c r="CS56" i="2" a="1"/>
  <c r="CS56" i="2" s="1"/>
  <c r="BC192" i="2" a="1"/>
  <c r="BC192" i="2" s="1"/>
  <c r="FY30" i="2" a="1"/>
  <c r="FY30" i="2" s="1"/>
  <c r="AH62" i="2" a="1"/>
  <c r="AH62" i="2" s="1"/>
  <c r="CS116" i="2" a="1"/>
  <c r="CS116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CS129" i="2" a="1"/>
  <c r="CS129" i="2" s="1"/>
  <c r="FY146" i="2" a="1"/>
  <c r="FY146" i="2" s="1"/>
  <c r="FY42" i="2" a="1"/>
  <c r="FY42" i="2" s="1"/>
  <c r="AH199" i="2" a="1"/>
  <c r="AH199" i="2" s="1"/>
  <c r="FY72" i="2" a="1"/>
  <c r="FY72" i="2" s="1"/>
  <c r="FY111" i="2" a="1"/>
  <c r="FY111" i="2" s="1"/>
  <c r="FY66" i="2" a="1"/>
  <c r="FY66" i="2" s="1"/>
  <c r="FY90" i="2" a="1"/>
  <c r="FY90" i="2" s="1"/>
  <c r="CS105" i="2" a="1"/>
  <c r="CS105" i="2" s="1"/>
  <c r="CS134" i="2" a="1"/>
  <c r="CS134" i="2" s="1"/>
  <c r="CS185" i="2" a="1"/>
  <c r="CS185" i="2" s="1"/>
  <c r="FY196" i="2" a="1"/>
  <c r="FY196" i="2" s="1"/>
  <c r="AH166" i="2" a="1"/>
  <c r="AH166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CS24" i="2" a="1"/>
  <c r="CS24" i="2" s="1"/>
  <c r="FY82" i="2" a="1"/>
  <c r="FY82" i="2" s="1"/>
  <c r="AH19" i="2" a="1"/>
  <c r="AH19" i="2" s="1"/>
  <c r="BC181" i="2" a="1"/>
  <c r="BC181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<sst xmlns="http://schemas.openxmlformats.org/spreadsheetml/2006/main" count="1172" uniqueCount="324">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</sst>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25.853796438624396</c:v>
                </c:pt>
                <c:pt idx="12">
                  <c:v>35.954302112242566</c:v>
                </c:pt>
                <c:pt idx="13">
                  <c:v>45.976451369424893</c:v>
                </c:pt>
                <c:pt idx="14">
                  <c:v>55.939937888059376</c:v>
                </c:pt>
                <c:pt idx="15">
                  <c:v>65.856755599682032</c:v>
                </c:pt>
                <c:pt idx="16">
                  <c:v>77.474616883044959</c:v>
                </c:pt>
                <c:pt idx="17">
                  <c:v>94.820374611380615</c:v>
                </c:pt>
                <c:pt idx="18">
                  <c:v>112.08679847851977</c:v>
                </c:pt>
                <c:pt idx="19">
                  <c:v>129.28787235572034</c:v>
                </c:pt>
                <c:pt idx="20">
                  <c:v>146.43353271796309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284.20425004649206</c:v>
                </c:pt>
                <c:pt idx="52">
                  <c:v>293.19298034625791</c:v>
                </c:pt>
                <c:pt idx="53">
                  <c:v>302.1755599747317</c:v>
                </c:pt>
                <c:pt idx="54">
                  <c:v>311.15219769628237</c:v>
                </c:pt>
                <c:pt idx="55">
                  <c:v>320.12308923699328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304.98138810771292</c:v>
                </c:pt>
                <c:pt idx="62">
                  <c:v>312.27386950303764</c:v>
                </c:pt>
                <c:pt idx="63">
                  <c:v>319.56257332567844</c:v>
                </c:pt>
                <c:pt idx="64">
                  <c:v>326.84759797683068</c:v>
                </c:pt>
                <c:pt idx="65">
                  <c:v>334.12903710888452</c:v>
                </c:pt>
                <c:pt idx="66">
                  <c:v>312.83467185841943</c:v>
                </c:pt>
                <c:pt idx="67">
                  <c:v>319.56257332567844</c:v>
                </c:pt>
                <c:pt idx="68">
                  <c:v>326.28733992743042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319.56257332567844</c:v>
                </c:pt>
                <c:pt idx="72">
                  <c:v>326.00720293449439</c:v>
                </c:pt>
                <c:pt idx="73">
                  <c:v>332.44901850357923</c:v>
                </c:pt>
                <c:pt idx="74">
                  <c:v>338.88808231320309</c:v>
                </c:pt>
                <c:pt idx="75">
                  <c:v>345.32445408122311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332.44901850357911</c:v>
                </c:pt>
                <c:pt idx="82">
                  <c:v>337.76844015494419</c:v>
                </c:pt>
                <c:pt idx="83">
                  <c:v>343.08601778170447</c:v>
                </c:pt>
                <c:pt idx="84">
                  <c:v>348.40178403373966</c:v>
                </c:pt>
                <c:pt idx="85">
                  <c:v>353.71577048208877</c:v>
                </c:pt>
                <c:pt idx="86">
                  <c:v>337.76844015494424</c:v>
                </c:pt>
                <c:pt idx="87">
                  <c:v>342.80619071488081</c:v>
                </c:pt>
                <c:pt idx="88">
                  <c:v>347.84231404401629</c:v>
                </c:pt>
                <c:pt idx="89">
                  <c:v>352.87683705646708</c:v>
                </c:pt>
                <c:pt idx="90">
                  <c:v>357.90978583474595</c:v>
                </c:pt>
                <c:pt idx="91">
                  <c:v>338.32827143043056</c:v>
                </c:pt>
                <c:pt idx="92">
                  <c:v>338.32827143043056</c:v>
                </c:pt>
                <c:pt idx="93">
                  <c:v>338.32827143043056</c:v>
                </c:pt>
                <c:pt idx="94">
                  <c:v>338.32827143043056</c:v>
                </c:pt>
                <c:pt idx="95">
                  <c:v>338.32827143043056</c:v>
                </c:pt>
                <c:pt idx="96">
                  <c:v>338.32827143043056</c:v>
                </c:pt>
                <c:pt idx="97">
                  <c:v>338.32827143043056</c:v>
                </c:pt>
                <c:pt idx="98">
                  <c:v>338.32827143043056</c:v>
                </c:pt>
                <c:pt idx="99">
                  <c:v>338.32827143043056</c:v>
                </c:pt>
                <c:pt idx="100">
                  <c:v>338.32827143043056</c:v>
                </c:pt>
                <c:pt idx="101">
                  <c:v>338.32827143043056</c:v>
                </c:pt>
                <c:pt idx="102">
                  <c:v>338.32827143043056</c:v>
                </c:pt>
                <c:pt idx="103">
                  <c:v>338.32827143043056</c:v>
                </c:pt>
                <c:pt idx="104">
                  <c:v>338.32827143043056</c:v>
                </c:pt>
                <c:pt idx="105">
                  <c:v>338.32827143043056</c:v>
                </c:pt>
                <c:pt idx="106">
                  <c:v>338.32827143043056</c:v>
                </c:pt>
                <c:pt idx="107">
                  <c:v>338.32827143043056</c:v>
                </c:pt>
                <c:pt idx="108">
                  <c:v>338.32827143043056</c:v>
                </c:pt>
                <c:pt idx="109">
                  <c:v>338.32827143043056</c:v>
                </c:pt>
                <c:pt idx="110">
                  <c:v>338.32827143043056</c:v>
                </c:pt>
                <c:pt idx="111">
                  <c:v>338.32827143043056</c:v>
                </c:pt>
                <c:pt idx="112">
                  <c:v>338.32827143043056</c:v>
                </c:pt>
                <c:pt idx="113">
                  <c:v>338.32827143043056</c:v>
                </c:pt>
                <c:pt idx="114">
                  <c:v>338.32827143043056</c:v>
                </c:pt>
                <c:pt idx="115">
                  <c:v>338.32827143043056</c:v>
                </c:pt>
                <c:pt idx="116">
                  <c:v>338.32827143043056</c:v>
                </c:pt>
                <c:pt idx="117">
                  <c:v>338.32827143043056</c:v>
                </c:pt>
                <c:pt idx="118">
                  <c:v>338.32827143043056</c:v>
                </c:pt>
                <c:pt idx="119">
                  <c:v>338.32827143043056</c:v>
                </c:pt>
                <c:pt idx="120">
                  <c:v>338.32827143043056</c:v>
                </c:pt>
                <c:pt idx="121">
                  <c:v>338.32827143043056</c:v>
                </c:pt>
                <c:pt idx="122">
                  <c:v>338.32827143043056</c:v>
                </c:pt>
                <c:pt idx="123">
                  <c:v>338.32827143043056</c:v>
                </c:pt>
                <c:pt idx="124">
                  <c:v>338.32827143043056</c:v>
                </c:pt>
                <c:pt idx="125">
                  <c:v>338.32827143043056</c:v>
                </c:pt>
                <c:pt idx="126">
                  <c:v>338.32827143043056</c:v>
                </c:pt>
                <c:pt idx="127">
                  <c:v>338.32827143043056</c:v>
                </c:pt>
                <c:pt idx="128">
                  <c:v>338.32827143043056</c:v>
                </c:pt>
                <c:pt idx="129">
                  <c:v>338.32827143043056</c:v>
                </c:pt>
                <c:pt idx="130">
                  <c:v>338.32827143043056</c:v>
                </c:pt>
                <c:pt idx="131">
                  <c:v>338.32827143043056</c:v>
                </c:pt>
                <c:pt idx="132">
                  <c:v>338.32827143043056</c:v>
                </c:pt>
                <c:pt idx="133">
                  <c:v>338.32827143043056</c:v>
                </c:pt>
                <c:pt idx="134">
                  <c:v>338.32827143043056</c:v>
                </c:pt>
                <c:pt idx="135">
                  <c:v>338.32827143043056</c:v>
                </c:pt>
                <c:pt idx="136">
                  <c:v>338.32827143043056</c:v>
                </c:pt>
                <c:pt idx="137">
                  <c:v>338.32827143043056</c:v>
                </c:pt>
                <c:pt idx="138">
                  <c:v>338.32827143043056</c:v>
                </c:pt>
                <c:pt idx="139">
                  <c:v>338.32827143043056</c:v>
                </c:pt>
                <c:pt idx="140">
                  <c:v>338.32827143043056</c:v>
                </c:pt>
                <c:pt idx="141">
                  <c:v>338.32827143043056</c:v>
                </c:pt>
                <c:pt idx="142">
                  <c:v>338.32827143043056</c:v>
                </c:pt>
                <c:pt idx="143">
                  <c:v>338.32827143043056</c:v>
                </c:pt>
                <c:pt idx="144">
                  <c:v>338.32827143043056</c:v>
                </c:pt>
                <c:pt idx="145">
                  <c:v>338.32827143043056</c:v>
                </c:pt>
                <c:pt idx="146">
                  <c:v>338.32827143043056</c:v>
                </c:pt>
                <c:pt idx="147">
                  <c:v>338.32827143043056</c:v>
                </c:pt>
                <c:pt idx="148">
                  <c:v>338.32827143043056</c:v>
                </c:pt>
                <c:pt idx="149">
                  <c:v>338.32827143043056</c:v>
                </c:pt>
                <c:pt idx="150">
                  <c:v>338.32827143043056</c:v>
                </c:pt>
                <c:pt idx="151">
                  <c:v>338.32827143043056</c:v>
                </c:pt>
                <c:pt idx="152">
                  <c:v>338.32827143043056</c:v>
                </c:pt>
                <c:pt idx="153">
                  <c:v>338.32827143043056</c:v>
                </c:pt>
                <c:pt idx="154">
                  <c:v>338.32827143043056</c:v>
                </c:pt>
                <c:pt idx="155">
                  <c:v>338.32827143043056</c:v>
                </c:pt>
                <c:pt idx="156">
                  <c:v>338.32827143043056</c:v>
                </c:pt>
                <c:pt idx="157">
                  <c:v>338.32827143043056</c:v>
                </c:pt>
                <c:pt idx="158">
                  <c:v>338.32827143043056</c:v>
                </c:pt>
                <c:pt idx="159">
                  <c:v>338.32827143043056</c:v>
                </c:pt>
                <c:pt idx="160">
                  <c:v>338.32827143043056</c:v>
                </c:pt>
                <c:pt idx="161">
                  <c:v>338.32827143043056</c:v>
                </c:pt>
                <c:pt idx="162">
                  <c:v>338.32827143043056</c:v>
                </c:pt>
                <c:pt idx="163">
                  <c:v>338.32827143043056</c:v>
                </c:pt>
                <c:pt idx="164">
                  <c:v>338.32827143043056</c:v>
                </c:pt>
                <c:pt idx="165">
                  <c:v>338.32827143043056</c:v>
                </c:pt>
                <c:pt idx="166">
                  <c:v>338.32827143043056</c:v>
                </c:pt>
                <c:pt idx="167">
                  <c:v>338.32827143043056</c:v>
                </c:pt>
                <c:pt idx="168">
                  <c:v>338.32827143043056</c:v>
                </c:pt>
                <c:pt idx="169">
                  <c:v>338.32827143043056</c:v>
                </c:pt>
                <c:pt idx="170">
                  <c:v>338.32827143043056</c:v>
                </c:pt>
                <c:pt idx="171">
                  <c:v>338.32827143043056</c:v>
                </c:pt>
                <c:pt idx="172">
                  <c:v>338.32827143043056</c:v>
                </c:pt>
                <c:pt idx="173">
                  <c:v>338.32827143043056</c:v>
                </c:pt>
                <c:pt idx="174">
                  <c:v>338.32827143043056</c:v>
                </c:pt>
                <c:pt idx="175">
                  <c:v>338.32827143043056</c:v>
                </c:pt>
                <c:pt idx="176">
                  <c:v>338.32827143043056</c:v>
                </c:pt>
                <c:pt idx="177">
                  <c:v>338.32827143043056</c:v>
                </c:pt>
                <c:pt idx="178">
                  <c:v>338.32827143043056</c:v>
                </c:pt>
                <c:pt idx="179">
                  <c:v>338.32827143043056</c:v>
                </c:pt>
                <c:pt idx="180">
                  <c:v>338.32827143043056</c:v>
                </c:pt>
                <c:pt idx="181">
                  <c:v>338.32827143043056</c:v>
                </c:pt>
                <c:pt idx="182">
                  <c:v>338.32827143043056</c:v>
                </c:pt>
                <c:pt idx="183">
                  <c:v>338.32827143043056</c:v>
                </c:pt>
                <c:pt idx="184">
                  <c:v>338.32827143043056</c:v>
                </c:pt>
                <c:pt idx="185">
                  <c:v>338.32827143043056</c:v>
                </c:pt>
                <c:pt idx="186">
                  <c:v>338.32827143043056</c:v>
                </c:pt>
                <c:pt idx="187">
                  <c:v>338.32827143043056</c:v>
                </c:pt>
                <c:pt idx="188">
                  <c:v>338.32827143043056</c:v>
                </c:pt>
                <c:pt idx="189">
                  <c:v>338.32827143043056</c:v>
                </c:pt>
                <c:pt idx="190">
                  <c:v>338.32827143043056</c:v>
                </c:pt>
                <c:pt idx="191">
                  <c:v>338.32827143043056</c:v>
                </c:pt>
                <c:pt idx="192">
                  <c:v>338.32827143043056</c:v>
                </c:pt>
                <c:pt idx="193">
                  <c:v>338.32827143043056</c:v>
                </c:pt>
                <c:pt idx="194">
                  <c:v>338.32827143043056</c:v>
                </c:pt>
                <c:pt idx="195">
                  <c:v>338.32827143043056</c:v>
                </c:pt>
                <c:pt idx="196">
                  <c:v>338.32827143043056</c:v>
                </c:pt>
                <c:pt idx="197">
                  <c:v>338.32827143043056</c:v>
                </c:pt>
                <c:pt idx="198">
                  <c:v>338.32827143043056</c:v>
                </c:pt>
                <c:pt idx="199">
                  <c:v>338.32827143043056</c:v>
                </c:pt>
                <c:pt idx="200">
                  <c:v>338.32827143043056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2.658749251559327</c:v>
                </c:pt>
                <c:pt idx="2">
                  <c:v>3.059560552114243</c:v>
                </c:pt>
                <c:pt idx="3">
                  <c:v>3.5210118069753462</c:v>
                </c:pt>
                <c:pt idx="4">
                  <c:v>4.0523084345477161</c:v>
                </c:pt>
                <c:pt idx="5">
                  <c:v>4.6640576962428177</c:v>
                </c:pt>
                <c:pt idx="6">
                  <c:v>5.3684828029803269</c:v>
                </c:pt>
                <c:pt idx="7">
                  <c:v>6.1796698114529072</c:v>
                </c:pt>
                <c:pt idx="8">
                  <c:v>7.1138523443415984</c:v>
                </c:pt>
                <c:pt idx="9">
                  <c:v>8.1897399433287887</c:v>
                </c:pt>
                <c:pt idx="10">
                  <c:v>9.4288967578670047</c:v>
                </c:pt>
                <c:pt idx="11">
                  <c:v>10.856178304679309</c:v>
                </c:pt>
                <c:pt idx="12">
                  <c:v>12.500235224200713</c:v>
                </c:pt>
                <c:pt idx="13">
                  <c:v>14.394094335228163</c:v>
                </c:pt>
                <c:pt idx="14">
                  <c:v>16.575828876347604</c:v>
                </c:pt>
                <c:pt idx="15">
                  <c:v>19.089331655068914</c:v>
                </c:pt>
                <c:pt idx="16">
                  <c:v>21.985206940924698</c:v>
                </c:pt>
                <c:pt idx="17">
                  <c:v>25.321799380849907</c:v>
                </c:pt>
                <c:pt idx="18">
                  <c:v>29.166381034510199</c:v>
                </c:pt>
                <c:pt idx="19">
                  <c:v>33.596520882278078</c:v>
                </c:pt>
                <c:pt idx="20">
                  <c:v>38.701664916704651</c:v>
                </c:pt>
                <c:pt idx="21">
                  <c:v>44.584959267496522</c:v>
                </c:pt>
                <c:pt idx="22">
                  <c:v>51.365353820152315</c:v>
                </c:pt>
                <c:pt idx="23">
                  <c:v>59.18002957346571</c:v>
                </c:pt>
                <c:pt idx="24">
                  <c:v>68.187199661105026</c:v>
                </c:pt>
                <c:pt idx="25">
                  <c:v>78.569341676100748</c:v>
                </c:pt>
                <c:pt idx="26">
                  <c:v>90.536927844489369</c:v>
                </c:pt>
                <c:pt idx="27">
                  <c:v>104.33272988062156</c:v>
                </c:pt>
                <c:pt idx="28">
                  <c:v>120.23678723549654</c:v>
                </c:pt>
                <c:pt idx="29">
                  <c:v>138.57214116788361</c:v>
                </c:pt>
                <c:pt idx="30">
                  <c:v>159.71145291121735</c:v>
                </c:pt>
                <c:pt idx="31">
                  <c:v>184.08464250689215</c:v>
                </c:pt>
                <c:pt idx="32">
                  <c:v>212.18770600741277</c:v>
                </c:pt>
                <c:pt idx="33">
                  <c:v>244.59289316079912</c:v>
                </c:pt>
                <c:pt idx="34">
                  <c:v>281.96045587897055</c:v>
                </c:pt>
                <c:pt idx="35">
                  <c:v>239.57200365874314</c:v>
                </c:pt>
                <c:pt idx="36">
                  <c:v>258.66397322459017</c:v>
                </c:pt>
                <c:pt idx="37">
                  <c:v>277.72410067515142</c:v>
                </c:pt>
                <c:pt idx="38">
                  <c:v>296.7548782670396</c:v>
                </c:pt>
                <c:pt idx="39">
                  <c:v>315.75845245576835</c:v>
                </c:pt>
                <c:pt idx="40">
                  <c:v>334.73669023881166</c:v>
                </c:pt>
                <c:pt idx="41">
                  <c:v>353.69122965293917</c:v>
                </c:pt>
                <c:pt idx="42">
                  <c:v>372.62351887402843</c:v>
                </c:pt>
                <c:pt idx="43">
                  <c:v>304.48116042796869</c:v>
                </c:pt>
                <c:pt idx="44">
                  <c:v>323.72845473353169</c:v>
                </c:pt>
                <c:pt idx="45">
                  <c:v>342.95046115732566</c:v>
                </c:pt>
                <c:pt idx="46">
                  <c:v>362.14879588268133</c:v>
                </c:pt>
                <c:pt idx="47">
                  <c:v>381.32488979529973</c:v>
                </c:pt>
                <c:pt idx="48">
                  <c:v>400.48001817068399</c:v>
                </c:pt>
                <c:pt idx="49">
                  <c:v>419.61532438392493</c:v>
                </c:pt>
                <c:pt idx="50">
                  <c:v>438.73183906857088</c:v>
                </c:pt>
                <c:pt idx="51">
                  <c:v>356.63981068825092</c:v>
                </c:pt>
                <c:pt idx="52">
                  <c:v>375.27518198015099</c:v>
                </c:pt>
                <c:pt idx="53">
                  <c:v>393.89040213905992</c:v>
                </c:pt>
                <c:pt idx="54">
                  <c:v>412.48655707987956</c:v>
                </c:pt>
                <c:pt idx="55">
                  <c:v>431.06462685517266</c:v>
                </c:pt>
                <c:pt idx="56">
                  <c:v>449.62550018688557</c:v>
                </c:pt>
                <c:pt idx="57">
                  <c:v>468.16998647367092</c:v>
                </c:pt>
                <c:pt idx="58">
                  <c:v>486.69882579693882</c:v>
                </c:pt>
                <c:pt idx="59">
                  <c:v>413.23439994638017</c:v>
                </c:pt>
                <c:pt idx="60">
                  <c:v>430.97219592837956</c:v>
                </c:pt>
                <c:pt idx="61">
                  <c:v>448.69431201217071</c:v>
                </c:pt>
                <c:pt idx="62">
                  <c:v>466.40145438313783</c:v>
                </c:pt>
                <c:pt idx="63">
                  <c:v>484.09427125729326</c:v>
                </c:pt>
                <c:pt idx="64">
                  <c:v>501.77335962815192</c:v>
                </c:pt>
                <c:pt idx="65">
                  <c:v>519.4392710135229</c:v>
                </c:pt>
                <c:pt idx="66">
                  <c:v>537.09251638010221</c:v>
                </c:pt>
                <c:pt idx="67">
                  <c:v>449.95486925959199</c:v>
                </c:pt>
                <c:pt idx="68">
                  <c:v>466.63521637717804</c:v>
                </c:pt>
                <c:pt idx="69">
                  <c:v>483.30285804649657</c:v>
                </c:pt>
                <c:pt idx="70">
                  <c:v>499.95829393317211</c:v>
                </c:pt>
                <c:pt idx="71">
                  <c:v>516.60198771211765</c:v>
                </c:pt>
                <c:pt idx="72">
                  <c:v>533.23437075982531</c:v>
                </c:pt>
                <c:pt idx="73">
                  <c:v>549.85584536218471</c:v>
                </c:pt>
                <c:pt idx="74">
                  <c:v>566.46678751441141</c:v>
                </c:pt>
                <c:pt idx="75">
                  <c:v>481.14515659638204</c:v>
                </c:pt>
                <c:pt idx="76">
                  <c:v>496.81922128981904</c:v>
                </c:pt>
                <c:pt idx="77">
                  <c:v>512.48281438538527</c:v>
                </c:pt>
                <c:pt idx="78">
                  <c:v>528.13630087550121</c:v>
                </c:pt>
                <c:pt idx="79">
                  <c:v>543.78002236188331</c:v>
                </c:pt>
                <c:pt idx="80">
                  <c:v>559.41429919824748</c:v>
                </c:pt>
                <c:pt idx="81">
                  <c:v>575.03943238111333</c:v>
                </c:pt>
                <c:pt idx="82">
                  <c:v>590.6557052245081</c:v>
                </c:pt>
                <c:pt idx="83">
                  <c:v>528.50902868707578</c:v>
                </c:pt>
                <c:pt idx="84">
                  <c:v>543.56541133325163</c:v>
                </c:pt>
                <c:pt idx="85">
                  <c:v>558.6130413169368</c:v>
                </c:pt>
                <c:pt idx="86">
                  <c:v>573.65218751421037</c:v>
                </c:pt>
                <c:pt idx="87">
                  <c:v>588.68310356054656</c:v>
                </c:pt>
                <c:pt idx="88">
                  <c:v>603.70602908982733</c:v>
                </c:pt>
                <c:pt idx="89">
                  <c:v>618.72119084367478</c:v>
                </c:pt>
                <c:pt idx="90">
                  <c:v>633.72880366755612</c:v>
                </c:pt>
                <c:pt idx="91">
                  <c:v>557.88346206307881</c:v>
                </c:pt>
                <c:pt idx="92">
                  <c:v>572.38676311297047</c:v>
                </c:pt>
                <c:pt idx="93">
                  <c:v>586.88239135079641</c:v>
                </c:pt>
                <c:pt idx="94">
                  <c:v>601.37056289851682</c:v>
                </c:pt>
                <c:pt idx="95">
                  <c:v>615.85148262061784</c:v>
                </c:pt>
                <c:pt idx="96">
                  <c:v>630.32534496689959</c:v>
                </c:pt>
                <c:pt idx="97">
                  <c:v>644.79233473387092</c:v>
                </c:pt>
                <c:pt idx="98">
                  <c:v>659.25262775429815</c:v>
                </c:pt>
                <c:pt idx="99">
                  <c:v>673.70639152314664</c:v>
                </c:pt>
                <c:pt idx="100">
                  <c:v>688.15378576704643</c:v>
                </c:pt>
                <c:pt idx="101">
                  <c:v>580.34951693167147</c:v>
                </c:pt>
                <c:pt idx="102">
                  <c:v>594.23756277685436</c:v>
                </c:pt>
                <c:pt idx="103">
                  <c:v>608.11885699251968</c:v>
                </c:pt>
                <c:pt idx="104">
                  <c:v>621.99357533785735</c:v>
                </c:pt>
                <c:pt idx="105">
                  <c:v>635.86188509529086</c:v>
                </c:pt>
                <c:pt idx="106">
                  <c:v>649.72394565911236</c:v>
                </c:pt>
                <c:pt idx="107">
                  <c:v>663.57990907129704</c:v>
                </c:pt>
                <c:pt idx="108">
                  <c:v>677.42992051026795</c:v>
                </c:pt>
                <c:pt idx="109">
                  <c:v>691.27411873763356</c:v>
                </c:pt>
                <c:pt idx="110">
                  <c:v>705.1126365073028</c:v>
                </c:pt>
                <c:pt idx="111">
                  <c:v>623.42557076354046</c:v>
                </c:pt>
                <c:pt idx="112">
                  <c:v>637.10988303719444</c:v>
                </c:pt>
                <c:pt idx="113">
                  <c:v>650.78812393060286</c:v>
                </c:pt>
                <c:pt idx="114">
                  <c:v>664.4604389644403</c:v>
                </c:pt>
                <c:pt idx="115">
                  <c:v>678.12696718579889</c:v>
                </c:pt>
                <c:pt idx="116">
                  <c:v>691.78784158353858</c:v>
                </c:pt>
                <c:pt idx="117">
                  <c:v>705.44318946914564</c:v>
                </c:pt>
                <c:pt idx="118">
                  <c:v>719.09313282658786</c:v>
                </c:pt>
                <c:pt idx="119">
                  <c:v>732.73778863424411</c:v>
                </c:pt>
                <c:pt idx="120">
                  <c:v>746.3772691616241</c:v>
                </c:pt>
                <c:pt idx="121">
                  <c:v>674.54391710684479</c:v>
                </c:pt>
                <c:pt idx="122">
                  <c:v>688.20260040166204</c:v>
                </c:pt>
                <c:pt idx="123">
                  <c:v>701.85572727628733</c:v>
                </c:pt>
                <c:pt idx="124">
                  <c:v>715.50342098236149</c:v>
                </c:pt>
                <c:pt idx="125">
                  <c:v>729.14579968934993</c:v>
                </c:pt>
                <c:pt idx="126">
                  <c:v>742.782976787238</c:v>
                </c:pt>
                <c:pt idx="127">
                  <c:v>756.41506116585822</c:v>
                </c:pt>
                <c:pt idx="128">
                  <c:v>770.04215747305261</c:v>
                </c:pt>
                <c:pt idx="129">
                  <c:v>783.66436635362095</c:v>
                </c:pt>
                <c:pt idx="130">
                  <c:v>797.28178467080886</c:v>
                </c:pt>
                <c:pt idx="131">
                  <c:v>713.37917246490554</c:v>
                </c:pt>
                <c:pt idx="132">
                  <c:v>727.11745261066335</c:v>
                </c:pt>
                <c:pt idx="133">
                  <c:v>740.85044157147479</c:v>
                </c:pt>
                <c:pt idx="134">
                  <c:v>754.57825118102028</c:v>
                </c:pt>
                <c:pt idx="135">
                  <c:v>768.30098887504789</c:v>
                </c:pt>
                <c:pt idx="136">
                  <c:v>782.01875794141324</c:v>
                </c:pt>
                <c:pt idx="137">
                  <c:v>795.73165775167456</c:v>
                </c:pt>
                <c:pt idx="138">
                  <c:v>809.4397839759099</c:v>
                </c:pt>
                <c:pt idx="139">
                  <c:v>823.14322878223754</c:v>
                </c:pt>
                <c:pt idx="140">
                  <c:v>836.84208102237073</c:v>
                </c:pt>
                <c:pt idx="141">
                  <c:v>754.77192441771365</c:v>
                </c:pt>
                <c:pt idx="142">
                  <c:v>768.51042037633067</c:v>
                </c:pt>
                <c:pt idx="143">
                  <c:v>782.24393778449985</c:v>
                </c:pt>
                <c:pt idx="144">
                  <c:v>795.97257629769922</c:v>
                </c:pt>
                <c:pt idx="145">
                  <c:v>809.69643185621999</c:v>
                </c:pt>
                <c:pt idx="146">
                  <c:v>823.41559688559221</c:v>
                </c:pt>
                <c:pt idx="147">
                  <c:v>837.13016048296993</c:v>
                </c:pt>
                <c:pt idx="148">
                  <c:v>850.84020859067971</c:v>
                </c:pt>
                <c:pt idx="149">
                  <c:v>864.54582415801235</c:v>
                </c:pt>
                <c:pt idx="150">
                  <c:v>878.24708729222993</c:v>
                </c:pt>
                <c:pt idx="151">
                  <c:v>554.55020589625235</c:v>
                </c:pt>
                <c:pt idx="152">
                  <c:v>563.61578682250695</c:v>
                </c:pt>
                <c:pt idx="153">
                  <c:v>572.67831815051125</c:v>
                </c:pt>
                <c:pt idx="154">
                  <c:v>375.91176747689906</c:v>
                </c:pt>
                <c:pt idx="155">
                  <c:v>381.16425054600495</c:v>
                </c:pt>
                <c:pt idx="156">
                  <c:v>386.41515941560209</c:v>
                </c:pt>
                <c:pt idx="157">
                  <c:v>263.62343412107481</c:v>
                </c:pt>
                <c:pt idx="158">
                  <c:v>266.73759424597932</c:v>
                </c:pt>
                <c:pt idx="159">
                  <c:v>269.85093503021136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" zoomScale="80" zoomScaleNormal="80" workbookViewId="0">
      <selection activeCell="C26" sqref="C2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20.89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0.91200000000000003</v>
      </c>
      <c r="D9" s="33">
        <f t="shared" ref="D9:D18" si="0">C9*$C$5</f>
        <v>19.051680000000001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4</v>
      </c>
      <c r="C10" s="32">
        <v>0.05</v>
      </c>
      <c r="D10" s="33">
        <f t="shared" si="0"/>
        <v>1.0445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14</v>
      </c>
      <c r="C11" s="32">
        <v>3.7999999999999999E-2</v>
      </c>
      <c r="D11" s="33">
        <f t="shared" si="0"/>
        <v>0.79381999999999997</v>
      </c>
      <c r="E11" s="34">
        <v>159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20.89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Aulne glutineux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10</v>
      </c>
      <c r="B62" s="60">
        <v>11</v>
      </c>
      <c r="C62" s="60">
        <v>1</v>
      </c>
      <c r="D62" s="60">
        <v>1</v>
      </c>
      <c r="E62" s="51">
        <v>0</v>
      </c>
      <c r="F62" s="51">
        <v>0.1</v>
      </c>
      <c r="G62" s="51">
        <v>0.3</v>
      </c>
      <c r="H62" s="51">
        <v>0.6</v>
      </c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15</v>
      </c>
      <c r="B63" s="60">
        <v>44</v>
      </c>
      <c r="C63" s="60">
        <v>2</v>
      </c>
      <c r="D63" s="60">
        <v>4</v>
      </c>
      <c r="E63" s="51">
        <v>0</v>
      </c>
      <c r="F63" s="51">
        <v>0.1</v>
      </c>
      <c r="G63" s="51">
        <v>0.3</v>
      </c>
      <c r="H63" s="51">
        <v>0.6</v>
      </c>
      <c r="I63" s="49">
        <f>IF(A63&lt;&gt;0,(B63-(B62-D62))/(A63-A62),"")</f>
        <v>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20</v>
      </c>
      <c r="B64" s="60">
        <v>100</v>
      </c>
      <c r="C64" s="60">
        <v>3</v>
      </c>
      <c r="D64" s="60">
        <v>10</v>
      </c>
      <c r="E64" s="51">
        <v>0</v>
      </c>
      <c r="F64" s="51">
        <v>0.1</v>
      </c>
      <c r="G64" s="51">
        <v>0.3</v>
      </c>
      <c r="H64" s="51">
        <v>0.6</v>
      </c>
      <c r="I64" s="49">
        <f>IF(A64&lt;&gt;0,(B64-(B63-D63))/(A64-A63),"")</f>
        <v>12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25</v>
      </c>
      <c r="B65" s="60">
        <v>138</v>
      </c>
      <c r="C65" s="60">
        <v>4</v>
      </c>
      <c r="D65" s="60">
        <v>21</v>
      </c>
      <c r="E65" s="51">
        <v>0</v>
      </c>
      <c r="F65" s="51">
        <v>0.1</v>
      </c>
      <c r="G65" s="51">
        <v>0.3</v>
      </c>
      <c r="H65" s="51">
        <v>0.6</v>
      </c>
      <c r="I65" s="49">
        <f>IF(A65&lt;&gt;0,(B65-(B64-D64))/(A65-A64),"")</f>
        <v>9.6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30</v>
      </c>
      <c r="B66" s="60">
        <v>161</v>
      </c>
      <c r="C66" s="60">
        <v>5</v>
      </c>
      <c r="D66" s="60">
        <v>23</v>
      </c>
      <c r="E66" s="51">
        <v>0</v>
      </c>
      <c r="F66" s="51">
        <v>0.1</v>
      </c>
      <c r="G66" s="51">
        <v>0.3</v>
      </c>
      <c r="H66" s="51">
        <v>0.6</v>
      </c>
      <c r="I66" s="49">
        <f t="shared" ref="I66:I81" si="2">IF(A66&lt;&gt;0,(B66-(B65-D65))/(A66-A65),"")</f>
        <v>8.8000000000000007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35</v>
      </c>
      <c r="B67" s="60">
        <v>181</v>
      </c>
      <c r="C67" s="60">
        <v>6</v>
      </c>
      <c r="D67" s="60">
        <v>25</v>
      </c>
      <c r="E67" s="51">
        <v>0</v>
      </c>
      <c r="F67" s="51">
        <v>0.1</v>
      </c>
      <c r="G67" s="51">
        <v>0.3</v>
      </c>
      <c r="H67" s="51">
        <v>0.6</v>
      </c>
      <c r="I67" s="49">
        <f t="shared" si="2"/>
        <v>8.6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40</v>
      </c>
      <c r="B68" s="60">
        <v>195</v>
      </c>
      <c r="C68" s="60">
        <v>7</v>
      </c>
      <c r="D68" s="60">
        <v>25</v>
      </c>
      <c r="E68" s="51">
        <v>0</v>
      </c>
      <c r="F68" s="51">
        <v>0.1</v>
      </c>
      <c r="G68" s="51">
        <v>0.3</v>
      </c>
      <c r="H68" s="51">
        <v>0.6</v>
      </c>
      <c r="I68" s="49">
        <f t="shared" si="2"/>
        <v>7.8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45</v>
      </c>
      <c r="B69" s="50">
        <v>207</v>
      </c>
      <c r="C69" s="50">
        <v>8</v>
      </c>
      <c r="D69" s="50">
        <v>25</v>
      </c>
      <c r="E69" s="51">
        <v>0</v>
      </c>
      <c r="F69" s="51">
        <v>0.3</v>
      </c>
      <c r="G69" s="51">
        <v>0.3</v>
      </c>
      <c r="H69" s="51">
        <v>0.4</v>
      </c>
      <c r="I69" s="49">
        <f t="shared" si="2"/>
        <v>7.4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50</v>
      </c>
      <c r="B70" s="50">
        <v>215</v>
      </c>
      <c r="C70" s="50">
        <v>9</v>
      </c>
      <c r="D70" s="50">
        <v>24</v>
      </c>
      <c r="E70" s="51">
        <v>0</v>
      </c>
      <c r="F70" s="51">
        <v>0.3</v>
      </c>
      <c r="G70" s="51">
        <v>0.3</v>
      </c>
      <c r="H70" s="51">
        <v>0.4</v>
      </c>
      <c r="I70" s="49">
        <f t="shared" si="2"/>
        <v>6.6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55</v>
      </c>
      <c r="B71" s="50">
        <v>223</v>
      </c>
      <c r="C71" s="50">
        <v>10</v>
      </c>
      <c r="D71" s="50">
        <v>23</v>
      </c>
      <c r="E71" s="51">
        <v>0</v>
      </c>
      <c r="F71" s="51">
        <v>0.3</v>
      </c>
      <c r="G71" s="51">
        <v>0.3</v>
      </c>
      <c r="H71" s="51">
        <v>0.4</v>
      </c>
      <c r="I71" s="49">
        <f t="shared" si="2"/>
        <v>6.4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60</v>
      </c>
      <c r="B72" s="50">
        <v>229</v>
      </c>
      <c r="C72" s="50">
        <v>11</v>
      </c>
      <c r="D72" s="50">
        <v>22</v>
      </c>
      <c r="E72" s="51">
        <v>0</v>
      </c>
      <c r="F72" s="51">
        <v>0.3</v>
      </c>
      <c r="G72" s="51">
        <v>0.3</v>
      </c>
      <c r="H72" s="51">
        <v>0.4</v>
      </c>
      <c r="I72" s="49">
        <f t="shared" si="2"/>
        <v>5.8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65</v>
      </c>
      <c r="B73" s="50">
        <v>233</v>
      </c>
      <c r="C73" s="50">
        <v>12</v>
      </c>
      <c r="D73" s="50">
        <v>20</v>
      </c>
      <c r="E73" s="51">
        <v>0.1</v>
      </c>
      <c r="F73" s="51">
        <v>0.4</v>
      </c>
      <c r="G73" s="51">
        <v>0.3</v>
      </c>
      <c r="H73" s="51">
        <v>0.2</v>
      </c>
      <c r="I73" s="49">
        <f t="shared" si="2"/>
        <v>5.2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70</v>
      </c>
      <c r="B74" s="50">
        <v>237</v>
      </c>
      <c r="C74" s="50">
        <v>13</v>
      </c>
      <c r="D74" s="50">
        <v>19</v>
      </c>
      <c r="E74" s="51">
        <v>0.1</v>
      </c>
      <c r="F74" s="51">
        <v>0.4</v>
      </c>
      <c r="G74" s="51">
        <v>0.3</v>
      </c>
      <c r="H74" s="51">
        <v>0.2</v>
      </c>
      <c r="I74" s="49">
        <f t="shared" si="2"/>
        <v>4.8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75</v>
      </c>
      <c r="B75" s="50">
        <v>241</v>
      </c>
      <c r="C75" s="50">
        <v>14</v>
      </c>
      <c r="D75" s="50">
        <v>18</v>
      </c>
      <c r="E75" s="51">
        <v>0.1</v>
      </c>
      <c r="F75" s="51">
        <v>0.4</v>
      </c>
      <c r="G75" s="51">
        <v>0.3</v>
      </c>
      <c r="H75" s="51">
        <v>0.2</v>
      </c>
      <c r="I75" s="49">
        <f t="shared" si="2"/>
        <v>4.5999999999999996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80</v>
      </c>
      <c r="B76" s="50">
        <v>244</v>
      </c>
      <c r="C76" s="50">
        <v>15</v>
      </c>
      <c r="D76" s="50">
        <v>16</v>
      </c>
      <c r="E76" s="51">
        <v>0.2</v>
      </c>
      <c r="F76" s="51">
        <v>0.5</v>
      </c>
      <c r="G76" s="51">
        <v>0.2</v>
      </c>
      <c r="H76" s="51">
        <v>0.1</v>
      </c>
      <c r="I76" s="49">
        <f t="shared" si="2"/>
        <v>4.2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85</v>
      </c>
      <c r="B77" s="50">
        <v>247</v>
      </c>
      <c r="C77" s="50">
        <v>16</v>
      </c>
      <c r="D77" s="50">
        <v>15</v>
      </c>
      <c r="E77" s="51">
        <v>0.2</v>
      </c>
      <c r="F77" s="51">
        <v>0.5</v>
      </c>
      <c r="G77" s="51">
        <v>0.2</v>
      </c>
      <c r="H77" s="51">
        <v>0.1</v>
      </c>
      <c r="I77" s="49">
        <f t="shared" si="2"/>
        <v>3.8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90</v>
      </c>
      <c r="B78" s="50">
        <v>250</v>
      </c>
      <c r="C78" s="50">
        <v>17</v>
      </c>
      <c r="D78" s="50">
        <v>14</v>
      </c>
      <c r="E78" s="51">
        <v>0.2</v>
      </c>
      <c r="F78" s="51">
        <v>0.5</v>
      </c>
      <c r="G78" s="51">
        <v>0.2</v>
      </c>
      <c r="H78" s="51">
        <v>0.1</v>
      </c>
      <c r="I78" s="49">
        <f t="shared" si="2"/>
        <v>3.6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34</v>
      </c>
      <c r="B88" s="60">
        <v>141.78846153846152</v>
      </c>
      <c r="C88" s="60">
        <v>1</v>
      </c>
      <c r="D88" s="60">
        <v>31.615384615384613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4.1702488687782804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42</v>
      </c>
      <c r="B89" s="60">
        <v>188.66025641025641</v>
      </c>
      <c r="C89" s="60">
        <v>2</v>
      </c>
      <c r="D89" s="60">
        <v>45.198717948717949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9.8108974358974379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50</v>
      </c>
      <c r="B90" s="60">
        <v>223</v>
      </c>
      <c r="C90" s="60">
        <v>3</v>
      </c>
      <c r="D90" s="60">
        <v>52.282051282051285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9.9423076923076934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58</v>
      </c>
      <c r="B91" s="60">
        <v>247.98717948717947</v>
      </c>
      <c r="C91" s="60">
        <v>4</v>
      </c>
      <c r="D91" s="60">
        <v>47.467948717948715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9.6586538461538431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66</v>
      </c>
      <c r="B92" s="60">
        <v>274.29487179487177</v>
      </c>
      <c r="C92" s="60">
        <v>5</v>
      </c>
      <c r="D92" s="60">
        <v>54.141025641025635</v>
      </c>
      <c r="E92" s="87">
        <v>0.7</v>
      </c>
      <c r="F92" s="87">
        <v>0</v>
      </c>
      <c r="G92" s="87">
        <v>0</v>
      </c>
      <c r="H92" s="87">
        <v>0.3</v>
      </c>
      <c r="I92" s="53">
        <f t="shared" si="3"/>
        <v>9.2219551282051242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74</v>
      </c>
      <c r="B93" s="60">
        <v>289.65384615384613</v>
      </c>
      <c r="C93" s="60">
        <v>6</v>
      </c>
      <c r="D93" s="60">
        <v>52.737179487179482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3"/>
        <v>8.6875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82</v>
      </c>
      <c r="B94" s="60">
        <v>302.31410256410254</v>
      </c>
      <c r="C94" s="60">
        <v>7</v>
      </c>
      <c r="D94" s="60">
        <v>40.371794871794869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8.1746794871794854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90</v>
      </c>
      <c r="B95" s="60">
        <v>324.88461538461536</v>
      </c>
      <c r="C95" s="60">
        <v>8</v>
      </c>
      <c r="D95" s="60">
        <v>47.307692307692307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7.8677884615384599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100</v>
      </c>
      <c r="B96" s="60">
        <v>353.44871794871796</v>
      </c>
      <c r="C96" s="60">
        <v>9</v>
      </c>
      <c r="D96" s="60">
        <v>63.801282051282051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7.5871794871794922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110</v>
      </c>
      <c r="B97" s="60">
        <v>362.35897435897431</v>
      </c>
      <c r="C97" s="60">
        <v>10</v>
      </c>
      <c r="D97" s="60">
        <v>50.051282051282051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7.2711538461538394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120</v>
      </c>
      <c r="B98" s="60">
        <v>384.05769230769226</v>
      </c>
      <c r="C98" s="60">
        <v>11</v>
      </c>
      <c r="D98" s="60">
        <v>44.929487179487182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7.1749999999999998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130</v>
      </c>
      <c r="B99" s="60">
        <v>410.85897435897431</v>
      </c>
      <c r="C99" s="60">
        <v>12</v>
      </c>
      <c r="D99" s="60">
        <v>51.378205128205131</v>
      </c>
      <c r="E99" s="87">
        <v>0.9</v>
      </c>
      <c r="F99" s="87">
        <v>0</v>
      </c>
      <c r="G99" s="87">
        <v>0</v>
      </c>
      <c r="H99" s="87">
        <v>0.1</v>
      </c>
      <c r="I99" s="53">
        <f t="shared" si="3"/>
        <v>7.1730769230769225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140</v>
      </c>
      <c r="B100" s="60">
        <v>431.71153846153845</v>
      </c>
      <c r="C100" s="60">
        <v>13</v>
      </c>
      <c r="D100" s="60">
        <v>50.467948717948715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7.2230769230769285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150</v>
      </c>
      <c r="B101" s="60">
        <v>453.55769230769226</v>
      </c>
      <c r="C101" s="60">
        <v>14</v>
      </c>
      <c r="D101" s="60">
        <v>174.87820512820511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7.2314102564102543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153</v>
      </c>
      <c r="B102" s="50">
        <v>292.90384615384619</v>
      </c>
      <c r="C102" s="60">
        <v>15</v>
      </c>
      <c r="D102" s="50">
        <v>105.26282051282051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4.7414529914530021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156</v>
      </c>
      <c r="B103" s="50">
        <v>195.81410256410257</v>
      </c>
      <c r="C103" s="60">
        <v>16</v>
      </c>
      <c r="D103" s="50">
        <v>65.070512820512818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2.7243589743589589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159</v>
      </c>
      <c r="B104" s="50">
        <v>135.55128205128204</v>
      </c>
      <c r="C104" s="60">
        <v>17</v>
      </c>
      <c r="D104" s="50">
        <v>135.55128205128204</v>
      </c>
      <c r="E104" s="54">
        <v>0.9</v>
      </c>
      <c r="F104" s="54">
        <v>0</v>
      </c>
      <c r="G104" s="54">
        <v>0</v>
      </c>
      <c r="H104" s="54">
        <v>0.1</v>
      </c>
      <c r="I104" s="53">
        <f t="shared" si="3"/>
        <v>1.6025641025640975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="80" zoomScaleNormal="100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Aulne glutineux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323.17232038705157</v>
      </c>
      <c r="T3" s="59">
        <f>IF('Données projet'!E9&gt;30,$R$33-$H$33,LOOKUP('Données projet'!$E$9,$A$3:$A$203,R3:R203)-LOOKUP('Données projet'!$E$9,$A$3:$A$203,$H$3:$H$203))</f>
        <v>402.34685738619197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263.30962868541337</v>
      </c>
      <c r="AO3" s="59">
        <f>IF('Données projet'!E10&gt;30,$AM$33-$H$33,LOOKUP('Données projet'!$E$10,$A$3:$A$203,AM3:AM203)-LOOKUP('Données projet'!$E$10,$A$3:$A$203,$H$3:$H$203))</f>
        <v>269.61868559913404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496.45286557802063</v>
      </c>
      <c r="BJ3" s="59">
        <f>IF('Données projet'!E11&gt;30,$BH$33-$H$33,LOOKUP('Données projet'!$E$11,$A$3:$A$203,BH3:BH203)-LOOKUP('Données projet'!$E$11,$A$3:$A$203,$H$3:$H$203))</f>
        <v>196.37811957788398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260.01970300488796</v>
      </c>
      <c r="S4" s="59">
        <f ca="1">AVERAGE(OFFSET($R$3,0,0,'Données projet'!$E$9+1,1))-AVERAGE(OFFSET($H$3,0,0,'Données projet'!$E$9+1,1))</f>
        <v>323.17232038705157</v>
      </c>
      <c r="T4" s="59">
        <f>$T$3</f>
        <v>402.34685738619197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0.83274715428568413</v>
      </c>
      <c r="AK4" s="13">
        <f>EXP(-1.0587+0.8836*LN(AJ4)+0.284)</f>
        <v>0.39202836439738087</v>
      </c>
      <c r="AL4" s="20">
        <f t="shared" ref="AL4:AL67" si="4">(AJ4+AK4)*0.475*44/12</f>
        <v>2.1331506950396717</v>
      </c>
      <c r="AM4" s="59">
        <f t="shared" ref="AM4:AM67" si="5">AL4+(AD4+AE4)*44/12</f>
        <v>260.02203958392852</v>
      </c>
      <c r="AN4" s="59">
        <f ca="1">AVERAGE(OFFSET($AM$3,0,0,'Données projet'!$E$10+1,1))-AVERAGE(OFFSET($H$3,0,0,'Données projet'!$E$10+1,1))</f>
        <v>263.30962868541337</v>
      </c>
      <c r="AO4" s="59">
        <f>$AO$3</f>
        <v>269.61868559913404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4.1702488687782804</v>
      </c>
      <c r="BD4" s="12">
        <f>IF('Données projet'!$A$88&gt;35,BD3+BC4-BL3,IF(A4&lt;'Données projet'!$A$88,$BA$205^A4,IF(A4='Données projet'!$A$88,'Données projet'!$B$88,BD3+BC4-BL3)))</f>
        <v>1.1568673269382599</v>
      </c>
      <c r="BE4" s="13">
        <f>BD4*VLOOKUP('Données projet'!$B$11,Paramètres!$A$1:$I$89,3,0)*VLOOKUP('Données projet'!$B$11,Paramètres!$A$1:$I$89,5,0)</f>
        <v>1.0467335574137375</v>
      </c>
      <c r="BF4" s="13">
        <f>EXP(-1.0587+0.8836*LN(BE4)+0.284)</f>
        <v>0.47982103678300525</v>
      </c>
      <c r="BG4" s="20">
        <f t="shared" ref="BG4:BG67" si="7">(BE4+BF4)*0.475*44/12</f>
        <v>2.658749251559327</v>
      </c>
      <c r="BH4" s="59">
        <f t="shared" ref="BH4:BH67" si="8">BG4+(AY4+AZ4)*44/12</f>
        <v>260.54763814044816</v>
      </c>
      <c r="BI4" s="59">
        <f ca="1">AVERAGE(OFFSET($BH$3,0,0,'Données projet'!$E$11+1,1))-AVERAGE(OFFSET($H$3,0,0,'Données projet'!$E$11+1,1))</f>
        <v>496.45286557802063</v>
      </c>
      <c r="BJ4" s="59">
        <f>$BJ$3</f>
        <v>196.37811957788398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262.03925500316808</v>
      </c>
      <c r="S5" s="59">
        <f ca="1">AVERAGE(OFFSET($R$3,0,0,'Données projet'!$E$9+1,1))-AVERAGE(OFFSET($H$3,0,0,'Données projet'!$E$9+1,1))</f>
        <v>323.17232038705157</v>
      </c>
      <c r="T5" s="59">
        <f t="shared" ref="T5:T68" si="34">$T$3</f>
        <v>402.34685738619197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1.0584063232156671</v>
      </c>
      <c r="AK5" s="13">
        <f t="shared" ref="AK5:AK68" si="35">EXP(-1.0587+0.8836*LN(AJ5)+0.284)</f>
        <v>0.48454592807852009</v>
      </c>
      <c r="AL5" s="20">
        <f t="shared" si="4"/>
        <v>2.6873085043373757</v>
      </c>
      <c r="AM5" s="59">
        <f t="shared" si="5"/>
        <v>261.79841961544849</v>
      </c>
      <c r="AN5" s="59">
        <f ca="1">AVERAGE(OFFSET($AM$3,0,0,'Données projet'!$E$10+1,1))-AVERAGE(OFFSET($H$3,0,0,'Données projet'!$E$10+1,1))</f>
        <v>263.30962868541337</v>
      </c>
      <c r="AO5" s="59">
        <f t="shared" ref="AO5:AO68" si="36">$AO$3</f>
        <v>269.61868559913404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4.1702488687782804</v>
      </c>
      <c r="BD5" s="12">
        <f>IF('Données projet'!$A$88&gt;35,BD4+BC5-BL4,IF(A5&lt;'Données projet'!$A$88,$BA$205^A5,IF(A5='Données projet'!$A$88,'Données projet'!$B$88,BD4+BC5-BL4)))</f>
        <v>1.3383420121372747</v>
      </c>
      <c r="BE5" s="13">
        <f>BD5*VLOOKUP('Données projet'!$B$11,Paramètres!$A$1:$I$89,3,0)*VLOOKUP('Données projet'!$B$11,Paramètres!$A$1:$I$89,5,0)</f>
        <v>1.210931852581806</v>
      </c>
      <c r="BF5" s="13">
        <f t="shared" ref="BF5:BF68" si="37">EXP(-1.0587+0.8836*LN(BE5)+0.284)</f>
        <v>0.54575363188570214</v>
      </c>
      <c r="BG5" s="20">
        <f t="shared" si="7"/>
        <v>3.059560552114243</v>
      </c>
      <c r="BH5" s="59">
        <f t="shared" si="8"/>
        <v>262.17067166322539</v>
      </c>
      <c r="BI5" s="59">
        <f ca="1">AVERAGE(OFFSET($BH$3,0,0,'Données projet'!$E$11+1,1))-AVERAGE(OFFSET($H$3,0,0,'Données projet'!$E$11+1,1))</f>
        <v>496.45286557802063</v>
      </c>
      <c r="BJ5" s="59">
        <f t="shared" ref="BJ5:BJ68" si="38">$BJ$3</f>
        <v>196.37811957788398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264.35843416345045</v>
      </c>
      <c r="S6" s="59">
        <f ca="1">AVERAGE(OFFSET($R$3,0,0,'Données projet'!$E$9+1,1))-AVERAGE(OFFSET($H$3,0,0,'Données projet'!$E$9+1,1))</f>
        <v>323.17232038705157</v>
      </c>
      <c r="T6" s="59">
        <f t="shared" si="34"/>
        <v>402.34685738619197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1.3452149782292753</v>
      </c>
      <c r="AK6" s="13">
        <f t="shared" si="35"/>
        <v>0.59889737003693966</v>
      </c>
      <c r="AL6" s="20">
        <f t="shared" si="4"/>
        <v>3.3859956732303242</v>
      </c>
      <c r="AM6" s="59">
        <f t="shared" si="5"/>
        <v>263.71932900656361</v>
      </c>
      <c r="AN6" s="59">
        <f ca="1">AVERAGE(OFFSET($AM$3,0,0,'Données projet'!$E$10+1,1))-AVERAGE(OFFSET($H$3,0,0,'Données projet'!$E$10+1,1))</f>
        <v>263.30962868541337</v>
      </c>
      <c r="AO6" s="59">
        <f t="shared" si="36"/>
        <v>269.61868559913404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4.1702488687782804</v>
      </c>
      <c r="BD6" s="12">
        <f>IF('Données projet'!$A$88&gt;35,BD5+BC6-BL5,IF(A6&lt;'Données projet'!$A$88,$BA$205^A6,IF(A6='Données projet'!$A$88,'Données projet'!$B$88,BD5+BC6-BL5)))</f>
        <v>1.5482841461104211</v>
      </c>
      <c r="BE6" s="13">
        <f>BD6*VLOOKUP('Données projet'!$B$11,Paramètres!$A$1:$I$89,3,0)*VLOOKUP('Données projet'!$B$11,Paramètres!$A$1:$I$89,5,0)</f>
        <v>1.4008874954007091</v>
      </c>
      <c r="BF6" s="13">
        <f t="shared" si="37"/>
        <v>0.62074607798226489</v>
      </c>
      <c r="BG6" s="20">
        <f t="shared" si="7"/>
        <v>3.5210118069753462</v>
      </c>
      <c r="BH6" s="59">
        <f t="shared" si="8"/>
        <v>263.85434514030868</v>
      </c>
      <c r="BI6" s="59">
        <f ca="1">AVERAGE(OFFSET($BH$3,0,0,'Données projet'!$E$11+1,1))-AVERAGE(OFFSET($H$3,0,0,'Données projet'!$E$11+1,1))</f>
        <v>496.45286557802063</v>
      </c>
      <c r="BJ6" s="59">
        <f t="shared" si="38"/>
        <v>196.37811957788398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267.09028756892366</v>
      </c>
      <c r="S7" s="59">
        <f ca="1">AVERAGE(OFFSET($R$3,0,0,'Données projet'!$E$9+1,1))-AVERAGE(OFFSET($H$3,0,0,'Données projet'!$E$9+1,1))</f>
        <v>323.17232038705157</v>
      </c>
      <c r="T7" s="59">
        <f t="shared" si="34"/>
        <v>402.34685738619197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1.7097435058347183</v>
      </c>
      <c r="AK7" s="13">
        <f t="shared" si="35"/>
        <v>0.74023542259349984</v>
      </c>
      <c r="AL7" s="20">
        <f t="shared" si="4"/>
        <v>4.2670466336791462</v>
      </c>
      <c r="AM7" s="59">
        <f t="shared" si="5"/>
        <v>265.82260218923471</v>
      </c>
      <c r="AN7" s="59">
        <f ca="1">AVERAGE(OFFSET($AM$3,0,0,'Données projet'!$E$10+1,1))-AVERAGE(OFFSET($H$3,0,0,'Données projet'!$E$10+1,1))</f>
        <v>263.30962868541337</v>
      </c>
      <c r="AO7" s="59">
        <f t="shared" si="36"/>
        <v>269.61868559913404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4.1702488687782804</v>
      </c>
      <c r="BD7" s="12">
        <f>IF('Données projet'!$A$88&gt;35,BD6+BC7-BL6,IF(A7&lt;'Données projet'!$A$88,$BA$205^A7,IF(A7='Données projet'!$A$88,'Données projet'!$B$88,BD6+BC7-BL6)))</f>
        <v>1.7911593414516491</v>
      </c>
      <c r="BE7" s="13">
        <f>BD7*VLOOKUP('Données projet'!$B$11,Paramètres!$A$1:$I$89,3,0)*VLOOKUP('Données projet'!$B$11,Paramètres!$A$1:$I$89,5,0)</f>
        <v>1.620640972145452</v>
      </c>
      <c r="BF7" s="13">
        <f t="shared" si="37"/>
        <v>0.70604329649438458</v>
      </c>
      <c r="BG7" s="20">
        <f t="shared" si="7"/>
        <v>4.0523084345477161</v>
      </c>
      <c r="BH7" s="59">
        <f t="shared" si="8"/>
        <v>265.60786399010328</v>
      </c>
      <c r="BI7" s="59">
        <f ca="1">AVERAGE(OFFSET($BH$3,0,0,'Données projet'!$E$11+1,1))-AVERAGE(OFFSET($H$3,0,0,'Données projet'!$E$11+1,1))</f>
        <v>496.45286557802063</v>
      </c>
      <c r="BJ7" s="59">
        <f t="shared" si="38"/>
        <v>196.37811957788398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270.39067287567633</v>
      </c>
      <c r="S8" s="59">
        <f ca="1">AVERAGE(OFFSET($R$3,0,0,'Données projet'!$E$9+1,1))-AVERAGE(OFFSET($H$3,0,0,'Données projet'!$E$9+1,1))</f>
        <v>323.17232038705157</v>
      </c>
      <c r="T8" s="59">
        <f t="shared" si="34"/>
        <v>402.34685738619197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2.173052562640859</v>
      </c>
      <c r="AK8" s="13">
        <f t="shared" si="35"/>
        <v>0.91492884804015795</v>
      </c>
      <c r="AL8" s="20">
        <f t="shared" si="4"/>
        <v>5.3782342902694369</v>
      </c>
      <c r="AM8" s="59">
        <f t="shared" si="5"/>
        <v>268.15601206804723</v>
      </c>
      <c r="AN8" s="59">
        <f ca="1">AVERAGE(OFFSET($AM$3,0,0,'Données projet'!$E$10+1,1))-AVERAGE(OFFSET($H$3,0,0,'Données projet'!$E$10+1,1))</f>
        <v>263.30962868541337</v>
      </c>
      <c r="AO8" s="59">
        <f t="shared" si="36"/>
        <v>269.61868559913404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4.1702488687782804</v>
      </c>
      <c r="BD8" s="12">
        <f>IF('Données projet'!$A$88&gt;35,BD7+BC8-BL7,IF(A8&lt;'Données projet'!$A$88,$BA$205^A8,IF(A8='Données projet'!$A$88,'Données projet'!$B$88,BD7+BC8-BL7)))</f>
        <v>2.072133719465663</v>
      </c>
      <c r="BE8" s="13">
        <f>BD8*VLOOKUP('Données projet'!$B$11,Paramètres!$A$1:$I$89,3,0)*VLOOKUP('Données projet'!$B$11,Paramètres!$A$1:$I$89,5,0)</f>
        <v>1.874866589372532</v>
      </c>
      <c r="BF8" s="13">
        <f t="shared" si="37"/>
        <v>0.80306127449894227</v>
      </c>
      <c r="BG8" s="20">
        <f t="shared" si="7"/>
        <v>4.6640576962428177</v>
      </c>
      <c r="BH8" s="59">
        <f t="shared" si="8"/>
        <v>267.44183547402059</v>
      </c>
      <c r="BI8" s="59">
        <f ca="1">AVERAGE(OFFSET($BH$3,0,0,'Données projet'!$E$11+1,1))-AVERAGE(OFFSET($H$3,0,0,'Données projet'!$E$11+1,1))</f>
        <v>496.45286557802063</v>
      </c>
      <c r="BJ8" s="59">
        <f t="shared" si="38"/>
        <v>196.37811957788398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274.47452623666408</v>
      </c>
      <c r="S9" s="59">
        <f ca="1">AVERAGE(OFFSET($R$3,0,0,'Données projet'!$E$9+1,1))-AVERAGE(OFFSET($H$3,0,0,'Données projet'!$E$9+1,1))</f>
        <v>323.17232038705157</v>
      </c>
      <c r="T9" s="59">
        <f t="shared" si="34"/>
        <v>402.34685738619197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2.7619098560018145</v>
      </c>
      <c r="AK9" s="13">
        <f t="shared" si="35"/>
        <v>1.1308494182070246</v>
      </c>
      <c r="AL9" s="20">
        <f t="shared" si="4"/>
        <v>6.7798890692470613</v>
      </c>
      <c r="AM9" s="59">
        <f t="shared" si="5"/>
        <v>270.77988906924708</v>
      </c>
      <c r="AN9" s="59">
        <f ca="1">AVERAGE(OFFSET($AM$3,0,0,'Données projet'!$E$10+1,1))-AVERAGE(OFFSET($H$3,0,0,'Données projet'!$E$10+1,1))</f>
        <v>263.30962868541337</v>
      </c>
      <c r="AO9" s="59">
        <f t="shared" si="36"/>
        <v>269.61868559913404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4.1702488687782804</v>
      </c>
      <c r="BD9" s="12">
        <f>IF('Données projet'!$A$88&gt;35,BD8+BC9-BL8,IF(A9&lt;'Données projet'!$A$88,$BA$205^A9,IF(A9='Données projet'!$A$88,'Données projet'!$B$88,BD8+BC9-BL8)))</f>
        <v>2.3971837970968757</v>
      </c>
      <c r="BE9" s="13">
        <f>BD9*VLOOKUP('Données projet'!$B$11,Paramètres!$A$1:$I$89,3,0)*VLOOKUP('Données projet'!$B$11,Paramètres!$A$1:$I$89,5,0)</f>
        <v>2.1689718996132532</v>
      </c>
      <c r="BF9" s="13">
        <f t="shared" si="37"/>
        <v>0.91341057099746092</v>
      </c>
      <c r="BG9" s="20">
        <f t="shared" si="7"/>
        <v>5.3684828029803269</v>
      </c>
      <c r="BH9" s="59">
        <f t="shared" si="8"/>
        <v>269.36848280298034</v>
      </c>
      <c r="BI9" s="59">
        <f ca="1">AVERAGE(OFFSET($BH$3,0,0,'Données projet'!$E$11+1,1))-AVERAGE(OFFSET($H$3,0,0,'Données projet'!$E$11+1,1))</f>
        <v>496.45286557802063</v>
      </c>
      <c r="BJ9" s="59">
        <f t="shared" si="38"/>
        <v>196.37811957788398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279.63833146804814</v>
      </c>
      <c r="S10" s="59">
        <f ca="1">AVERAGE(OFFSET($R$3,0,0,'Données projet'!$E$9+1,1))-AVERAGE(OFFSET($H$3,0,0,'Données projet'!$E$9+1,1))</f>
        <v>323.17232038705157</v>
      </c>
      <c r="T10" s="59">
        <f t="shared" si="34"/>
        <v>402.34685738619197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3.510336649845994</v>
      </c>
      <c r="AK10" s="13">
        <f t="shared" si="35"/>
        <v>1.397726620379814</v>
      </c>
      <c r="AL10" s="20">
        <f t="shared" si="4"/>
        <v>8.5482101956432839</v>
      </c>
      <c r="AM10" s="59">
        <f t="shared" si="5"/>
        <v>273.77043241786549</v>
      </c>
      <c r="AN10" s="59">
        <f ca="1">AVERAGE(OFFSET($AM$3,0,0,'Données projet'!$E$10+1,1))-AVERAGE(OFFSET($H$3,0,0,'Données projet'!$E$10+1,1))</f>
        <v>263.30962868541337</v>
      </c>
      <c r="AO10" s="59">
        <f t="shared" si="36"/>
        <v>269.61868559913404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4.1702488687782804</v>
      </c>
      <c r="BD10" s="12">
        <f>IF('Données projet'!$A$88&gt;35,BD9+BC10-BL9,IF(A10&lt;'Données projet'!$A$88,$BA$205^A10,IF(A10='Données projet'!$A$88,'Données projet'!$B$88,BD9+BC10-BL9)))</f>
        <v>2.7732236115271709</v>
      </c>
      <c r="BE10" s="13">
        <f>BD10*VLOOKUP('Données projet'!$B$11,Paramètres!$A$1:$I$89,3,0)*VLOOKUP('Données projet'!$B$11,Paramètres!$A$1:$I$89,5,0)</f>
        <v>2.5092127237097843</v>
      </c>
      <c r="BF10" s="13">
        <f t="shared" si="37"/>
        <v>1.0389230532009757</v>
      </c>
      <c r="BG10" s="20">
        <f t="shared" si="7"/>
        <v>6.1796698114529072</v>
      </c>
      <c r="BH10" s="59">
        <f t="shared" si="8"/>
        <v>271.40189203367515</v>
      </c>
      <c r="BI10" s="59">
        <f ca="1">AVERAGE(OFFSET($BH$3,0,0,'Données projet'!$E$11+1,1))-AVERAGE(OFFSET($H$3,0,0,'Données projet'!$E$11+1,1))</f>
        <v>496.45286557802063</v>
      </c>
      <c r="BJ10" s="59">
        <f t="shared" si="38"/>
        <v>196.37811957788398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286.29116111794826</v>
      </c>
      <c r="S11" s="59">
        <f ca="1">AVERAGE(OFFSET($R$3,0,0,'Données projet'!$E$9+1,1))-AVERAGE(OFFSET($H$3,0,0,'Données projet'!$E$9+1,1))</f>
        <v>323.17232038705157</v>
      </c>
      <c r="T11" s="59">
        <f t="shared" si="34"/>
        <v>402.34685738619197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4.4615733451526163</v>
      </c>
      <c r="AK11" s="13">
        <f t="shared" si="35"/>
        <v>1.7275860727911023</v>
      </c>
      <c r="AL11" s="20">
        <f t="shared" si="4"/>
        <v>10.779452652918643</v>
      </c>
      <c r="AM11" s="59">
        <f t="shared" si="5"/>
        <v>277.22389709736308</v>
      </c>
      <c r="AN11" s="59">
        <f ca="1">AVERAGE(OFFSET($AM$3,0,0,'Données projet'!$E$10+1,1))-AVERAGE(OFFSET($H$3,0,0,'Données projet'!$E$10+1,1))</f>
        <v>263.30962868541337</v>
      </c>
      <c r="AO11" s="59">
        <f t="shared" si="36"/>
        <v>269.61868559913404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4.1702488687782804</v>
      </c>
      <c r="BD11" s="12">
        <f>IF('Données projet'!$A$88&gt;35,BD10+BC11-BL10,IF(A11&lt;'Données projet'!$A$88,$BA$205^A11,IF(A11='Données projet'!$A$88,'Données projet'!$B$88,BD10+BC11-BL10)))</f>
        <v>3.2082517864695053</v>
      </c>
      <c r="BE11" s="13">
        <f>BD11*VLOOKUP('Données projet'!$B$11,Paramètres!$A$1:$I$89,3,0)*VLOOKUP('Données projet'!$B$11,Paramètres!$A$1:$I$89,5,0)</f>
        <v>2.9028262163976084</v>
      </c>
      <c r="BF11" s="13">
        <f t="shared" si="37"/>
        <v>1.1816823066693383</v>
      </c>
      <c r="BG11" s="20">
        <f t="shared" si="7"/>
        <v>7.1138523443415984</v>
      </c>
      <c r="BH11" s="59">
        <f t="shared" si="8"/>
        <v>273.55829678878604</v>
      </c>
      <c r="BI11" s="59">
        <f ca="1">AVERAGE(OFFSET($BH$3,0,0,'Données projet'!$E$11+1,1))-AVERAGE(OFFSET($H$3,0,0,'Données projet'!$E$11+1,1))</f>
        <v>496.45286557802063</v>
      </c>
      <c r="BJ11" s="59">
        <f t="shared" si="38"/>
        <v>196.37811957788398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294.9975687268884</v>
      </c>
      <c r="S12" s="59">
        <f ca="1">AVERAGE(OFFSET($R$3,0,0,'Données projet'!$E$9+1,1))-AVERAGE(OFFSET($H$3,0,0,'Données projet'!$E$9+1,1))</f>
        <v>323.17232038705157</v>
      </c>
      <c r="T12" s="59">
        <f t="shared" si="34"/>
        <v>402.34685738619197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5.6705776966005823</v>
      </c>
      <c r="AK12" s="13">
        <f t="shared" si="35"/>
        <v>2.1352914049034637</v>
      </c>
      <c r="AL12" s="20">
        <f t="shared" si="4"/>
        <v>13.59522201845288</v>
      </c>
      <c r="AM12" s="59">
        <f t="shared" si="5"/>
        <v>281.26188868511957</v>
      </c>
      <c r="AN12" s="59">
        <f ca="1">AVERAGE(OFFSET($AM$3,0,0,'Données projet'!$E$10+1,1))-AVERAGE(OFFSET($H$3,0,0,'Données projet'!$E$10+1,1))</f>
        <v>263.30962868541337</v>
      </c>
      <c r="AO12" s="59">
        <f t="shared" si="36"/>
        <v>269.61868559913404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4.1702488687782804</v>
      </c>
      <c r="BD12" s="12">
        <f>IF('Données projet'!$A$88&gt;35,BD11+BC12-BL11,IF(A12&lt;'Données projet'!$A$88,$BA$205^A12,IF(A12='Données projet'!$A$88,'Données projet'!$B$88,BD11+BC12-BL11)))</f>
        <v>3.7115216683578733</v>
      </c>
      <c r="BE12" s="13">
        <f>BD12*VLOOKUP('Données projet'!$B$11,Paramètres!$A$1:$I$89,3,0)*VLOOKUP('Données projet'!$B$11,Paramètres!$A$1:$I$89,5,0)</f>
        <v>3.3581848055302035</v>
      </c>
      <c r="BF12" s="13">
        <f t="shared" si="37"/>
        <v>1.3440582241322589</v>
      </c>
      <c r="BG12" s="20">
        <f t="shared" si="7"/>
        <v>8.1897399433287887</v>
      </c>
      <c r="BH12" s="59">
        <f t="shared" si="8"/>
        <v>275.85640660999547</v>
      </c>
      <c r="BI12" s="59">
        <f ca="1">AVERAGE(OFFSET($BH$3,0,0,'Données projet'!$E$11+1,1))-AVERAGE(OFFSET($H$3,0,0,'Données projet'!$E$11+1,1))</f>
        <v>496.45286557802063</v>
      </c>
      <c r="BJ12" s="59">
        <f t="shared" si="38"/>
        <v>196.37811957788398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306.53686927411997</v>
      </c>
      <c r="S13" s="59">
        <f ca="1">AVERAGE(OFFSET($R$3,0,0,'Données projet'!$E$9+1,1))-AVERAGE(OFFSET($H$3,0,0,'Données projet'!$E$9+1,1))</f>
        <v>323.17232038705157</v>
      </c>
      <c r="T13" s="59">
        <f t="shared" si="34"/>
        <v>402.34685738619197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7.2072000000000003</v>
      </c>
      <c r="AK13" s="13">
        <f t="shared" si="35"/>
        <v>2.6392140198770462</v>
      </c>
      <c r="AL13" s="20">
        <f t="shared" si="4"/>
        <v>17.149171084619187</v>
      </c>
      <c r="AM13" s="59">
        <f t="shared" si="5"/>
        <v>286.03805997350804</v>
      </c>
      <c r="AN13" s="59">
        <f ca="1">AVERAGE(OFFSET($AM$3,0,0,'Données projet'!$E$10+1,1))-AVERAGE(OFFSET($H$3,0,0,'Données projet'!$E$10+1,1))</f>
        <v>263.30962868541337</v>
      </c>
      <c r="AO13" s="59">
        <f t="shared" si="36"/>
        <v>269.61868559913404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1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4.3000000000000003E-2</v>
      </c>
      <c r="AT13" s="16">
        <f>IF(ISNA(VLOOKUP(A13,'Données projet'!$A$61:$I$81,7,0)),0%,VLOOKUP(A13,'Données projet'!$A$61:$I$81,7,0))</f>
        <v>0.3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3.1022450236522271E-2</v>
      </c>
      <c r="AW13" s="21">
        <f>EXP(-LN(2)/2)*AW12+(1-EXP(-LN(2)/2))/(LN(2)/2)*AQ13*AT13*VLOOKUP('Données projet'!$B$10,Paramètres!$A$1:$I$89,3,0)*0.475*44/12</f>
        <v>0.18545965033483505</v>
      </c>
      <c r="AX13" s="21">
        <f t="shared" si="6"/>
        <v>0.21648210057135733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4.1702488687782804</v>
      </c>
      <c r="BD13" s="12">
        <f>IF('Données projet'!$A$88&gt;35,BD12+BC13-BL12,IF(A13&lt;'Données projet'!$A$88,$BA$205^A13,IF(A13='Données projet'!$A$88,'Données projet'!$B$88,BD12+BC13-BL12)))</f>
        <v>4.293738151346604</v>
      </c>
      <c r="BE13" s="13">
        <f>BD13*VLOOKUP('Données projet'!$B$11,Paramètres!$A$1:$I$89,3,0)*VLOOKUP('Données projet'!$B$11,Paramètres!$A$1:$I$89,5,0)</f>
        <v>3.8849742793384077</v>
      </c>
      <c r="BF13" s="13">
        <f t="shared" si="37"/>
        <v>1.5287463471881029</v>
      </c>
      <c r="BG13" s="20">
        <f t="shared" si="7"/>
        <v>9.4288967578670047</v>
      </c>
      <c r="BH13" s="59">
        <f t="shared" si="8"/>
        <v>278.31778564675585</v>
      </c>
      <c r="BI13" s="59">
        <f ca="1">AVERAGE(OFFSET($BH$3,0,0,'Données projet'!$E$11+1,1))-AVERAGE(OFFSET($H$3,0,0,'Données projet'!$E$11+1,1))</f>
        <v>496.45286557802063</v>
      </c>
      <c r="BJ13" s="59">
        <f t="shared" si="38"/>
        <v>196.37811957788398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321.98508597343204</v>
      </c>
      <c r="S14" s="59">
        <f ca="1">AVERAGE(OFFSET($R$3,0,0,'Données projet'!$E$9+1,1))-AVERAGE(OFFSET($H$3,0,0,'Données projet'!$E$9+1,1))</f>
        <v>323.17232038705157</v>
      </c>
      <c r="T14" s="59">
        <f t="shared" si="34"/>
        <v>402.34685738619197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6.8</v>
      </c>
      <c r="AI14" s="13">
        <f>IF('Données projet'!$A$62&gt;35,AI13+AH14-AQ13,IF(A14&lt;'Données projet'!$A$62,$AF$205^A14,IF(A14='Données projet'!$A$62,'Données projet'!$B$62,AI13+AH14-AQ13)))</f>
        <v>16.8</v>
      </c>
      <c r="AJ14" s="13">
        <f>AI14*VLOOKUP('Données projet'!$B$10,Paramètres!$A$1:$I$89,3,0)*VLOOKUP('Données projet'!$B$10,Paramètres!$A$1:$I$89,5,0)</f>
        <v>11.00736</v>
      </c>
      <c r="AK14" s="13">
        <f t="shared" si="35"/>
        <v>3.8369250365307539</v>
      </c>
      <c r="AL14" s="20">
        <f t="shared" si="4"/>
        <v>25.853796438624396</v>
      </c>
      <c r="AM14" s="59">
        <f t="shared" si="5"/>
        <v>295.96490754973553</v>
      </c>
      <c r="AN14" s="59">
        <f ca="1">AVERAGE(OFFSET($AM$3,0,0,'Données projet'!$E$10+1,1))-AVERAGE(OFFSET($H$3,0,0,'Données projet'!$E$10+1,1))</f>
        <v>263.30962868541337</v>
      </c>
      <c r="AO14" s="59">
        <f t="shared" si="36"/>
        <v>269.61868559913404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3.0174139703404813E-2</v>
      </c>
      <c r="AW14" s="21">
        <f>EXP(-LN(2)/2)*AW13+(1-EXP(-LN(2)/2))/(LN(2)/2)*AQ14*AT14*VLOOKUP('Données projet'!$B$10,Paramètres!$A$1:$I$89,3,0)*0.475*44/12</f>
        <v>0.13113977638824784</v>
      </c>
      <c r="AX14" s="21">
        <f t="shared" si="6"/>
        <v>0.16131391609165266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4.1702488687782804</v>
      </c>
      <c r="BD14" s="12">
        <f>IF('Données projet'!$A$88&gt;35,BD13+BC14-BL13,IF(A14&lt;'Données projet'!$A$88,$BA$205^A14,IF(A14='Données projet'!$A$88,'Données projet'!$B$88,BD13+BC14-BL13)))</f>
        <v>4.9672853777211712</v>
      </c>
      <c r="BE14" s="13">
        <f>BD14*VLOOKUP('Données projet'!$B$11,Paramètres!$A$1:$I$89,3,0)*VLOOKUP('Données projet'!$B$11,Paramètres!$A$1:$I$89,5,0)</f>
        <v>4.4943998097621156</v>
      </c>
      <c r="BF14" s="13">
        <f t="shared" si="37"/>
        <v>1.7388126139772004</v>
      </c>
      <c r="BG14" s="20">
        <f t="shared" si="7"/>
        <v>10.856178304679309</v>
      </c>
      <c r="BH14" s="59">
        <f t="shared" si="8"/>
        <v>280.96728941579045</v>
      </c>
      <c r="BI14" s="59">
        <f ca="1">AVERAGE(OFFSET($BH$3,0,0,'Données projet'!$E$11+1,1))-AVERAGE(OFFSET($H$3,0,0,'Données projet'!$E$11+1,1))</f>
        <v>496.45286557802063</v>
      </c>
      <c r="BJ14" s="59">
        <f t="shared" si="38"/>
        <v>196.37811957788398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342.82825243951993</v>
      </c>
      <c r="S15" s="59">
        <f ca="1">AVERAGE(OFFSET($R$3,0,0,'Données projet'!$E$9+1,1))-AVERAGE(OFFSET($H$3,0,0,'Données projet'!$E$9+1,1))</f>
        <v>323.17232038705157</v>
      </c>
      <c r="T15" s="59">
        <f t="shared" si="34"/>
        <v>402.34685738619197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6.8</v>
      </c>
      <c r="AI15" s="13">
        <f>IF('Données projet'!$A$62&gt;35,AI14+AH15-AQ14,IF(A15&lt;'Données projet'!$A$62,$AF$205^A15,IF(A15='Données projet'!$A$62,'Données projet'!$B$62,AI14+AH15-AQ14)))</f>
        <v>23.6</v>
      </c>
      <c r="AJ15" s="13">
        <f>AI15*VLOOKUP('Données projet'!$B$10,Paramètres!$A$1:$I$89,3,0)*VLOOKUP('Données projet'!$B$10,Paramètres!$A$1:$I$89,5,0)</f>
        <v>15.462720000000001</v>
      </c>
      <c r="AK15" s="13">
        <f t="shared" si="35"/>
        <v>5.1808984376512361</v>
      </c>
      <c r="AL15" s="20">
        <f t="shared" si="4"/>
        <v>35.954302112242566</v>
      </c>
      <c r="AM15" s="59">
        <f t="shared" si="5"/>
        <v>307.28763544557586</v>
      </c>
      <c r="AN15" s="59">
        <f ca="1">AVERAGE(OFFSET($AM$3,0,0,'Données projet'!$E$10+1,1))-AVERAGE(OFFSET($H$3,0,0,'Données projet'!$E$10+1,1))</f>
        <v>263.30962868541337</v>
      </c>
      <c r="AO15" s="59">
        <f t="shared" si="36"/>
        <v>269.61868559913404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2.9349026266426166E-2</v>
      </c>
      <c r="AW15" s="21">
        <f>EXP(-LN(2)/2)*AW14+(1-EXP(-LN(2)/2))/(LN(2)/2)*AQ15*AT15*VLOOKUP('Données projet'!$B$10,Paramètres!$A$1:$I$89,3,0)*0.475*44/12</f>
        <v>9.272982516741754E-2</v>
      </c>
      <c r="AX15" s="21">
        <f t="shared" si="6"/>
        <v>0.1220788514338437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4.1702488687782804</v>
      </c>
      <c r="BD15" s="12">
        <f>IF('Données projet'!$A$88&gt;35,BD14+BC15-BL14,IF(A15&lt;'Données projet'!$A$88,$BA$205^A15,IF(A15='Données projet'!$A$88,'Données projet'!$B$88,BD14+BC15-BL14)))</f>
        <v>5.7464901570637963</v>
      </c>
      <c r="BE15" s="13">
        <f>BD15*VLOOKUP('Données projet'!$B$11,Paramètres!$A$1:$I$89,3,0)*VLOOKUP('Données projet'!$B$11,Paramètres!$A$1:$I$89,5,0)</f>
        <v>5.1994242941113225</v>
      </c>
      <c r="BF15" s="13">
        <f t="shared" si="37"/>
        <v>1.9777442556689919</v>
      </c>
      <c r="BG15" s="20">
        <f t="shared" si="7"/>
        <v>12.500235224200713</v>
      </c>
      <c r="BH15" s="59">
        <f t="shared" si="8"/>
        <v>283.83356855753402</v>
      </c>
      <c r="BI15" s="59">
        <f ca="1">AVERAGE(OFFSET($BH$3,0,0,'Données projet'!$E$11+1,1))-AVERAGE(OFFSET($H$3,0,0,'Données projet'!$E$11+1,1))</f>
        <v>496.45286557802063</v>
      </c>
      <c r="BJ15" s="59">
        <f t="shared" si="38"/>
        <v>196.37811957788398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371.11909787600734</v>
      </c>
      <c r="S16" s="59">
        <f ca="1">AVERAGE(OFFSET($R$3,0,0,'Données projet'!$E$9+1,1))-AVERAGE(OFFSET($H$3,0,0,'Données projet'!$E$9+1,1))</f>
        <v>323.17232038705157</v>
      </c>
      <c r="T16" s="59">
        <f t="shared" si="34"/>
        <v>402.34685738619197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6.8</v>
      </c>
      <c r="AI16" s="13">
        <f>IF('Données projet'!$A$62&gt;35,AI15+AH16-AQ15,IF(A16&lt;'Données projet'!$A$62,$AF$205^A16,IF(A16='Données projet'!$A$62,'Données projet'!$B$62,AI15+AH16-AQ15)))</f>
        <v>30.400000000000002</v>
      </c>
      <c r="AJ16" s="13">
        <f>AI16*VLOOKUP('Données projet'!$B$10,Paramètres!$A$1:$I$89,3,0)*VLOOKUP('Données projet'!$B$10,Paramètres!$A$1:$I$89,5,0)</f>
        <v>19.918080000000003</v>
      </c>
      <c r="AK16" s="13">
        <f t="shared" si="35"/>
        <v>6.4798825087607046</v>
      </c>
      <c r="AL16" s="20">
        <f t="shared" si="4"/>
        <v>45.976451369424893</v>
      </c>
      <c r="AM16" s="59">
        <f t="shared" si="5"/>
        <v>318.53200692498046</v>
      </c>
      <c r="AN16" s="59">
        <f ca="1">AVERAGE(OFFSET($AM$3,0,0,'Données projet'!$E$10+1,1))-AVERAGE(OFFSET($H$3,0,0,'Données projet'!$E$10+1,1))</f>
        <v>263.30962868541337</v>
      </c>
      <c r="AO16" s="59">
        <f t="shared" si="36"/>
        <v>269.61868559913404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2.8546475599772528E-2</v>
      </c>
      <c r="AW16" s="21">
        <f>EXP(-LN(2)/2)*AW15+(1-EXP(-LN(2)/2))/(LN(2)/2)*AQ16*AT16*VLOOKUP('Données projet'!$B$10,Paramètres!$A$1:$I$89,3,0)*0.475*44/12</f>
        <v>6.5569888194123932E-2</v>
      </c>
      <c r="AX16" s="21">
        <f t="shared" si="6"/>
        <v>9.4116363793896457E-2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4.1702488687782804</v>
      </c>
      <c r="BD16" s="12">
        <f>IF('Données projet'!$A$88&gt;35,BD15+BC16-BL15,IF(A16&lt;'Données projet'!$A$88,$BA$205^A16,IF(A16='Données projet'!$A$88,'Données projet'!$B$88,BD15+BC16-BL15)))</f>
        <v>6.6479267072794137</v>
      </c>
      <c r="BE16" s="13">
        <f>BD16*VLOOKUP('Données projet'!$B$11,Paramètres!$A$1:$I$89,3,0)*VLOOKUP('Données projet'!$B$11,Paramètres!$A$1:$I$89,5,0)</f>
        <v>6.0150440847464131</v>
      </c>
      <c r="BF16" s="13">
        <f t="shared" si="37"/>
        <v>2.2495076866764561</v>
      </c>
      <c r="BG16" s="20">
        <f t="shared" si="7"/>
        <v>14.394094335228163</v>
      </c>
      <c r="BH16" s="59">
        <f t="shared" si="8"/>
        <v>286.94964989078369</v>
      </c>
      <c r="BI16" s="59">
        <f ca="1">AVERAGE(OFFSET($BH$3,0,0,'Données projet'!$E$11+1,1))-AVERAGE(OFFSET($H$3,0,0,'Données projet'!$E$11+1,1))</f>
        <v>496.45286557802063</v>
      </c>
      <c r="BJ16" s="59">
        <f t="shared" si="38"/>
        <v>196.37811957788398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409.69376705925629</v>
      </c>
      <c r="S17" s="59">
        <f ca="1">AVERAGE(OFFSET($R$3,0,0,'Données projet'!$E$9+1,1))-AVERAGE(OFFSET($H$3,0,0,'Données projet'!$E$9+1,1))</f>
        <v>323.17232038705157</v>
      </c>
      <c r="T17" s="59">
        <f t="shared" si="34"/>
        <v>402.34685738619197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6.8</v>
      </c>
      <c r="AI17" s="13">
        <f>IF('Données projet'!$A$62&gt;35,AI16+AH17-AQ16,IF(A17&lt;'Données projet'!$A$62,$AF$205^A17,IF(A17='Données projet'!$A$62,'Données projet'!$B$62,AI16+AH17-AQ16)))</f>
        <v>37.200000000000003</v>
      </c>
      <c r="AJ17" s="13">
        <f>AI17*VLOOKUP('Données projet'!$B$10,Paramètres!$A$1:$I$89,3,0)*VLOOKUP('Données projet'!$B$10,Paramètres!$A$1:$I$89,5,0)</f>
        <v>24.373440000000002</v>
      </c>
      <c r="AK17" s="13">
        <f t="shared" si="35"/>
        <v>7.7451846247230876</v>
      </c>
      <c r="AL17" s="20">
        <f t="shared" si="4"/>
        <v>55.939937888059376</v>
      </c>
      <c r="AM17" s="59">
        <f t="shared" si="5"/>
        <v>329.71771566583715</v>
      </c>
      <c r="AN17" s="59">
        <f ca="1">AVERAGE(OFFSET($AM$3,0,0,'Données projet'!$E$10+1,1))-AVERAGE(OFFSET($H$3,0,0,'Données projet'!$E$10+1,1))</f>
        <v>263.30962868541337</v>
      </c>
      <c r="AO17" s="59">
        <f t="shared" si="36"/>
        <v>269.61868559913404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2.7765870723302839E-2</v>
      </c>
      <c r="AW17" s="21">
        <f>EXP(-LN(2)/2)*AW16+(1-EXP(-LN(2)/2))/(LN(2)/2)*AQ17*AT17*VLOOKUP('Données projet'!$B$10,Paramètres!$A$1:$I$89,3,0)*0.475*44/12</f>
        <v>4.6364912583708777E-2</v>
      </c>
      <c r="AX17" s="21">
        <f t="shared" si="6"/>
        <v>7.4130783307011616E-2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4.1702488687782804</v>
      </c>
      <c r="BD17" s="12">
        <f>IF('Données projet'!$A$88&gt;35,BD16+BC17-BL16,IF(A17&lt;'Données projet'!$A$88,$BA$205^A17,IF(A17='Données projet'!$A$88,'Données projet'!$B$88,BD16+BC17-BL16)))</f>
        <v>7.690769199531803</v>
      </c>
      <c r="BE17" s="13">
        <f>BD17*VLOOKUP('Données projet'!$B$11,Paramètres!$A$1:$I$89,3,0)*VLOOKUP('Données projet'!$B$11,Paramètres!$A$1:$I$89,5,0)</f>
        <v>6.9586079717363747</v>
      </c>
      <c r="BF17" s="13">
        <f t="shared" si="37"/>
        <v>2.5586143496115321</v>
      </c>
      <c r="BG17" s="20">
        <f t="shared" si="7"/>
        <v>16.575828876347604</v>
      </c>
      <c r="BH17" s="59">
        <f t="shared" si="8"/>
        <v>290.35360665412537</v>
      </c>
      <c r="BI17" s="59">
        <f ca="1">AVERAGE(OFFSET($BH$3,0,0,'Données projet'!$E$11+1,1))-AVERAGE(OFFSET($H$3,0,0,'Données projet'!$E$11+1,1))</f>
        <v>496.45286557802063</v>
      </c>
      <c r="BJ17" s="59">
        <f t="shared" si="38"/>
        <v>196.37811957788398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462.4716323901705</v>
      </c>
      <c r="S18" s="59">
        <f ca="1">AVERAGE(OFFSET($R$3,0,0,'Données projet'!$E$9+1,1))-AVERAGE(OFFSET($H$3,0,0,'Données projet'!$E$9+1,1))</f>
        <v>323.17232038705157</v>
      </c>
      <c r="T18" s="59">
        <f t="shared" si="34"/>
        <v>402.34685738619197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44</v>
      </c>
      <c r="AG18" s="12">
        <f>VLOOKUP(A18,'Données projet'!$A$61:$I$81,9,0)</f>
        <v>6.8</v>
      </c>
      <c r="AH18" s="12">
        <f t="array" ref="AH18">INDEX(AG:AG,MIN(IF(ISNUMBER(AG18:AG214),ROW(AG18:AG214),"")))</f>
        <v>6.8</v>
      </c>
      <c r="AI18" s="13">
        <f>IF('Données projet'!$A$62&gt;35,AI17+AH18-AQ17,IF(A18&lt;'Données projet'!$A$62,$AF$205^A18,IF(A18='Données projet'!$A$62,'Données projet'!$B$62,AI17+AH18-AQ17)))</f>
        <v>44</v>
      </c>
      <c r="AJ18" s="13">
        <f>AI18*VLOOKUP('Données projet'!$B$10,Paramètres!$A$1:$I$89,3,0)*VLOOKUP('Données projet'!$B$10,Paramètres!$A$1:$I$89,5,0)</f>
        <v>28.828800000000001</v>
      </c>
      <c r="AK18" s="13">
        <f t="shared" si="35"/>
        <v>8.983691253405949</v>
      </c>
      <c r="AL18" s="20">
        <f t="shared" si="4"/>
        <v>65.856755599682032</v>
      </c>
      <c r="AM18" s="59">
        <f t="shared" si="5"/>
        <v>340.85675559968206</v>
      </c>
      <c r="AN18" s="59">
        <f ca="1">AVERAGE(OFFSET($AM$3,0,0,'Données projet'!$E$10+1,1))-AVERAGE(OFFSET($H$3,0,0,'Données projet'!$E$10+1,1))</f>
        <v>263.30962868541337</v>
      </c>
      <c r="AO18" s="59">
        <f t="shared" si="36"/>
        <v>269.61868559913404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4.3000000000000003E-2</v>
      </c>
      <c r="AT18" s="16">
        <f>IF(ISNA(VLOOKUP(A18,'Données projet'!$A$61:$I$81,7,0)),0%,VLOOKUP(A18,'Données projet'!$A$61:$I$81,7,0))</f>
        <v>0.3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0.15109641247431951</v>
      </c>
      <c r="AW18" s="21">
        <f>EXP(-LN(2)/2)*AW17+(1-EXP(-LN(2)/2))/(LN(2)/2)*AQ18*AT18*VLOOKUP('Données projet'!$B$10,Paramètres!$A$1:$I$89,3,0)*0.475*44/12</f>
        <v>0.77462354543640222</v>
      </c>
      <c r="AX18" s="21">
        <f t="shared" si="6"/>
        <v>0.9257199579107217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4.1702488687782804</v>
      </c>
      <c r="BD18" s="12">
        <f>IF('Données projet'!$A$88&gt;35,BD17+BC18-BL17,IF(A18&lt;'Données projet'!$A$88,$BA$205^A18,IF(A18='Données projet'!$A$88,'Données projet'!$B$88,BD17+BC18-BL17)))</f>
        <v>8.8971996059614593</v>
      </c>
      <c r="BE18" s="13">
        <f>BD18*VLOOKUP('Données projet'!$B$11,Paramètres!$A$1:$I$89,3,0)*VLOOKUP('Données projet'!$B$11,Paramètres!$A$1:$I$89,5,0)</f>
        <v>8.0501862034739293</v>
      </c>
      <c r="BF18" s="13">
        <f t="shared" si="37"/>
        <v>2.9101956080488924</v>
      </c>
      <c r="BG18" s="20">
        <f t="shared" si="7"/>
        <v>19.089331655068914</v>
      </c>
      <c r="BH18" s="59">
        <f t="shared" si="8"/>
        <v>294.08933165506892</v>
      </c>
      <c r="BI18" s="59">
        <f ca="1">AVERAGE(OFFSET($BH$3,0,0,'Données projet'!$E$11+1,1))-AVERAGE(OFFSET($H$3,0,0,'Données projet'!$E$11+1,1))</f>
        <v>496.45286557802063</v>
      </c>
      <c r="BJ18" s="59">
        <f t="shared" si="38"/>
        <v>196.37811957788398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423.03358770020975</v>
      </c>
      <c r="S19" s="59">
        <f ca="1">AVERAGE(OFFSET($R$3,0,0,'Données projet'!$E$9+1,1))-AVERAGE(OFFSET($H$3,0,0,'Données projet'!$E$9+1,1))</f>
        <v>323.17232038705157</v>
      </c>
      <c r="T19" s="59">
        <f t="shared" si="34"/>
        <v>402.34685738619197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</v>
      </c>
      <c r="AI19" s="13">
        <f>IF('Données projet'!$A$62&gt;35,AI18+AH19-AQ18,IF(A19&lt;'Données projet'!$A$62,$AF$205^A19,IF(A19='Données projet'!$A$62,'Données projet'!$B$62,AI18+AH19-AQ18)))</f>
        <v>52</v>
      </c>
      <c r="AJ19" s="13">
        <f>AI19*VLOOKUP('Données projet'!$B$10,Paramètres!$A$1:$I$89,3,0)*VLOOKUP('Données projet'!$B$10,Paramètres!$A$1:$I$89,5,0)</f>
        <v>34.070399999999999</v>
      </c>
      <c r="AK19" s="13">
        <f t="shared" si="35"/>
        <v>10.412633617059315</v>
      </c>
      <c r="AL19" s="20">
        <f t="shared" si="4"/>
        <v>77.474616883044959</v>
      </c>
      <c r="AM19" s="59">
        <f t="shared" si="5"/>
        <v>353.6968391052672</v>
      </c>
      <c r="AN19" s="59">
        <f ca="1">AVERAGE(OFFSET($AM$3,0,0,'Données projet'!$E$10+1,1))-AVERAGE(OFFSET($H$3,0,0,'Données projet'!$E$10+1,1))</f>
        <v>263.30962868541337</v>
      </c>
      <c r="AO19" s="59">
        <f t="shared" si="36"/>
        <v>269.61868559913404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0.14696467312939426</v>
      </c>
      <c r="AW19" s="21">
        <f>EXP(-LN(2)/2)*AW18+(1-EXP(-LN(2)/2))/(LN(2)/2)*AQ19*AT19*VLOOKUP('Données projet'!$B$10,Paramètres!$A$1:$I$89,3,0)*0.475*44/12</f>
        <v>0.54774156184484579</v>
      </c>
      <c r="AX19" s="21">
        <f t="shared" si="6"/>
        <v>0.69470623497424011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4.1702488687782804</v>
      </c>
      <c r="BD19" s="12">
        <f>IF('Données projet'!$A$88&gt;35,BD18+BC19-BL18,IF(A19&lt;'Données projet'!$A$88,$BA$205^A19,IF(A19='Données projet'!$A$88,'Données projet'!$B$88,BD18+BC19-BL18)))</f>
        <v>10.292879525384771</v>
      </c>
      <c r="BE19" s="13">
        <f>BD19*VLOOKUP('Données projet'!$B$11,Paramètres!$A$1:$I$89,3,0)*VLOOKUP('Données projet'!$B$11,Paramètres!$A$1:$I$89,5,0)</f>
        <v>9.312997394568141</v>
      </c>
      <c r="BF19" s="13">
        <f t="shared" si="37"/>
        <v>3.3100879303647002</v>
      </c>
      <c r="BG19" s="20">
        <f t="shared" si="7"/>
        <v>21.985206940924698</v>
      </c>
      <c r="BH19" s="59">
        <f t="shared" si="8"/>
        <v>298.20742916314691</v>
      </c>
      <c r="BI19" s="59">
        <f ca="1">AVERAGE(OFFSET($BH$3,0,0,'Données projet'!$E$11+1,1))-AVERAGE(OFFSET($H$3,0,0,'Données projet'!$E$11+1,1))</f>
        <v>496.45286557802063</v>
      </c>
      <c r="BJ19" s="59">
        <f t="shared" si="38"/>
        <v>196.37811957788398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448.25187399121603</v>
      </c>
      <c r="S20" s="59">
        <f ca="1">AVERAGE(OFFSET($R$3,0,0,'Données projet'!$E$9+1,1))-AVERAGE(OFFSET($H$3,0,0,'Données projet'!$E$9+1,1))</f>
        <v>323.17232038705157</v>
      </c>
      <c r="T20" s="59">
        <f t="shared" si="34"/>
        <v>402.34685738619197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</v>
      </c>
      <c r="AI20" s="13">
        <f>IF('Données projet'!$A$62&gt;35,AI19+AH20-AQ19,IF(A20&lt;'Données projet'!$A$62,$AF$205^A20,IF(A20='Données projet'!$A$62,'Données projet'!$B$62,AI19+AH20-AQ19)))</f>
        <v>64</v>
      </c>
      <c r="AJ20" s="13">
        <f>AI20*VLOOKUP('Données projet'!$B$10,Paramètres!$A$1:$I$89,3,0)*VLOOKUP('Données projet'!$B$10,Paramètres!$A$1:$I$89,5,0)</f>
        <v>41.9328</v>
      </c>
      <c r="AK20" s="13">
        <f t="shared" si="35"/>
        <v>12.509520351031938</v>
      </c>
      <c r="AL20" s="20">
        <f t="shared" si="4"/>
        <v>94.820374611380615</v>
      </c>
      <c r="AM20" s="59">
        <f t="shared" si="5"/>
        <v>372.26481905582506</v>
      </c>
      <c r="AN20" s="59">
        <f ca="1">AVERAGE(OFFSET($AM$3,0,0,'Données projet'!$E$10+1,1))-AVERAGE(OFFSET($H$3,0,0,'Données projet'!$E$10+1,1))</f>
        <v>263.30962868541337</v>
      </c>
      <c r="AO20" s="59">
        <f t="shared" si="36"/>
        <v>269.61868559913404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0.1429459164141347</v>
      </c>
      <c r="AW20" s="21">
        <f>EXP(-LN(2)/2)*AW19+(1-EXP(-LN(2)/2))/(LN(2)/2)*AQ20*AT20*VLOOKUP('Données projet'!$B$10,Paramètres!$A$1:$I$89,3,0)*0.475*44/12</f>
        <v>0.38731177271820116</v>
      </c>
      <c r="AX20" s="21">
        <f t="shared" si="6"/>
        <v>0.53025768913233584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4.1702488687782804</v>
      </c>
      <c r="BD20" s="12">
        <f>IF('Données projet'!$A$88&gt;35,BD19+BC20-BL19,IF(A20&lt;'Données projet'!$A$88,$BA$205^A20,IF(A20='Données projet'!$A$88,'Données projet'!$B$88,BD19+BC20-BL19)))</f>
        <v>11.907496023029426</v>
      </c>
      <c r="BE20" s="13">
        <f>BD20*VLOOKUP('Données projet'!$B$11,Paramètres!$A$1:$I$89,3,0)*VLOOKUP('Données projet'!$B$11,Paramètres!$A$1:$I$89,5,0)</f>
        <v>10.773902401637024</v>
      </c>
      <c r="BF20" s="13">
        <f t="shared" si="37"/>
        <v>3.764929778755266</v>
      </c>
      <c r="BG20" s="20">
        <f t="shared" si="7"/>
        <v>25.321799380849907</v>
      </c>
      <c r="BH20" s="59">
        <f t="shared" si="8"/>
        <v>302.76624382529434</v>
      </c>
      <c r="BI20" s="59">
        <f ca="1">AVERAGE(OFFSET($BH$3,0,0,'Données projet'!$E$11+1,1))-AVERAGE(OFFSET($H$3,0,0,'Données projet'!$E$11+1,1))</f>
        <v>496.45286557802063</v>
      </c>
      <c r="BJ20" s="59">
        <f t="shared" si="38"/>
        <v>196.37811957788398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473.39070630817372</v>
      </c>
      <c r="S21" s="59">
        <f ca="1">AVERAGE(OFFSET($R$3,0,0,'Données projet'!$E$9+1,1))-AVERAGE(OFFSET($H$3,0,0,'Données projet'!$E$9+1,1))</f>
        <v>323.17232038705157</v>
      </c>
      <c r="T21" s="59">
        <f t="shared" si="34"/>
        <v>402.34685738619197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</v>
      </c>
      <c r="AI21" s="13">
        <f>IF('Données projet'!$A$62&gt;35,AI20+AH21-AQ20,IF(A21&lt;'Données projet'!$A$62,$AF$205^A21,IF(A21='Données projet'!$A$62,'Données projet'!$B$62,AI20+AH21-AQ20)))</f>
        <v>76</v>
      </c>
      <c r="AJ21" s="13">
        <f>AI21*VLOOKUP('Données projet'!$B$10,Paramètres!$A$1:$I$89,3,0)*VLOOKUP('Données projet'!$B$10,Paramètres!$A$1:$I$89,5,0)</f>
        <v>49.795200000000001</v>
      </c>
      <c r="AK21" s="13">
        <f t="shared" si="35"/>
        <v>14.560856542690781</v>
      </c>
      <c r="AL21" s="20">
        <f t="shared" si="4"/>
        <v>112.08679847851977</v>
      </c>
      <c r="AM21" s="59">
        <f t="shared" si="5"/>
        <v>390.75346514518645</v>
      </c>
      <c r="AN21" s="59">
        <f ca="1">AVERAGE(OFFSET($AM$3,0,0,'Données projet'!$E$10+1,1))-AVERAGE(OFFSET($H$3,0,0,'Données projet'!$E$10+1,1))</f>
        <v>263.30962868541337</v>
      </c>
      <c r="AO21" s="59">
        <f t="shared" si="36"/>
        <v>269.61868559913404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0.13903705281259116</v>
      </c>
      <c r="AW21" s="21">
        <f>EXP(-LN(2)/2)*AW20+(1-EXP(-LN(2)/2))/(LN(2)/2)*AQ21*AT21*VLOOKUP('Données projet'!$B$10,Paramètres!$A$1:$I$89,3,0)*0.475*44/12</f>
        <v>0.2738707809224229</v>
      </c>
      <c r="AX21" s="21">
        <f t="shared" si="6"/>
        <v>0.41290783373501405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4.1702488687782804</v>
      </c>
      <c r="BD21" s="12">
        <f>IF('Données projet'!$A$88&gt;35,BD20+BC21-BL20,IF(A21&lt;'Données projet'!$A$88,$BA$205^A21,IF(A21='Données projet'!$A$88,'Données projet'!$B$88,BD20+BC21-BL20)))</f>
        <v>13.775393094690012</v>
      </c>
      <c r="BE21" s="13">
        <f>BD21*VLOOKUP('Données projet'!$B$11,Paramètres!$A$1:$I$89,3,0)*VLOOKUP('Données projet'!$B$11,Paramètres!$A$1:$I$89,5,0)</f>
        <v>12.463975672075522</v>
      </c>
      <c r="BF21" s="13">
        <f t="shared" si="37"/>
        <v>4.2822718118537795</v>
      </c>
      <c r="BG21" s="20">
        <f t="shared" si="7"/>
        <v>29.166381034510199</v>
      </c>
      <c r="BH21" s="59">
        <f t="shared" si="8"/>
        <v>307.83304770117689</v>
      </c>
      <c r="BI21" s="59">
        <f ca="1">AVERAGE(OFFSET($BH$3,0,0,'Données projet'!$E$11+1,1))-AVERAGE(OFFSET($H$3,0,0,'Données projet'!$E$11+1,1))</f>
        <v>496.45286557802063</v>
      </c>
      <c r="BJ21" s="59">
        <f t="shared" si="38"/>
        <v>196.37811957788398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498.46122376348546</v>
      </c>
      <c r="S22" s="59">
        <f ca="1">AVERAGE(OFFSET($R$3,0,0,'Données projet'!$E$9+1,1))-AVERAGE(OFFSET($H$3,0,0,'Données projet'!$E$9+1,1))</f>
        <v>323.17232038705157</v>
      </c>
      <c r="T22" s="59">
        <f t="shared" si="34"/>
        <v>402.34685738619197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</v>
      </c>
      <c r="AI22" s="13">
        <f>IF('Données projet'!$A$62&gt;35,AI21+AH22-AQ21,IF(A22&lt;'Données projet'!$A$62,$AF$205^A22,IF(A22='Données projet'!$A$62,'Données projet'!$B$62,AI21+AH22-AQ21)))</f>
        <v>88</v>
      </c>
      <c r="AJ22" s="13">
        <f>AI22*VLOOKUP('Données projet'!$B$10,Paramètres!$A$1:$I$89,3,0)*VLOOKUP('Données projet'!$B$10,Paramètres!$A$1:$I$89,5,0)</f>
        <v>57.657600000000002</v>
      </c>
      <c r="AK22" s="13">
        <f t="shared" si="35"/>
        <v>16.574671209026025</v>
      </c>
      <c r="AL22" s="20">
        <f t="shared" si="4"/>
        <v>129.28787235572034</v>
      </c>
      <c r="AM22" s="59">
        <f t="shared" si="5"/>
        <v>409.17676124460922</v>
      </c>
      <c r="AN22" s="59">
        <f ca="1">AVERAGE(OFFSET($AM$3,0,0,'Données projet'!$E$10+1,1))-AVERAGE(OFFSET($H$3,0,0,'Données projet'!$E$10+1,1))</f>
        <v>263.30962868541337</v>
      </c>
      <c r="AO22" s="59">
        <f t="shared" si="36"/>
        <v>269.61868559913404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0.13523507729179002</v>
      </c>
      <c r="AW22" s="21">
        <f>EXP(-LN(2)/2)*AW21+(1-EXP(-LN(2)/2))/(LN(2)/2)*AQ22*AT22*VLOOKUP('Données projet'!$B$10,Paramètres!$A$1:$I$89,3,0)*0.475*44/12</f>
        <v>0.19365588635910058</v>
      </c>
      <c r="AX22" s="21">
        <f t="shared" si="6"/>
        <v>0.3288909636508906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4.1702488687782804</v>
      </c>
      <c r="BD22" s="12">
        <f>IF('Données projet'!$A$88&gt;35,BD21+BC22-BL21,IF(A22&lt;'Données projet'!$A$88,$BA$205^A22,IF(A22='Données projet'!$A$88,'Données projet'!$B$88,BD21+BC22-BL21)))</f>
        <v>15.936302186977796</v>
      </c>
      <c r="BE22" s="13">
        <f>BD22*VLOOKUP('Données projet'!$B$11,Paramètres!$A$1:$I$89,3,0)*VLOOKUP('Données projet'!$B$11,Paramètres!$A$1:$I$89,5,0)</f>
        <v>14.419166218777509</v>
      </c>
      <c r="BF22" s="13">
        <f t="shared" si="37"/>
        <v>4.8707022303773728</v>
      </c>
      <c r="BG22" s="20">
        <f t="shared" si="7"/>
        <v>33.596520882278078</v>
      </c>
      <c r="BH22" s="59">
        <f t="shared" si="8"/>
        <v>313.48540977116693</v>
      </c>
      <c r="BI22" s="59">
        <f ca="1">AVERAGE(OFFSET($BH$3,0,0,'Données projet'!$E$11+1,1))-AVERAGE(OFFSET($H$3,0,0,'Données projet'!$E$11+1,1))</f>
        <v>496.45286557802063</v>
      </c>
      <c r="BJ22" s="59">
        <f t="shared" si="38"/>
        <v>196.37811957788398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523.47193012965295</v>
      </c>
      <c r="S23" s="59">
        <f ca="1">AVERAGE(OFFSET($R$3,0,0,'Données projet'!$E$9+1,1))-AVERAGE(OFFSET($H$3,0,0,'Données projet'!$E$9+1,1))</f>
        <v>323.17232038705157</v>
      </c>
      <c r="T23" s="59">
        <f t="shared" si="34"/>
        <v>402.34685738619197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100</v>
      </c>
      <c r="AG23" s="12">
        <f>VLOOKUP(A23,'Données projet'!$A$61:$I$81,9,0)</f>
        <v>12</v>
      </c>
      <c r="AH23" s="12">
        <f t="array" ref="AH23">INDEX(AG:AG,MIN(IF(ISNUMBER(AG23:AG219),ROW(AG23:AG219),"")))</f>
        <v>12</v>
      </c>
      <c r="AI23" s="13">
        <f>IF('Données projet'!$A$62&gt;35,AI22+AH23-AQ22,IF(A23&lt;'Données projet'!$A$62,$AF$205^A23,IF(A23='Données projet'!$A$62,'Données projet'!$B$62,AI22+AH23-AQ22)))</f>
        <v>100</v>
      </c>
      <c r="AJ23" s="13">
        <f>AI23*VLOOKUP('Données projet'!$B$10,Paramètres!$A$1:$I$89,3,0)*VLOOKUP('Données projet'!$B$10,Paramètres!$A$1:$I$89,5,0)</f>
        <v>65.52</v>
      </c>
      <c r="AK23" s="13">
        <f t="shared" si="35"/>
        <v>18.556669503136725</v>
      </c>
      <c r="AL23" s="20">
        <f t="shared" si="4"/>
        <v>146.43353271796309</v>
      </c>
      <c r="AM23" s="59">
        <f t="shared" si="5"/>
        <v>427.54464382907423</v>
      </c>
      <c r="AN23" s="59">
        <f ca="1">AVERAGE(OFFSET($AM$3,0,0,'Données projet'!$E$10+1,1))-AVERAGE(OFFSET($H$3,0,0,'Données projet'!$E$10+1,1))</f>
        <v>263.30962868541337</v>
      </c>
      <c r="AO23" s="59">
        <f t="shared" si="36"/>
        <v>269.61868559913404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10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4.3000000000000003E-2</v>
      </c>
      <c r="AT23" s="16">
        <f>IF(ISNA(VLOOKUP(A23,'Données projet'!$A$61:$I$81,7,0)),0%,VLOOKUP(A23,'Données projet'!$A$61:$I$81,7,0))</f>
        <v>0.3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0.44176156935676508</v>
      </c>
      <c r="AW23" s="21">
        <f>EXP(-LN(2)/2)*AW22+(1-EXP(-LN(2)/2))/(LN(2)/2)*AQ23*AT23*VLOOKUP('Données projet'!$B$10,Paramètres!$A$1:$I$89,3,0)*0.475*44/12</f>
        <v>1.9915318938095625</v>
      </c>
      <c r="AX23" s="21">
        <f t="shared" si="6"/>
        <v>2.4332934631663274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4.1702488687782804</v>
      </c>
      <c r="BD23" s="12">
        <f>IF('Données projet'!$A$88&gt;35,BD22+BC23-BL22,IF(A23&lt;'Données projet'!$A$88,$BA$205^A23,IF(A23='Données projet'!$A$88,'Données projet'!$B$88,BD22+BC23-BL22)))</f>
        <v>18.436187312329348</v>
      </c>
      <c r="BE23" s="13">
        <f>BD23*VLOOKUP('Données projet'!$B$11,Paramètres!$A$1:$I$89,3,0)*VLOOKUP('Données projet'!$B$11,Paramètres!$A$1:$I$89,5,0)</f>
        <v>16.681062280195594</v>
      </c>
      <c r="BF23" s="13">
        <f t="shared" si="37"/>
        <v>5.5399893466204784</v>
      </c>
      <c r="BG23" s="20">
        <f t="shared" si="7"/>
        <v>38.701664916704651</v>
      </c>
      <c r="BH23" s="59">
        <f t="shared" si="8"/>
        <v>319.8127760278158</v>
      </c>
      <c r="BI23" s="59">
        <f ca="1">AVERAGE(OFFSET($BH$3,0,0,'Données projet'!$E$11+1,1))-AVERAGE(OFFSET($H$3,0,0,'Données projet'!$E$11+1,1))</f>
        <v>496.45286557802063</v>
      </c>
      <c r="BJ23" s="59">
        <f t="shared" si="38"/>
        <v>196.37811957788398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486.46177914245987</v>
      </c>
      <c r="S24" s="59">
        <f ca="1">AVERAGE(OFFSET($R$3,0,0,'Données projet'!$E$9+1,1))-AVERAGE(OFFSET($H$3,0,0,'Données projet'!$E$9+1,1))</f>
        <v>323.17232038705157</v>
      </c>
      <c r="T24" s="59">
        <f t="shared" si="34"/>
        <v>402.34685738619197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9.6</v>
      </c>
      <c r="AI24" s="13">
        <f>IF('Données projet'!$A$62&gt;35,AI23+AH24-AQ23,IF(A24&lt;'Données projet'!$A$62,$AF$205^A24,IF(A24='Données projet'!$A$62,'Données projet'!$B$62,AI23+AH24-AQ23)))</f>
        <v>99.6</v>
      </c>
      <c r="AJ24" s="13">
        <f>AI24*VLOOKUP('Données projet'!$B$10,Paramètres!$A$1:$I$89,3,0)*VLOOKUP('Données projet'!$B$10,Paramètres!$A$1:$I$89,5,0)</f>
        <v>65.257919999999999</v>
      </c>
      <c r="AK24" s="13">
        <f t="shared" si="35"/>
        <v>18.491067519086762</v>
      </c>
      <c r="AL24" s="20">
        <f t="shared" si="4"/>
        <v>145.8628199290761</v>
      </c>
      <c r="AM24" s="59">
        <f t="shared" si="5"/>
        <v>428.19615326240944</v>
      </c>
      <c r="AN24" s="59">
        <f ca="1">AVERAGE(OFFSET($AM$3,0,0,'Données projet'!$E$10+1,1))-AVERAGE(OFFSET($H$3,0,0,'Données projet'!$E$10+1,1))</f>
        <v>263.30962868541337</v>
      </c>
      <c r="AO24" s="59">
        <f t="shared" si="36"/>
        <v>269.61868559913404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0.42968157601147305</v>
      </c>
      <c r="AW24" s="21">
        <f>EXP(-LN(2)/2)*AW23+(1-EXP(-LN(2)/2))/(LN(2)/2)*AQ24*AT24*VLOOKUP('Données projet'!$B$10,Paramètres!$A$1:$I$89,3,0)*0.475*44/12</f>
        <v>1.408225707062029</v>
      </c>
      <c r="AX24" s="21">
        <f t="shared" si="6"/>
        <v>1.8379072830735019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4.1702488687782804</v>
      </c>
      <c r="BD24" s="12">
        <f>IF('Données projet'!$A$88&gt;35,BD23+BC24-BL23,IF(A24&lt;'Données projet'!$A$88,$BA$205^A24,IF(A24='Données projet'!$A$88,'Données projet'!$B$88,BD23+BC24-BL23)))</f>
        <v>21.328222734947516</v>
      </c>
      <c r="BE24" s="13">
        <f>BD24*VLOOKUP('Données projet'!$B$11,Paramètres!$A$1:$I$89,3,0)*VLOOKUP('Données projet'!$B$11,Paramètres!$A$1:$I$89,5,0)</f>
        <v>19.29777593058051</v>
      </c>
      <c r="BF24" s="13">
        <f t="shared" si="37"/>
        <v>6.3012437445371123</v>
      </c>
      <c r="BG24" s="20">
        <f t="shared" si="7"/>
        <v>44.584959267496522</v>
      </c>
      <c r="BH24" s="59">
        <f t="shared" si="8"/>
        <v>326.91829260082983</v>
      </c>
      <c r="BI24" s="59">
        <f ca="1">AVERAGE(OFFSET($BH$3,0,0,'Données projet'!$E$11+1,1))-AVERAGE(OFFSET($H$3,0,0,'Données projet'!$E$11+1,1))</f>
        <v>496.45286557802063</v>
      </c>
      <c r="BJ24" s="59">
        <f t="shared" si="38"/>
        <v>196.37811957788398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512.29228028871466</v>
      </c>
      <c r="S25" s="59">
        <f ca="1">AVERAGE(OFFSET($R$3,0,0,'Données projet'!$E$9+1,1))-AVERAGE(OFFSET($H$3,0,0,'Données projet'!$E$9+1,1))</f>
        <v>323.17232038705157</v>
      </c>
      <c r="T25" s="59">
        <f t="shared" si="34"/>
        <v>402.34685738619197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9.6</v>
      </c>
      <c r="AI25" s="13">
        <f>IF('Données projet'!$A$62&gt;35,AI24+AH25-AQ24,IF(A25&lt;'Données projet'!$A$62,$AF$205^A25,IF(A25='Données projet'!$A$62,'Données projet'!$B$62,AI24+AH25-AQ24)))</f>
        <v>109.19999999999999</v>
      </c>
      <c r="AJ25" s="13">
        <f>AI25*VLOOKUP('Données projet'!$B$10,Paramètres!$A$1:$I$89,3,0)*VLOOKUP('Données projet'!$B$10,Paramètres!$A$1:$I$89,5,0)</f>
        <v>71.547839999999994</v>
      </c>
      <c r="AK25" s="13">
        <f t="shared" si="35"/>
        <v>20.05735014974319</v>
      </c>
      <c r="AL25" s="20">
        <f t="shared" si="4"/>
        <v>159.54570617746938</v>
      </c>
      <c r="AM25" s="59">
        <f t="shared" si="5"/>
        <v>443.1012617330249</v>
      </c>
      <c r="AN25" s="59">
        <f ca="1">AVERAGE(OFFSET($AM$3,0,0,'Données projet'!$E$10+1,1))-AVERAGE(OFFSET($H$3,0,0,'Données projet'!$E$10+1,1))</f>
        <v>263.30962868541337</v>
      </c>
      <c r="AO25" s="59">
        <f t="shared" si="36"/>
        <v>269.61868559913404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0.41793191071946728</v>
      </c>
      <c r="AW25" s="21">
        <f>EXP(-LN(2)/2)*AW24+(1-EXP(-LN(2)/2))/(LN(2)/2)*AQ25*AT25*VLOOKUP('Données projet'!$B$10,Paramètres!$A$1:$I$89,3,0)*0.475*44/12</f>
        <v>0.99576594690478137</v>
      </c>
      <c r="AX25" s="21">
        <f t="shared" si="6"/>
        <v>1.4136978576242487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4.1702488687782804</v>
      </c>
      <c r="BD25" s="12">
        <f>IF('Données projet'!$A$88&gt;35,BD24+BC25-BL24,IF(A25&lt;'Données projet'!$A$88,$BA$205^A25,IF(A25='Données projet'!$A$88,'Données projet'!$B$88,BD24+BC25-BL24)))</f>
        <v>24.673924023722552</v>
      </c>
      <c r="BE25" s="13">
        <f>BD25*VLOOKUP('Données projet'!$B$11,Paramètres!$A$1:$I$89,3,0)*VLOOKUP('Données projet'!$B$11,Paramètres!$A$1:$I$89,5,0)</f>
        <v>22.324966456664164</v>
      </c>
      <c r="BF25" s="13">
        <f t="shared" si="37"/>
        <v>7.1671027223706645</v>
      </c>
      <c r="BG25" s="20">
        <f t="shared" si="7"/>
        <v>51.365353820152315</v>
      </c>
      <c r="BH25" s="59">
        <f t="shared" si="8"/>
        <v>334.92090937570788</v>
      </c>
      <c r="BI25" s="59">
        <f ca="1">AVERAGE(OFFSET($BH$3,0,0,'Données projet'!$E$11+1,1))-AVERAGE(OFFSET($H$3,0,0,'Données projet'!$E$11+1,1))</f>
        <v>496.45286557802063</v>
      </c>
      <c r="BJ25" s="59">
        <f t="shared" si="38"/>
        <v>196.37811957788398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538.06220131723376</v>
      </c>
      <c r="S26" s="59">
        <f ca="1">AVERAGE(OFFSET($R$3,0,0,'Données projet'!$E$9+1,1))-AVERAGE(OFFSET($H$3,0,0,'Données projet'!$E$9+1,1))</f>
        <v>323.17232038705157</v>
      </c>
      <c r="T26" s="59">
        <f t="shared" si="34"/>
        <v>402.34685738619197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9.6</v>
      </c>
      <c r="AI26" s="13">
        <f>IF('Données projet'!$A$62&gt;35,AI25+AH26-AQ25,IF(A26&lt;'Données projet'!$A$62,$AF$205^A26,IF(A26='Données projet'!$A$62,'Données projet'!$B$62,AI25+AH26-AQ25)))</f>
        <v>118.79999999999998</v>
      </c>
      <c r="AJ26" s="13">
        <f>AI26*VLOOKUP('Données projet'!$B$10,Paramètres!$A$1:$I$89,3,0)*VLOOKUP('Données projet'!$B$10,Paramètres!$A$1:$I$89,5,0)</f>
        <v>77.837759999999989</v>
      </c>
      <c r="AK26" s="13">
        <f t="shared" si="35"/>
        <v>21.607665094033621</v>
      </c>
      <c r="AL26" s="20">
        <f t="shared" si="4"/>
        <v>173.2007820387752</v>
      </c>
      <c r="AM26" s="59">
        <f t="shared" si="5"/>
        <v>457.978559816553</v>
      </c>
      <c r="AN26" s="59">
        <f ca="1">AVERAGE(OFFSET($AM$3,0,0,'Données projet'!$E$10+1,1))-AVERAGE(OFFSET($H$3,0,0,'Données projet'!$E$10+1,1))</f>
        <v>263.30962868541337</v>
      </c>
      <c r="AO26" s="59">
        <f t="shared" si="36"/>
        <v>269.61868559913404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0.40650354064275945</v>
      </c>
      <c r="AW26" s="21">
        <f>EXP(-LN(2)/2)*AW25+(1-EXP(-LN(2)/2))/(LN(2)/2)*AQ26*AT26*VLOOKUP('Données projet'!$B$10,Paramètres!$A$1:$I$89,3,0)*0.475*44/12</f>
        <v>0.7041128535310146</v>
      </c>
      <c r="AX26" s="21">
        <f t="shared" si="6"/>
        <v>1.1106163941737741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4.1702488687782804</v>
      </c>
      <c r="BD26" s="12">
        <f>IF('Données projet'!$A$88&gt;35,BD25+BC26-BL25,IF(A26&lt;'Données projet'!$A$88,$BA$205^A26,IF(A26='Données projet'!$A$88,'Données projet'!$B$88,BD25+BC26-BL25)))</f>
        <v>28.544456530401629</v>
      </c>
      <c r="BE26" s="13">
        <f>BD26*VLOOKUP('Données projet'!$B$11,Paramètres!$A$1:$I$89,3,0)*VLOOKUP('Données projet'!$B$11,Paramètres!$A$1:$I$89,5,0)</f>
        <v>25.827024268707394</v>
      </c>
      <c r="BF26" s="13">
        <f t="shared" si="37"/>
        <v>8.1519400796939667</v>
      </c>
      <c r="BG26" s="20">
        <f t="shared" si="7"/>
        <v>59.18002957346571</v>
      </c>
      <c r="BH26" s="59">
        <f t="shared" si="8"/>
        <v>343.9578073512435</v>
      </c>
      <c r="BI26" s="59">
        <f ca="1">AVERAGE(OFFSET($BH$3,0,0,'Données projet'!$E$11+1,1))-AVERAGE(OFFSET($H$3,0,0,'Données projet'!$E$11+1,1))</f>
        <v>496.45286557802063</v>
      </c>
      <c r="BJ26" s="59">
        <f t="shared" si="38"/>
        <v>196.37811957788398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563.77823776243304</v>
      </c>
      <c r="S27" s="59">
        <f ca="1">AVERAGE(OFFSET($R$3,0,0,'Données projet'!$E$9+1,1))-AVERAGE(OFFSET($H$3,0,0,'Données projet'!$E$9+1,1))</f>
        <v>323.17232038705157</v>
      </c>
      <c r="T27" s="59">
        <f t="shared" si="34"/>
        <v>402.34685738619197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9.6</v>
      </c>
      <c r="AI27" s="13">
        <f>IF('Données projet'!$A$62&gt;35,AI26+AH27-AQ26,IF(A27&lt;'Données projet'!$A$62,$AF$205^A27,IF(A27='Données projet'!$A$62,'Données projet'!$B$62,AI26+AH27-AQ26)))</f>
        <v>128.39999999999998</v>
      </c>
      <c r="AJ27" s="13">
        <f>AI27*VLOOKUP('Données projet'!$B$10,Paramètres!$A$1:$I$89,3,0)*VLOOKUP('Données projet'!$B$10,Paramètres!$A$1:$I$89,5,0)</f>
        <v>84.127679999999984</v>
      </c>
      <c r="AK27" s="13">
        <f t="shared" si="35"/>
        <v>23.143449366413215</v>
      </c>
      <c r="AL27" s="20">
        <f t="shared" si="4"/>
        <v>186.83055031316962</v>
      </c>
      <c r="AM27" s="59">
        <f t="shared" si="5"/>
        <v>472.83055031316962</v>
      </c>
      <c r="AN27" s="59">
        <f ca="1">AVERAGE(OFFSET($AM$3,0,0,'Données projet'!$E$10+1,1))-AVERAGE(OFFSET($H$3,0,0,'Données projet'!$E$10+1,1))</f>
        <v>263.30962868541337</v>
      </c>
      <c r="AO27" s="59">
        <f t="shared" si="36"/>
        <v>269.61868559913404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0.39538767994679108</v>
      </c>
      <c r="AW27" s="21">
        <f>EXP(-LN(2)/2)*AW26+(1-EXP(-LN(2)/2))/(LN(2)/2)*AQ27*AT27*VLOOKUP('Données projet'!$B$10,Paramètres!$A$1:$I$89,3,0)*0.475*44/12</f>
        <v>0.49788297345239074</v>
      </c>
      <c r="AX27" s="21">
        <f t="shared" si="6"/>
        <v>0.89327065339918188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4.1702488687782804</v>
      </c>
      <c r="BD27" s="12">
        <f>IF('Données projet'!$A$88&gt;35,BD26+BC27-BL26,IF(A27&lt;'Données projet'!$A$88,$BA$205^A27,IF(A27='Données projet'!$A$88,'Données projet'!$B$88,BD26+BC27-BL26)))</f>
        <v>33.022149125231088</v>
      </c>
      <c r="BE27" s="13">
        <f>BD27*VLOOKUP('Données projet'!$B$11,Paramètres!$A$1:$I$89,3,0)*VLOOKUP('Données projet'!$B$11,Paramètres!$A$1:$I$89,5,0)</f>
        <v>29.878440528509088</v>
      </c>
      <c r="BF27" s="13">
        <f t="shared" si="37"/>
        <v>9.2721047314555314</v>
      </c>
      <c r="BG27" s="20">
        <f t="shared" si="7"/>
        <v>68.187199661105026</v>
      </c>
      <c r="BH27" s="59">
        <f t="shared" si="8"/>
        <v>354.18719966110501</v>
      </c>
      <c r="BI27" s="59">
        <f ca="1">AVERAGE(OFFSET($BH$3,0,0,'Données projet'!$E$11+1,1))-AVERAGE(OFFSET($H$3,0,0,'Données projet'!$E$11+1,1))</f>
        <v>496.45286557802063</v>
      </c>
      <c r="BJ27" s="59">
        <f t="shared" si="38"/>
        <v>196.37811957788398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589.44580703175382</v>
      </c>
      <c r="S28" s="59">
        <f ca="1">AVERAGE(OFFSET($R$3,0,0,'Données projet'!$E$9+1,1))-AVERAGE(OFFSET($H$3,0,0,'Données projet'!$E$9+1,1))</f>
        <v>323.17232038705157</v>
      </c>
      <c r="T28" s="59">
        <f t="shared" si="34"/>
        <v>402.34685738619197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138</v>
      </c>
      <c r="AG28" s="12">
        <f>VLOOKUP(A28,'Données projet'!$A$61:$I$81,9,0)</f>
        <v>9.6</v>
      </c>
      <c r="AH28" s="12">
        <f t="array" ref="AH28">INDEX(AG:AG,MIN(IF(ISNUMBER(AG28:AG224),ROW(AG28:AG224),"")))</f>
        <v>9.6</v>
      </c>
      <c r="AI28" s="13">
        <f>IF('Données projet'!$A$62&gt;35,AI27+AH28-AQ27,IF(A28&lt;'Données projet'!$A$62,$AF$205^A28,IF(A28='Données projet'!$A$62,'Données projet'!$B$62,AI27+AH28-AQ27)))</f>
        <v>137.99999999999997</v>
      </c>
      <c r="AJ28" s="13">
        <f>AI28*VLOOKUP('Données projet'!$B$10,Paramètres!$A$1:$I$89,3,0)*VLOOKUP('Données projet'!$B$10,Paramètres!$A$1:$I$89,5,0)</f>
        <v>90.417599999999979</v>
      </c>
      <c r="AK28" s="13">
        <f t="shared" si="35"/>
        <v>24.665912907068826</v>
      </c>
      <c r="AL28" s="20">
        <f t="shared" si="4"/>
        <v>200.43711831314485</v>
      </c>
      <c r="AM28" s="59">
        <f t="shared" si="5"/>
        <v>487.65934053536705</v>
      </c>
      <c r="AN28" s="59">
        <f ca="1">AVERAGE(OFFSET($AM$3,0,0,'Données projet'!$E$10+1,1))-AVERAGE(OFFSET($H$3,0,0,'Données projet'!$E$10+1,1))</f>
        <v>263.30962868541337</v>
      </c>
      <c r="AO28" s="59">
        <f t="shared" si="36"/>
        <v>269.61868559913404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21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4.3000000000000003E-2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1.0360472380130792</v>
      </c>
      <c r="AW28" s="21">
        <f>EXP(-LN(2)/2)*AW27+(1-EXP(-LN(2)/2))/(LN(2)/2)*AQ28*AT28*VLOOKUP('Données projet'!$B$10,Paramètres!$A$1:$I$89,3,0)*0.475*44/12</f>
        <v>4.246709083797044</v>
      </c>
      <c r="AX28" s="21">
        <f t="shared" si="6"/>
        <v>5.2827563218101234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4.1702488687782804</v>
      </c>
      <c r="BD28" s="12">
        <f>IF('Données projet'!$A$88&gt;35,BD27+BC28-BL27,IF(A28&lt;'Données projet'!$A$88,$BA$205^A28,IF(A28='Données projet'!$A$88,'Données projet'!$B$88,BD27+BC28-BL27)))</f>
        <v>38.202245388262682</v>
      </c>
      <c r="BE28" s="13">
        <f>BD28*VLOOKUP('Données projet'!$B$11,Paramètres!$A$1:$I$89,3,0)*VLOOKUP('Données projet'!$B$11,Paramètres!$A$1:$I$89,5,0)</f>
        <v>34.565391627300073</v>
      </c>
      <c r="BF28" s="13">
        <f t="shared" si="37"/>
        <v>10.546192110174045</v>
      </c>
      <c r="BG28" s="20">
        <f t="shared" si="7"/>
        <v>78.569341676100748</v>
      </c>
      <c r="BH28" s="59">
        <f t="shared" si="8"/>
        <v>365.79156389832298</v>
      </c>
      <c r="BI28" s="59">
        <f ca="1">AVERAGE(OFFSET($BH$3,0,0,'Données projet'!$E$11+1,1))-AVERAGE(OFFSET($H$3,0,0,'Données projet'!$E$11+1,1))</f>
        <v>496.45286557802063</v>
      </c>
      <c r="BJ28" s="59">
        <f t="shared" si="38"/>
        <v>196.37811957788398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615.06937830309812</v>
      </c>
      <c r="S29" s="59">
        <f ca="1">AVERAGE(OFFSET($R$3,0,0,'Données projet'!$E$9+1,1))-AVERAGE(OFFSET($H$3,0,0,'Données projet'!$E$9+1,1))</f>
        <v>323.17232038705157</v>
      </c>
      <c r="T29" s="59">
        <f t="shared" si="34"/>
        <v>402.34685738619197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8.8000000000000007</v>
      </c>
      <c r="AI29" s="13">
        <f>IF('Données projet'!$A$62&gt;35,AI28+AH29-AQ28,IF(A29&lt;'Données projet'!$A$62,$AF$205^A29,IF(A29='Données projet'!$A$62,'Données projet'!$B$62,AI28+AH29-AQ28)))</f>
        <v>125.79999999999998</v>
      </c>
      <c r="AJ29" s="13">
        <f>AI29*VLOOKUP('Données projet'!$B$10,Paramètres!$A$1:$I$89,3,0)*VLOOKUP('Données projet'!$B$10,Paramètres!$A$1:$I$89,5,0)</f>
        <v>82.424159999999986</v>
      </c>
      <c r="AK29" s="13">
        <f t="shared" si="35"/>
        <v>22.728870146421784</v>
      </c>
      <c r="AL29" s="20">
        <f t="shared" si="4"/>
        <v>183.14152750501788</v>
      </c>
      <c r="AM29" s="59">
        <f t="shared" si="5"/>
        <v>471.58597194946231</v>
      </c>
      <c r="AN29" s="59">
        <f ca="1">AVERAGE(OFFSET($AM$3,0,0,'Données projet'!$E$10+1,1))-AVERAGE(OFFSET($H$3,0,0,'Données projet'!$E$10+1,1))</f>
        <v>263.30962868541337</v>
      </c>
      <c r="AO29" s="59">
        <f t="shared" si="36"/>
        <v>269.61868559913404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1.0077164718062552</v>
      </c>
      <c r="AW29" s="21">
        <f>EXP(-LN(2)/2)*AW28+(1-EXP(-LN(2)/2))/(LN(2)/2)*AQ29*AT29*VLOOKUP('Données projet'!$B$10,Paramètres!$A$1:$I$89,3,0)*0.475*44/12</f>
        <v>3.0028767908794003</v>
      </c>
      <c r="AX29" s="21">
        <f t="shared" si="6"/>
        <v>4.0105932626856555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4.1702488687782804</v>
      </c>
      <c r="BD29" s="12">
        <f>IF('Données projet'!$A$88&gt;35,BD28+BC29-BL28,IF(A29&lt;'Données projet'!$A$88,$BA$205^A29,IF(A29='Données projet'!$A$88,'Données projet'!$B$88,BD28+BC29-BL28)))</f>
        <v>44.194929505358921</v>
      </c>
      <c r="BE29" s="13">
        <f>BD29*VLOOKUP('Données projet'!$B$11,Paramètres!$A$1:$I$89,3,0)*VLOOKUP('Données projet'!$B$11,Paramètres!$A$1:$I$89,5,0)</f>
        <v>39.987572216448747</v>
      </c>
      <c r="BF29" s="13">
        <f t="shared" si="37"/>
        <v>11.995352861726969</v>
      </c>
      <c r="BG29" s="20">
        <f t="shared" si="7"/>
        <v>90.536927844489369</v>
      </c>
      <c r="BH29" s="59">
        <f t="shared" si="8"/>
        <v>378.98137228893381</v>
      </c>
      <c r="BI29" s="59">
        <f ca="1">AVERAGE(OFFSET($BH$3,0,0,'Données projet'!$E$11+1,1))-AVERAGE(OFFSET($H$3,0,0,'Données projet'!$E$11+1,1))</f>
        <v>496.45286557802063</v>
      </c>
      <c r="BJ29" s="59">
        <f t="shared" si="38"/>
        <v>196.37811957788398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580.97637907989588</v>
      </c>
      <c r="S30" s="59">
        <f ca="1">AVERAGE(OFFSET($R$3,0,0,'Données projet'!$E$9+1,1))-AVERAGE(OFFSET($H$3,0,0,'Données projet'!$E$9+1,1))</f>
        <v>323.17232038705157</v>
      </c>
      <c r="T30" s="59">
        <f t="shared" si="34"/>
        <v>402.34685738619197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8.8000000000000007</v>
      </c>
      <c r="AI30" s="13">
        <f>IF('Données projet'!$A$62&gt;35,AI29+AH30-AQ29,IF(A30&lt;'Données projet'!$A$62,$AF$205^A30,IF(A30='Données projet'!$A$62,'Données projet'!$B$62,AI29+AH30-AQ29)))</f>
        <v>134.6</v>
      </c>
      <c r="AJ30" s="13">
        <f>AI30*VLOOKUP('Données projet'!$B$10,Paramètres!$A$1:$I$89,3,0)*VLOOKUP('Données projet'!$B$10,Paramètres!$A$1:$I$89,5,0)</f>
        <v>88.189920000000001</v>
      </c>
      <c r="AK30" s="13">
        <f t="shared" si="35"/>
        <v>24.128162431798632</v>
      </c>
      <c r="AL30" s="20">
        <f t="shared" si="4"/>
        <v>195.62066023538262</v>
      </c>
      <c r="AM30" s="59">
        <f t="shared" si="5"/>
        <v>485.2873269020493</v>
      </c>
      <c r="AN30" s="59">
        <f ca="1">AVERAGE(OFFSET($AM$3,0,0,'Données projet'!$E$10+1,1))-AVERAGE(OFFSET($H$3,0,0,'Données projet'!$E$10+1,1))</f>
        <v>263.30962868541337</v>
      </c>
      <c r="AO30" s="59">
        <f t="shared" si="36"/>
        <v>269.61868559913404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0.98016041189120706</v>
      </c>
      <c r="AW30" s="21">
        <f>EXP(-LN(2)/2)*AW29+(1-EXP(-LN(2)/2))/(LN(2)/2)*AQ30*AT30*VLOOKUP('Données projet'!$B$10,Paramètres!$A$1:$I$89,3,0)*0.475*44/12</f>
        <v>2.1233545418985225</v>
      </c>
      <c r="AX30" s="21">
        <f t="shared" si="6"/>
        <v>3.1035149537897295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4.1702488687782804</v>
      </c>
      <c r="BD30" s="12">
        <f>IF('Données projet'!$A$88&gt;35,BD29+BC30-BL29,IF(A30&lt;'Données projet'!$A$88,$BA$205^A30,IF(A30='Données projet'!$A$88,'Données projet'!$B$88,BD29+BC30-BL29)))</f>
        <v>51.127669961089403</v>
      </c>
      <c r="BE30" s="13">
        <f>BD30*VLOOKUP('Données projet'!$B$11,Paramètres!$A$1:$I$89,3,0)*VLOOKUP('Données projet'!$B$11,Paramètres!$A$1:$I$89,5,0)</f>
        <v>46.26031578079369</v>
      </c>
      <c r="BF30" s="13">
        <f t="shared" si="37"/>
        <v>13.643643959276103</v>
      </c>
      <c r="BG30" s="20">
        <f t="shared" si="7"/>
        <v>104.33272988062156</v>
      </c>
      <c r="BH30" s="59">
        <f t="shared" si="8"/>
        <v>393.99939654728826</v>
      </c>
      <c r="BI30" s="59">
        <f ca="1">AVERAGE(OFFSET($BH$3,0,0,'Données projet'!$E$11+1,1))-AVERAGE(OFFSET($H$3,0,0,'Données projet'!$E$11+1,1))</f>
        <v>496.45286557802063</v>
      </c>
      <c r="BJ30" s="59">
        <f t="shared" si="38"/>
        <v>196.37811957788398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607.03077537060074</v>
      </c>
      <c r="S31" s="59">
        <f ca="1">AVERAGE(OFFSET($R$3,0,0,'Données projet'!$E$9+1,1))-AVERAGE(OFFSET($H$3,0,0,'Données projet'!$E$9+1,1))</f>
        <v>323.17232038705157</v>
      </c>
      <c r="T31" s="59">
        <f t="shared" si="34"/>
        <v>402.34685738619197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8.8000000000000007</v>
      </c>
      <c r="AI31" s="13">
        <f>IF('Données projet'!$A$62&gt;35,AI30+AH31-AQ30,IF(A31&lt;'Données projet'!$A$62,$AF$205^A31,IF(A31='Données projet'!$A$62,'Données projet'!$B$62,AI30+AH31-AQ30)))</f>
        <v>143.4</v>
      </c>
      <c r="AJ31" s="13">
        <f>AI31*VLOOKUP('Données projet'!$B$10,Paramètres!$A$1:$I$89,3,0)*VLOOKUP('Données projet'!$B$10,Paramètres!$A$1:$I$89,5,0)</f>
        <v>93.955680000000001</v>
      </c>
      <c r="AK31" s="13">
        <f t="shared" si="35"/>
        <v>25.516838392731955</v>
      </c>
      <c r="AL31" s="20">
        <f t="shared" si="4"/>
        <v>208.08130286734149</v>
      </c>
      <c r="AM31" s="59">
        <f t="shared" si="5"/>
        <v>498.97019175623035</v>
      </c>
      <c r="AN31" s="59">
        <f ca="1">AVERAGE(OFFSET($AM$3,0,0,'Données projet'!$E$10+1,1))-AVERAGE(OFFSET($H$3,0,0,'Données projet'!$E$10+1,1))</f>
        <v>263.30962868541337</v>
      </c>
      <c r="AO31" s="59">
        <f t="shared" si="36"/>
        <v>269.61868559913404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0.95335787388364612</v>
      </c>
      <c r="AW31" s="21">
        <f>EXP(-LN(2)/2)*AW30+(1-EXP(-LN(2)/2))/(LN(2)/2)*AQ31*AT31*VLOOKUP('Données projet'!$B$10,Paramètres!$A$1:$I$89,3,0)*0.475*44/12</f>
        <v>1.5014383954397006</v>
      </c>
      <c r="AX31" s="21">
        <f t="shared" si="6"/>
        <v>2.4547962693233467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4.1702488687782804</v>
      </c>
      <c r="BD31" s="12">
        <f>IF('Données projet'!$A$88&gt;35,BD30+BC31-BL30,IF(A31&lt;'Données projet'!$A$88,$BA$205^A31,IF(A31='Données projet'!$A$88,'Données projet'!$B$88,BD30+BC31-BL30)))</f>
        <v>59.147930880467065</v>
      </c>
      <c r="BE31" s="13">
        <f>BD31*VLOOKUP('Données projet'!$B$11,Paramètres!$A$1:$I$89,3,0)*VLOOKUP('Données projet'!$B$11,Paramètres!$A$1:$I$89,5,0)</f>
        <v>53.517047860646592</v>
      </c>
      <c r="BF31" s="13">
        <f t="shared" si="37"/>
        <v>15.518428064040407</v>
      </c>
      <c r="BG31" s="20">
        <f t="shared" si="7"/>
        <v>120.23678723549654</v>
      </c>
      <c r="BH31" s="59">
        <f t="shared" si="8"/>
        <v>411.12567612438539</v>
      </c>
      <c r="BI31" s="59">
        <f ca="1">AVERAGE(OFFSET($BH$3,0,0,'Données projet'!$E$11+1,1))-AVERAGE(OFFSET($H$3,0,0,'Données projet'!$E$11+1,1))</f>
        <v>496.45286557802063</v>
      </c>
      <c r="BJ31" s="59">
        <f t="shared" si="38"/>
        <v>196.37811957788398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633.04196336093889</v>
      </c>
      <c r="S32" s="59">
        <f ca="1">AVERAGE(OFFSET($R$3,0,0,'Données projet'!$E$9+1,1))-AVERAGE(OFFSET($H$3,0,0,'Données projet'!$E$9+1,1))</f>
        <v>323.17232038705157</v>
      </c>
      <c r="T32" s="59">
        <f t="shared" si="34"/>
        <v>402.34685738619197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8.8000000000000007</v>
      </c>
      <c r="AI32" s="13">
        <f>IF('Données projet'!$A$62&gt;35,AI31+AH32-AQ31,IF(A32&lt;'Données projet'!$A$62,$AF$205^A32,IF(A32='Données projet'!$A$62,'Données projet'!$B$62,AI31+AH32-AQ31)))</f>
        <v>152.20000000000002</v>
      </c>
      <c r="AJ32" s="13">
        <f>AI32*VLOOKUP('Données projet'!$B$10,Paramètres!$A$1:$I$89,3,0)*VLOOKUP('Données projet'!$B$10,Paramètres!$A$1:$I$89,5,0)</f>
        <v>99.721440000000015</v>
      </c>
      <c r="AK32" s="13">
        <f t="shared" si="35"/>
        <v>26.895623699520389</v>
      </c>
      <c r="AL32" s="20">
        <f t="shared" si="4"/>
        <v>220.52471927666468</v>
      </c>
      <c r="AM32" s="59">
        <f t="shared" si="5"/>
        <v>512.63583038777585</v>
      </c>
      <c r="AN32" s="59">
        <f ca="1">AVERAGE(OFFSET($AM$3,0,0,'Données projet'!$E$10+1,1))-AVERAGE(OFFSET($H$3,0,0,'Données projet'!$E$10+1,1))</f>
        <v>263.30962868541337</v>
      </c>
      <c r="AO32" s="59">
        <f t="shared" si="36"/>
        <v>269.61868559913404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0.92728825268738613</v>
      </c>
      <c r="AW32" s="21">
        <f>EXP(-LN(2)/2)*AW31+(1-EXP(-LN(2)/2))/(LN(2)/2)*AQ32*AT32*VLOOKUP('Données projet'!$B$10,Paramètres!$A$1:$I$89,3,0)*0.475*44/12</f>
        <v>1.0616772709492615</v>
      </c>
      <c r="AX32" s="21">
        <f t="shared" si="6"/>
        <v>1.9889655236366477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4.1702488687782804</v>
      </c>
      <c r="BD32" s="12">
        <f>IF('Données projet'!$A$88&gt;35,BD31+BC32-BL31,IF(A32&lt;'Données projet'!$A$88,$BA$205^A32,IF(A32='Données projet'!$A$88,'Données projet'!$B$88,BD31+BC32-BL31)))</f>
        <v>68.426308691614878</v>
      </c>
      <c r="BE32" s="13">
        <f>BD32*VLOOKUP('Données projet'!$B$11,Paramètres!$A$1:$I$89,3,0)*VLOOKUP('Données projet'!$B$11,Paramètres!$A$1:$I$89,5,0)</f>
        <v>61.912124104173138</v>
      </c>
      <c r="BF32" s="13">
        <f t="shared" si="37"/>
        <v>17.650827762554297</v>
      </c>
      <c r="BG32" s="20">
        <f t="shared" si="7"/>
        <v>138.57214116788361</v>
      </c>
      <c r="BH32" s="59">
        <f t="shared" si="8"/>
        <v>430.68325227899476</v>
      </c>
      <c r="BI32" s="59">
        <f ca="1">AVERAGE(OFFSET($BH$3,0,0,'Données projet'!$E$11+1,1))-AVERAGE(OFFSET($H$3,0,0,'Données projet'!$E$11+1,1))</f>
        <v>496.45286557802063</v>
      </c>
      <c r="BJ32" s="59">
        <f t="shared" si="38"/>
        <v>196.37811957788398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659.01352405285866</v>
      </c>
      <c r="S33" s="59">
        <f ca="1">AVERAGE(OFFSET($R$3,0,0,'Données projet'!$E$9+1,1))-AVERAGE(OFFSET($H$3,0,0,'Données projet'!$E$9+1,1))</f>
        <v>323.17232038705157</v>
      </c>
      <c r="T33" s="59">
        <f t="shared" si="34"/>
        <v>402.34685738619197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161</v>
      </c>
      <c r="AG33" s="12">
        <f>VLOOKUP(A33,'Données projet'!$A$61:$I$81,9,0)</f>
        <v>8.8000000000000007</v>
      </c>
      <c r="AH33" s="12">
        <f t="array" ref="AH33">INDEX(AG:AG,MIN(IF(ISNUMBER(AG33:AG229),ROW(AG33:AG229),"")))</f>
        <v>8.8000000000000007</v>
      </c>
      <c r="AI33" s="13">
        <f>IF('Données projet'!$A$62&gt;35,AI32+AH33-AQ32,IF(A33&lt;'Données projet'!$A$62,$AF$205^A33,IF(A33='Données projet'!$A$62,'Données projet'!$B$62,AI32+AH33-AQ32)))</f>
        <v>161.00000000000003</v>
      </c>
      <c r="AJ33" s="13">
        <f>AI33*VLOOKUP('Données projet'!$B$10,Paramètres!$A$1:$I$89,3,0)*VLOOKUP('Données projet'!$B$10,Paramètres!$A$1:$I$89,5,0)</f>
        <v>105.48720000000002</v>
      </c>
      <c r="AK33" s="13">
        <f t="shared" si="35"/>
        <v>28.265155367923839</v>
      </c>
      <c r="AL33" s="20">
        <f t="shared" si="4"/>
        <v>232.95201893246738</v>
      </c>
      <c r="AM33" s="59">
        <f t="shared" si="5"/>
        <v>526.28535226580073</v>
      </c>
      <c r="AN33" s="59">
        <f ca="1">AVERAGE(OFFSET($AM$3,0,0,'Données projet'!$E$10+1,1))-AVERAGE(OFFSET($H$3,0,0,'Données projet'!$E$10+1,1))</f>
        <v>263.30962868541337</v>
      </c>
      <c r="AO33" s="59">
        <f t="shared" si="36"/>
        <v>269.61868559913404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23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4.3000000000000003E-2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1.6154478620936921</v>
      </c>
      <c r="AW33" s="21">
        <f>EXP(-LN(2)/2)*AW32+(1-EXP(-LN(2)/2))/(LN(2)/2)*AQ33*AT33*VLOOKUP('Données projet'!$B$10,Paramètres!$A$1:$I$89,3,0)*0.475*44/12</f>
        <v>5.0162911554210581</v>
      </c>
      <c r="AX33" s="21">
        <f t="shared" si="6"/>
        <v>6.6317390175147501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4.1702488687782804</v>
      </c>
      <c r="BD33" s="12">
        <f>IF('Données projet'!$A$88&gt;35,BD32+BC33-BL32,IF(A33&lt;'Données projet'!$A$88,$BA$205^A33,IF(A33='Données projet'!$A$88,'Données projet'!$B$88,BD32+BC33-BL32)))</f>
        <v>79.160160828320727</v>
      </c>
      <c r="BE33" s="13">
        <f>BD33*VLOOKUP('Données projet'!$B$11,Paramètres!$A$1:$I$89,3,0)*VLOOKUP('Données projet'!$B$11,Paramètres!$A$1:$I$89,5,0)</f>
        <v>71.624113517464593</v>
      </c>
      <c r="BF33" s="13">
        <f t="shared" si="37"/>
        <v>20.076242221033414</v>
      </c>
      <c r="BG33" s="20">
        <f t="shared" si="7"/>
        <v>159.71145291121735</v>
      </c>
      <c r="BH33" s="59">
        <f t="shared" si="8"/>
        <v>453.04478624455066</v>
      </c>
      <c r="BI33" s="59">
        <f ca="1">AVERAGE(OFFSET($BH$3,0,0,'Données projet'!$E$11+1,1))-AVERAGE(OFFSET($H$3,0,0,'Données projet'!$E$11+1,1))</f>
        <v>496.45286557802063</v>
      </c>
      <c r="BJ33" s="59">
        <f t="shared" si="38"/>
        <v>196.37811957788398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683.72629208814999</v>
      </c>
      <c r="S34" s="59">
        <f ca="1">AVERAGE(OFFSET($R$3,0,0,'Données projet'!$E$9+1,1))-AVERAGE(OFFSET($H$3,0,0,'Données projet'!$E$9+1,1))</f>
        <v>323.17232038705157</v>
      </c>
      <c r="T34" s="59">
        <f t="shared" si="34"/>
        <v>402.34685738619197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</v>
      </c>
      <c r="AI34" s="13">
        <f>IF('Données projet'!$A$62&gt;35,AI33+AH34-AQ33,IF(A34&lt;'Données projet'!$A$62,$AF$205^A34,IF(A34='Données projet'!$A$62,'Données projet'!$B$62,AI33+AH34-AQ33)))</f>
        <v>146.60000000000002</v>
      </c>
      <c r="AJ34" s="13">
        <f>AI34*VLOOKUP('Données projet'!$B$10,Paramètres!$A$1:$I$89,3,0)*VLOOKUP('Données projet'!$B$10,Paramètres!$A$1:$I$89,5,0)</f>
        <v>96.052320000000023</v>
      </c>
      <c r="AK34" s="13">
        <f t="shared" si="35"/>
        <v>26.019324001860248</v>
      </c>
      <c r="AL34" s="20">
        <f t="shared" si="4"/>
        <v>212.60811330323997</v>
      </c>
      <c r="AM34" s="59">
        <f t="shared" si="5"/>
        <v>505.94144663657329</v>
      </c>
      <c r="AN34" s="59">
        <f ca="1">AVERAGE(OFFSET($AM$3,0,0,'Données projet'!$E$10+1,1))-AVERAGE(OFFSET($H$3,0,0,'Données projet'!$E$10+1,1))</f>
        <v>263.30962868541337</v>
      </c>
      <c r="AO34" s="59">
        <f t="shared" si="36"/>
        <v>269.61868559913404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1.5712733553520291</v>
      </c>
      <c r="AW34" s="21">
        <f>EXP(-LN(2)/2)*AW33+(1-EXP(-LN(2)/2))/(LN(2)/2)*AQ34*AT34*VLOOKUP('Données projet'!$B$10,Paramètres!$A$1:$I$89,3,0)*0.475*44/12</f>
        <v>3.547053492404332</v>
      </c>
      <c r="AX34" s="21">
        <f t="shared" si="6"/>
        <v>5.1183268477563608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4.1702488687782804</v>
      </c>
      <c r="BD34" s="12">
        <f>IF('Données projet'!$A$88&gt;35,BD33+BC34-BL33,IF(A34&lt;'Données projet'!$A$88,$BA$205^A34,IF(A34='Données projet'!$A$88,'Données projet'!$B$88,BD33+BC34-BL33)))</f>
        <v>91.577803657462155</v>
      </c>
      <c r="BE34" s="13">
        <f>BD34*VLOOKUP('Données projet'!$B$11,Paramètres!$A$1:$I$89,3,0)*VLOOKUP('Données projet'!$B$11,Paramètres!$A$1:$I$89,5,0)</f>
        <v>82.859596749271759</v>
      </c>
      <c r="BF34" s="13">
        <f t="shared" si="37"/>
        <v>22.834934833632826</v>
      </c>
      <c r="BG34" s="20">
        <f t="shared" si="7"/>
        <v>184.08464250689215</v>
      </c>
      <c r="BH34" s="59">
        <f t="shared" si="8"/>
        <v>477.41797584022549</v>
      </c>
      <c r="BI34" s="59">
        <f ca="1">AVERAGE(OFFSET($BH$3,0,0,'Données projet'!$E$11+1,1))-AVERAGE(OFFSET($H$3,0,0,'Données projet'!$E$11+1,1))</f>
        <v>496.45286557802063</v>
      </c>
      <c r="BJ34" s="59">
        <f t="shared" si="38"/>
        <v>196.37811957788398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323.17232038705157</v>
      </c>
      <c r="T35" s="59">
        <f t="shared" si="34"/>
        <v>402.34685738619197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</v>
      </c>
      <c r="AI35" s="13">
        <f>IF('Données projet'!$A$62&gt;35,AI34+AH35-AQ34,IF(A35&lt;'Données projet'!$A$62,$AF$205^A35,IF(A35='Données projet'!$A$62,'Données projet'!$B$62,AI34+AH35-AQ34)))</f>
        <v>155.20000000000002</v>
      </c>
      <c r="AJ35" s="13">
        <f>AI35*VLOOKUP('Données projet'!$B$10,Paramètres!$A$1:$I$89,3,0)*VLOOKUP('Données projet'!$B$10,Paramètres!$A$1:$I$89,5,0)</f>
        <v>101.68704000000002</v>
      </c>
      <c r="AK35" s="13">
        <f t="shared" si="35"/>
        <v>27.363519398004541</v>
      </c>
      <c r="AL35" s="20">
        <f t="shared" si="4"/>
        <v>224.76305761819128</v>
      </c>
      <c r="AM35" s="59">
        <f t="shared" si="5"/>
        <v>518.09639095152465</v>
      </c>
      <c r="AN35" s="59">
        <f ca="1">AVERAGE(OFFSET($AM$3,0,0,'Données projet'!$E$10+1,1))-AVERAGE(OFFSET($H$3,0,0,'Données projet'!$E$10+1,1))</f>
        <v>263.30962868541337</v>
      </c>
      <c r="AO35" s="59">
        <f t="shared" si="36"/>
        <v>269.61868559913404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1.5283068028202533</v>
      </c>
      <c r="AW35" s="21">
        <f>EXP(-LN(2)/2)*AW34+(1-EXP(-LN(2)/2))/(LN(2)/2)*AQ35*AT35*VLOOKUP('Données projet'!$B$10,Paramètres!$A$1:$I$89,3,0)*0.475*44/12</f>
        <v>2.5081455777105295</v>
      </c>
      <c r="AX35" s="21">
        <f t="shared" si="6"/>
        <v>4.0364523805307826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4.1702488687782804</v>
      </c>
      <c r="BD35" s="12">
        <f>IF('Données projet'!$A$88&gt;35,BD34+BC35-BL34,IF(A35&lt;'Données projet'!$A$88,$BA$205^A35,IF(A35='Données projet'!$A$88,'Données projet'!$B$88,BD34+BC35-BL34)))</f>
        <v>105.94336892408504</v>
      </c>
      <c r="BE35" s="13">
        <f>BD35*VLOOKUP('Données projet'!$B$11,Paramètres!$A$1:$I$89,3,0)*VLOOKUP('Données projet'!$B$11,Paramètres!$A$1:$I$89,5,0)</f>
        <v>95.857560202512133</v>
      </c>
      <c r="BF35" s="13">
        <f t="shared" si="37"/>
        <v>25.972701619925811</v>
      </c>
      <c r="BG35" s="20">
        <f t="shared" si="7"/>
        <v>212.18770600741277</v>
      </c>
      <c r="BH35" s="59">
        <f t="shared" si="8"/>
        <v>505.52103934074609</v>
      </c>
      <c r="BI35" s="59">
        <f ca="1">AVERAGE(OFFSET($BH$3,0,0,'Données projet'!$E$11+1,1))-AVERAGE(OFFSET($H$3,0,0,'Données projet'!$E$11+1,1))</f>
        <v>496.45286557802063</v>
      </c>
      <c r="BJ35" s="59">
        <f t="shared" si="38"/>
        <v>196.37811957788398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649.21697908824899</v>
      </c>
      <c r="S36" s="59">
        <f ca="1">AVERAGE(OFFSET($R$3,0,0,'Données projet'!$E$9+1,1))-AVERAGE(OFFSET($H$3,0,0,'Données projet'!$E$9+1,1))</f>
        <v>323.17232038705157</v>
      </c>
      <c r="T36" s="59">
        <f t="shared" si="34"/>
        <v>402.34685738619197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</v>
      </c>
      <c r="AI36" s="13">
        <f>IF('Données projet'!$A$62&gt;35,AI35+AH36-AQ35,IF(A36&lt;'Données projet'!$A$62,$AF$205^A36,IF(A36='Données projet'!$A$62,'Données projet'!$B$62,AI35+AH36-AQ35)))</f>
        <v>163.80000000000001</v>
      </c>
      <c r="AJ36" s="13">
        <f>AI36*VLOOKUP('Données projet'!$B$10,Paramètres!$A$1:$I$89,3,0)*VLOOKUP('Données projet'!$B$10,Paramètres!$A$1:$I$89,5,0)</f>
        <v>107.32176000000001</v>
      </c>
      <c r="AK36" s="13">
        <f t="shared" si="35"/>
        <v>28.699067963776873</v>
      </c>
      <c r="AL36" s="20">
        <f t="shared" si="4"/>
        <v>236.90294203691141</v>
      </c>
      <c r="AM36" s="59">
        <f t="shared" si="5"/>
        <v>530.2362753702447</v>
      </c>
      <c r="AN36" s="59">
        <f ca="1">AVERAGE(OFFSET($AM$3,0,0,'Données projet'!$E$10+1,1))-AVERAGE(OFFSET($H$3,0,0,'Données projet'!$E$10+1,1))</f>
        <v>263.30962868541337</v>
      </c>
      <c r="AO36" s="59">
        <f t="shared" si="36"/>
        <v>269.61868559913404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1.4865151729269717</v>
      </c>
      <c r="AW36" s="21">
        <f>EXP(-LN(2)/2)*AW35+(1-EXP(-LN(2)/2))/(LN(2)/2)*AQ36*AT36*VLOOKUP('Données projet'!$B$10,Paramètres!$A$1:$I$89,3,0)*0.475*44/12</f>
        <v>1.7735267462021662</v>
      </c>
      <c r="AX36" s="21">
        <f t="shared" si="6"/>
        <v>3.2600419191291379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4.1702488687782804</v>
      </c>
      <c r="BD36" s="12">
        <f>IF('Données projet'!$A$88&gt;35,BD35+BC36-BL35,IF(A36&lt;'Données projet'!$A$88,$BA$205^A36,IF(A36='Données projet'!$A$88,'Données projet'!$B$88,BD35+BC36-BL35)))</f>
        <v>122.56242201404017</v>
      </c>
      <c r="BE36" s="13">
        <f>BD36*VLOOKUP('Données projet'!$B$11,Paramètres!$A$1:$I$89,3,0)*VLOOKUP('Données projet'!$B$11,Paramètres!$A$1:$I$89,5,0)</f>
        <v>110.89447943830353</v>
      </c>
      <c r="BF36" s="13">
        <f t="shared" si="37"/>
        <v>29.541631467418441</v>
      </c>
      <c r="BG36" s="20">
        <f t="shared" si="7"/>
        <v>244.59289316079912</v>
      </c>
      <c r="BH36" s="59">
        <f t="shared" si="8"/>
        <v>537.92622649413238</v>
      </c>
      <c r="BI36" s="59">
        <f ca="1">AVERAGE(OFFSET($BH$3,0,0,'Données projet'!$E$11+1,1))-AVERAGE(OFFSET($H$3,0,0,'Données projet'!$E$11+1,1))</f>
        <v>496.45286557802063</v>
      </c>
      <c r="BJ36" s="59">
        <f t="shared" si="38"/>
        <v>196.37811957788398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672.23931706992664</v>
      </c>
      <c r="S37" s="59">
        <f ca="1">AVERAGE(OFFSET($R$3,0,0,'Données projet'!$E$9+1,1))-AVERAGE(OFFSET($H$3,0,0,'Données projet'!$E$9+1,1))</f>
        <v>323.17232038705157</v>
      </c>
      <c r="T37" s="59">
        <f t="shared" si="34"/>
        <v>402.34685738619197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</v>
      </c>
      <c r="AI37" s="13">
        <f>IF('Données projet'!$A$62&gt;35,AI36+AH37-AQ36,IF(A37&lt;'Données projet'!$A$62,$AF$205^A37,IF(A37='Données projet'!$A$62,'Données projet'!$B$62,AI36+AH37-AQ36)))</f>
        <v>172.4</v>
      </c>
      <c r="AJ37" s="13">
        <f>AI37*VLOOKUP('Données projet'!$B$10,Paramètres!$A$1:$I$89,3,0)*VLOOKUP('Données projet'!$B$10,Paramètres!$A$1:$I$89,5,0)</f>
        <v>112.95648</v>
      </c>
      <c r="AK37" s="13">
        <f t="shared" si="35"/>
        <v>30.026475458997034</v>
      </c>
      <c r="AL37" s="20">
        <f t="shared" si="4"/>
        <v>249.0286474244198</v>
      </c>
      <c r="AM37" s="59">
        <f t="shared" si="5"/>
        <v>542.36198075775314</v>
      </c>
      <c r="AN37" s="59">
        <f ca="1">AVERAGE(OFFSET($AM$3,0,0,'Données projet'!$E$10+1,1))-AVERAGE(OFFSET($H$3,0,0,'Données projet'!$E$10+1,1))</f>
        <v>263.30962868541337</v>
      </c>
      <c r="AO37" s="59">
        <f t="shared" si="36"/>
        <v>269.61868559913404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1.4458663373508482</v>
      </c>
      <c r="AW37" s="21">
        <f>EXP(-LN(2)/2)*AW36+(1-EXP(-LN(2)/2))/(LN(2)/2)*AQ37*AT37*VLOOKUP('Données projet'!$B$10,Paramètres!$A$1:$I$89,3,0)*0.475*44/12</f>
        <v>1.2540727888552647</v>
      </c>
      <c r="AX37" s="21">
        <f t="shared" si="6"/>
        <v>2.6999391262061128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141.78846153846152</v>
      </c>
      <c r="BB37" s="12">
        <f>VLOOKUP(A37,'Données projet'!$A$87:$I$107,9,0)</f>
        <v>4.1702488687782804</v>
      </c>
      <c r="BC37" s="12">
        <f t="array" ref="BC37">INDEX(BB:BB,MIN(IF(ISNUMBER(BB37:BB233),ROW(BB37:BB233),"")))</f>
        <v>4.1702488687782804</v>
      </c>
      <c r="BD37" s="12">
        <f>IF('Données projet'!$A$88&gt;35,BD36+BC37-BL36,IF(A37&lt;'Données projet'!$A$88,$BA$205^A37,IF(A37='Données projet'!$A$88,'Données projet'!$B$88,BD36+BC37-BL36)))</f>
        <v>141.78846153846152</v>
      </c>
      <c r="BE37" s="13">
        <f>BD37*VLOOKUP('Données projet'!$B$11,Paramètres!$A$1:$I$89,3,0)*VLOOKUP('Données projet'!$B$11,Paramètres!$A$1:$I$89,5,0)</f>
        <v>128.2902</v>
      </c>
      <c r="BF37" s="13">
        <f t="shared" si="37"/>
        <v>33.600970839600329</v>
      </c>
      <c r="BG37" s="20">
        <f t="shared" si="7"/>
        <v>281.96045587897055</v>
      </c>
      <c r="BH37" s="59">
        <f t="shared" si="8"/>
        <v>575.29378921230386</v>
      </c>
      <c r="BI37" s="59">
        <f ca="1">AVERAGE(OFFSET($BH$3,0,0,'Données projet'!$E$11+1,1))-AVERAGE(OFFSET($H$3,0,0,'Données projet'!$E$11+1,1))</f>
        <v>496.45286557802063</v>
      </c>
      <c r="BJ37" s="59">
        <f t="shared" si="38"/>
        <v>196.37811957788398</v>
      </c>
      <c r="BK37" s="15">
        <f>IF(ISNA(VLOOKUP(A37,'Données projet'!$A$87:$I$107,3,0)),0,VLOOKUP(A37,'Données projet'!$A$87:$I$107,3,0))</f>
        <v>1</v>
      </c>
      <c r="BL37" s="15">
        <f>IF(ISNA(VLOOKUP(A37,'Données projet'!$A$87:$I$107,4,0)),0,VLOOKUP(A37,'Données projet'!$A$87:$I$107,4,0))</f>
        <v>31.615384615384613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323.17232038705157</v>
      </c>
      <c r="T38" s="59">
        <f t="shared" si="34"/>
        <v>402.34685738619197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181</v>
      </c>
      <c r="AG38" s="12">
        <f>VLOOKUP(A38,'Données projet'!$A$61:$I$81,9,0)</f>
        <v>8.6</v>
      </c>
      <c r="AH38" s="12">
        <f t="array" ref="AH38">INDEX(AG:AG,MIN(IF(ISNUMBER(AG38:AG234),ROW(AG38:AG234),"")))</f>
        <v>8.6</v>
      </c>
      <c r="AI38" s="13">
        <f>IF('Données projet'!$A$62&gt;35,AI37+AH38-AQ37,IF(A38&lt;'Données projet'!$A$62,$AF$205^A38,IF(A38='Données projet'!$A$62,'Données projet'!$B$62,AI37+AH38-AQ37)))</f>
        <v>181</v>
      </c>
      <c r="AJ38" s="13">
        <f>AI38*VLOOKUP('Données projet'!$B$10,Paramètres!$A$1:$I$89,3,0)*VLOOKUP('Données projet'!$B$10,Paramètres!$A$1:$I$89,5,0)</f>
        <v>118.5912</v>
      </c>
      <c r="AK38" s="13">
        <f t="shared" si="35"/>
        <v>31.346194334434067</v>
      </c>
      <c r="AL38" s="20">
        <f t="shared" si="4"/>
        <v>261.14096179913935</v>
      </c>
      <c r="AM38" s="59">
        <f t="shared" si="5"/>
        <v>554.47429513247266</v>
      </c>
      <c r="AN38" s="59">
        <f ca="1">AVERAGE(OFFSET($AM$3,0,0,'Données projet'!$E$10+1,1))-AVERAGE(OFFSET($H$3,0,0,'Données projet'!$E$10+1,1))</f>
        <v>263.30962868541337</v>
      </c>
      <c r="AO38" s="59">
        <f t="shared" si="36"/>
        <v>269.61868559913404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25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4.3000000000000003E-2</v>
      </c>
      <c r="AT38" s="16">
        <f>IF(ISNA(VLOOKUP(A38,'Données projet'!$A$61:$I$81,7,0)),0%,VLOOKUP(A38,'Données projet'!$A$61:$I$81,7,0))</f>
        <v>0.3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2.18189030223424</v>
      </c>
      <c r="AW38" s="21">
        <f>EXP(-LN(2)/2)*AW37+(1-EXP(-LN(2)/2))/(LN(2)/2)*AQ38*AT38*VLOOKUP('Données projet'!$B$10,Paramètres!$A$1:$I$89,3,0)*0.475*44/12</f>
        <v>5.5232546314719606</v>
      </c>
      <c r="AX38" s="21">
        <f t="shared" si="6"/>
        <v>7.705144933706201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9.8108974358974379</v>
      </c>
      <c r="BD38" s="12">
        <f>IF('Données projet'!$A$88&gt;35,BD37+BC38-BL37,IF(A38&lt;'Données projet'!$A$88,$BA$205^A38,IF(A38='Données projet'!$A$88,'Données projet'!$B$88,BD37+BC38-BL37)))</f>
        <v>119.98397435897434</v>
      </c>
      <c r="BE38" s="13">
        <f>BD38*VLOOKUP('Données projet'!$B$11,Paramètres!$A$1:$I$89,3,0)*VLOOKUP('Données projet'!$B$11,Paramètres!$A$1:$I$89,5,0)</f>
        <v>108.56149999999998</v>
      </c>
      <c r="BF38" s="13">
        <f t="shared" si="37"/>
        <v>28.991803536120475</v>
      </c>
      <c r="BG38" s="20">
        <f t="shared" si="7"/>
        <v>239.57200365874314</v>
      </c>
      <c r="BH38" s="59">
        <f t="shared" si="8"/>
        <v>532.9053369920764</v>
      </c>
      <c r="BI38" s="59">
        <f ca="1">AVERAGE(OFFSET($BH$3,0,0,'Données projet'!$E$11+1,1))-AVERAGE(OFFSET($H$3,0,0,'Données projet'!$E$11+1,1))</f>
        <v>496.45286557802063</v>
      </c>
      <c r="BJ38" s="59">
        <f t="shared" si="38"/>
        <v>196.37811957788398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718.19468264481588</v>
      </c>
      <c r="S39" s="59">
        <f ca="1">AVERAGE(OFFSET($R$3,0,0,'Données projet'!$E$9+1,1))-AVERAGE(OFFSET($H$3,0,0,'Données projet'!$E$9+1,1))</f>
        <v>323.17232038705157</v>
      </c>
      <c r="T39" s="59">
        <f t="shared" si="34"/>
        <v>402.34685738619197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7.8</v>
      </c>
      <c r="AI39" s="13">
        <f>IF('Données projet'!$A$62&gt;35,AI38+AH39-AQ38,IF(A39&lt;'Données projet'!$A$62,$AF$205^A39,IF(A39='Données projet'!$A$62,'Données projet'!$B$62,AI38+AH39-AQ38)))</f>
        <v>163.80000000000001</v>
      </c>
      <c r="AJ39" s="13">
        <f>AI39*VLOOKUP('Données projet'!$B$10,Paramètres!$A$1:$I$89,3,0)*VLOOKUP('Données projet'!$B$10,Paramètres!$A$1:$I$89,5,0)</f>
        <v>107.32176000000001</v>
      </c>
      <c r="AK39" s="13">
        <f t="shared" si="35"/>
        <v>28.699067963776873</v>
      </c>
      <c r="AL39" s="20">
        <f t="shared" si="4"/>
        <v>236.90294203691141</v>
      </c>
      <c r="AM39" s="59">
        <f t="shared" si="5"/>
        <v>530.2362753702447</v>
      </c>
      <c r="AN39" s="59">
        <f ca="1">AVERAGE(OFFSET($AM$3,0,0,'Données projet'!$E$10+1,1))-AVERAGE(OFFSET($H$3,0,0,'Données projet'!$E$10+1,1))</f>
        <v>263.30962868541337</v>
      </c>
      <c r="AO39" s="59">
        <f t="shared" si="36"/>
        <v>269.61868559913404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2.1222263971790203</v>
      </c>
      <c r="AW39" s="21">
        <f>EXP(-LN(2)/2)*AW38+(1-EXP(-LN(2)/2))/(LN(2)/2)*AQ39*AT39*VLOOKUP('Données projet'!$B$10,Paramètres!$A$1:$I$89,3,0)*0.475*44/12</f>
        <v>3.905530804133829</v>
      </c>
      <c r="AX39" s="21">
        <f t="shared" si="6"/>
        <v>6.0277572013128493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9.8108974358974379</v>
      </c>
      <c r="BD39" s="12">
        <f>IF('Données projet'!$A$88&gt;35,BD38+BC39-BL38,IF(A39&lt;'Données projet'!$A$88,$BA$205^A39,IF(A39='Données projet'!$A$88,'Données projet'!$B$88,BD38+BC39-BL38)))</f>
        <v>129.79487179487177</v>
      </c>
      <c r="BE39" s="13">
        <f>BD39*VLOOKUP('Données projet'!$B$11,Paramètres!$A$1:$I$89,3,0)*VLOOKUP('Données projet'!$B$11,Paramètres!$A$1:$I$89,5,0)</f>
        <v>117.43839999999997</v>
      </c>
      <c r="BF39" s="13">
        <f t="shared" si="37"/>
        <v>31.076799937563745</v>
      </c>
      <c r="BG39" s="20">
        <f t="shared" si="7"/>
        <v>258.66397322459017</v>
      </c>
      <c r="BH39" s="59">
        <f t="shared" si="8"/>
        <v>551.99730655792348</v>
      </c>
      <c r="BI39" s="59">
        <f ca="1">AVERAGE(OFFSET($BH$3,0,0,'Données projet'!$E$11+1,1))-AVERAGE(OFFSET($H$3,0,0,'Données projet'!$E$11+1,1))</f>
        <v>496.45286557802063</v>
      </c>
      <c r="BJ39" s="59">
        <f t="shared" si="38"/>
        <v>196.37811957788398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323.17232038705157</v>
      </c>
      <c r="T40" s="59">
        <f t="shared" si="34"/>
        <v>402.34685738619197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7.8</v>
      </c>
      <c r="AI40" s="13">
        <f>IF('Données projet'!$A$62&gt;35,AI39+AH40-AQ39,IF(A40&lt;'Données projet'!$A$62,$AF$205^A40,IF(A40='Données projet'!$A$62,'Données projet'!$B$62,AI39+AH40-AQ39)))</f>
        <v>171.60000000000002</v>
      </c>
      <c r="AJ40" s="13">
        <f>AI40*VLOOKUP('Données projet'!$B$10,Paramètres!$A$1:$I$89,3,0)*VLOOKUP('Données projet'!$B$10,Paramètres!$A$1:$I$89,5,0)</f>
        <v>112.43232</v>
      </c>
      <c r="AK40" s="13">
        <f t="shared" si="35"/>
        <v>29.903326635598326</v>
      </c>
      <c r="AL40" s="20">
        <f t="shared" si="4"/>
        <v>247.90125122366706</v>
      </c>
      <c r="AM40" s="59">
        <f t="shared" si="5"/>
        <v>541.2345845570004</v>
      </c>
      <c r="AN40" s="59">
        <f ca="1">AVERAGE(OFFSET($AM$3,0,0,'Données projet'!$E$10+1,1))-AVERAGE(OFFSET($H$3,0,0,'Données projet'!$E$10+1,1))</f>
        <v>263.30962868541337</v>
      </c>
      <c r="AO40" s="59">
        <f t="shared" si="36"/>
        <v>269.61868559913404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2.0641940047451244</v>
      </c>
      <c r="AW40" s="21">
        <f>EXP(-LN(2)/2)*AW39+(1-EXP(-LN(2)/2))/(LN(2)/2)*AQ40*AT40*VLOOKUP('Données projet'!$B$10,Paramètres!$A$1:$I$89,3,0)*0.475*44/12</f>
        <v>2.7616273157359807</v>
      </c>
      <c r="AX40" s="21">
        <f t="shared" si="6"/>
        <v>4.8258213204811051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9.8108974358974379</v>
      </c>
      <c r="BD40" s="12">
        <f>IF('Données projet'!$A$88&gt;35,BD39+BC40-BL39,IF(A40&lt;'Données projet'!$A$88,$BA$205^A40,IF(A40='Données projet'!$A$88,'Données projet'!$B$88,BD39+BC40-BL39)))</f>
        <v>139.6057692307692</v>
      </c>
      <c r="BE40" s="13">
        <f>BD40*VLOOKUP('Données projet'!$B$11,Paramètres!$A$1:$I$89,3,0)*VLOOKUP('Données projet'!$B$11,Paramètres!$A$1:$I$89,5,0)</f>
        <v>126.31529999999997</v>
      </c>
      <c r="BF40" s="13">
        <f t="shared" si="37"/>
        <v>33.143513784775976</v>
      </c>
      <c r="BG40" s="20">
        <f t="shared" si="7"/>
        <v>277.72410067515142</v>
      </c>
      <c r="BH40" s="59">
        <f t="shared" si="8"/>
        <v>571.05743400848473</v>
      </c>
      <c r="BI40" s="59">
        <f ca="1">AVERAGE(OFFSET($BH$3,0,0,'Données projet'!$E$11+1,1))-AVERAGE(OFFSET($H$3,0,0,'Données projet'!$E$11+1,1))</f>
        <v>496.45286557802063</v>
      </c>
      <c r="BJ40" s="59">
        <f t="shared" si="38"/>
        <v>196.37811957788398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323.17232038705157</v>
      </c>
      <c r="T41" s="59">
        <f t="shared" si="34"/>
        <v>402.34685738619197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7.8</v>
      </c>
      <c r="AI41" s="13">
        <f>IF('Données projet'!$A$62&gt;35,AI40+AH41-AQ40,IF(A41&lt;'Données projet'!$A$62,$AF$205^A41,IF(A41='Données projet'!$A$62,'Données projet'!$B$62,AI40+AH41-AQ40)))</f>
        <v>179.40000000000003</v>
      </c>
      <c r="AJ41" s="13">
        <f>AI41*VLOOKUP('Données projet'!$B$10,Paramètres!$A$1:$I$89,3,0)*VLOOKUP('Données projet'!$B$10,Paramètres!$A$1:$I$89,5,0)</f>
        <v>117.54288000000003</v>
      </c>
      <c r="AK41" s="13">
        <f t="shared" si="35"/>
        <v>31.101228198889224</v>
      </c>
      <c r="AL41" s="20">
        <f t="shared" si="4"/>
        <v>258.88848844639881</v>
      </c>
      <c r="AM41" s="59">
        <f t="shared" si="5"/>
        <v>552.22182177973218</v>
      </c>
      <c r="AN41" s="59">
        <f ca="1">AVERAGE(OFFSET($AM$3,0,0,'Données projet'!$E$10+1,1))-AVERAGE(OFFSET($H$3,0,0,'Données projet'!$E$10+1,1))</f>
        <v>263.30962868541337</v>
      </c>
      <c r="AO41" s="59">
        <f t="shared" si="36"/>
        <v>269.61868559913404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2.0077485111341242</v>
      </c>
      <c r="AW41" s="21">
        <f>EXP(-LN(2)/2)*AW40+(1-EXP(-LN(2)/2))/(LN(2)/2)*AQ41*AT41*VLOOKUP('Données projet'!$B$10,Paramètres!$A$1:$I$89,3,0)*0.475*44/12</f>
        <v>1.952765402066915</v>
      </c>
      <c r="AX41" s="21">
        <f t="shared" si="6"/>
        <v>3.960513913201039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9.8108974358974379</v>
      </c>
      <c r="BD41" s="12">
        <f>IF('Données projet'!$A$88&gt;35,BD40+BC41-BL40,IF(A41&lt;'Données projet'!$A$88,$BA$205^A41,IF(A41='Données projet'!$A$88,'Données projet'!$B$88,BD40+BC41-BL40)))</f>
        <v>149.41666666666663</v>
      </c>
      <c r="BE41" s="13">
        <f>BD41*VLOOKUP('Données projet'!$B$11,Paramètres!$A$1:$I$89,3,0)*VLOOKUP('Données projet'!$B$11,Paramètres!$A$1:$I$89,5,0)</f>
        <v>135.19219999999996</v>
      </c>
      <c r="BF41" s="13">
        <f t="shared" si="37"/>
        <v>35.193376038491699</v>
      </c>
      <c r="BG41" s="20">
        <f t="shared" si="7"/>
        <v>296.7548782670396</v>
      </c>
      <c r="BH41" s="59">
        <f t="shared" si="8"/>
        <v>590.08821160037292</v>
      </c>
      <c r="BI41" s="59">
        <f ca="1">AVERAGE(OFFSET($BH$3,0,0,'Données projet'!$E$11+1,1))-AVERAGE(OFFSET($H$3,0,0,'Données projet'!$E$11+1,1))</f>
        <v>496.45286557802063</v>
      </c>
      <c r="BJ41" s="59">
        <f t="shared" si="38"/>
        <v>196.37811957788398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323.17232038705157</v>
      </c>
      <c r="T42" s="59">
        <f t="shared" si="34"/>
        <v>402.34685738619197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7.8</v>
      </c>
      <c r="AI42" s="13">
        <f>IF('Données projet'!$A$62&gt;35,AI41+AH42-AQ41,IF(A42&lt;'Données projet'!$A$62,$AF$205^A42,IF(A42='Données projet'!$A$62,'Données projet'!$B$62,AI41+AH42-AQ41)))</f>
        <v>187.20000000000005</v>
      </c>
      <c r="AJ42" s="13">
        <f>AI42*VLOOKUP('Données projet'!$B$10,Paramètres!$A$1:$I$89,3,0)*VLOOKUP('Données projet'!$B$10,Paramètres!$A$1:$I$89,5,0)</f>
        <v>122.65344000000002</v>
      </c>
      <c r="AK42" s="13">
        <f t="shared" si="35"/>
        <v>32.293080640759037</v>
      </c>
      <c r="AL42" s="20">
        <f t="shared" si="4"/>
        <v>269.8651901159887</v>
      </c>
      <c r="AM42" s="59">
        <f t="shared" si="5"/>
        <v>563.19852344932201</v>
      </c>
      <c r="AN42" s="59">
        <f ca="1">AVERAGE(OFFSET($AM$3,0,0,'Données projet'!$E$10+1,1))-AVERAGE(OFFSET($H$3,0,0,'Données projet'!$E$10+1,1))</f>
        <v>263.30962868541337</v>
      </c>
      <c r="AO42" s="59">
        <f t="shared" si="36"/>
        <v>269.61868559913404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1.9528465225142562</v>
      </c>
      <c r="AW42" s="21">
        <f>EXP(-LN(2)/2)*AW41+(1-EXP(-LN(2)/2))/(LN(2)/2)*AQ42*AT42*VLOOKUP('Données projet'!$B$10,Paramètres!$A$1:$I$89,3,0)*0.475*44/12</f>
        <v>1.3808136578679906</v>
      </c>
      <c r="AX42" s="21">
        <f t="shared" si="6"/>
        <v>3.333660180382247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9.8108974358974379</v>
      </c>
      <c r="BD42" s="12">
        <f>IF('Données projet'!$A$88&gt;35,BD41+BC42-BL41,IF(A42&lt;'Données projet'!$A$88,$BA$205^A42,IF(A42='Données projet'!$A$88,'Données projet'!$B$88,BD41+BC42-BL41)))</f>
        <v>159.22756410256406</v>
      </c>
      <c r="BE42" s="13">
        <f>BD42*VLOOKUP('Données projet'!$B$11,Paramètres!$A$1:$I$89,3,0)*VLOOKUP('Données projet'!$B$11,Paramètres!$A$1:$I$89,5,0)</f>
        <v>144.06909999999996</v>
      </c>
      <c r="BF42" s="13">
        <f t="shared" si="37"/>
        <v>37.227619113359864</v>
      </c>
      <c r="BG42" s="20">
        <f t="shared" si="7"/>
        <v>315.75845245576835</v>
      </c>
      <c r="BH42" s="59">
        <f t="shared" si="8"/>
        <v>609.09178578910166</v>
      </c>
      <c r="BI42" s="59">
        <f ca="1">AVERAGE(OFFSET($BH$3,0,0,'Données projet'!$E$11+1,1))-AVERAGE(OFFSET($H$3,0,0,'Données projet'!$E$11+1,1))</f>
        <v>496.45286557802063</v>
      </c>
      <c r="BJ42" s="59">
        <f t="shared" si="38"/>
        <v>196.37811957788398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323.17232038705157</v>
      </c>
      <c r="T43" s="59">
        <f t="shared" si="34"/>
        <v>402.34685738619197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195</v>
      </c>
      <c r="AG43" s="12">
        <f>VLOOKUP(A43,'Données projet'!$A$61:$I$81,9,0)</f>
        <v>7.8</v>
      </c>
      <c r="AH43" s="12">
        <f t="array" ref="AH43">INDEX(AG:AG,MIN(IF(ISNUMBER(AG43:AG239),ROW(AG43:AG239),"")))</f>
        <v>7.8</v>
      </c>
      <c r="AI43" s="13">
        <f>IF('Données projet'!$A$62&gt;35,AI42+AH43-AQ42,IF(A43&lt;'Données projet'!$A$62,$AF$205^A43,IF(A43='Données projet'!$A$62,'Données projet'!$B$62,AI42+AH43-AQ42)))</f>
        <v>195.00000000000006</v>
      </c>
      <c r="AJ43" s="13">
        <f>AI43*VLOOKUP('Données projet'!$B$10,Paramètres!$A$1:$I$89,3,0)*VLOOKUP('Données projet'!$B$10,Paramètres!$A$1:$I$89,5,0)</f>
        <v>127.76400000000004</v>
      </c>
      <c r="AK43" s="13">
        <f t="shared" si="35"/>
        <v>33.479164830670079</v>
      </c>
      <c r="AL43" s="20">
        <f t="shared" si="4"/>
        <v>280.83184541341706</v>
      </c>
      <c r="AM43" s="59">
        <f t="shared" si="5"/>
        <v>574.16517874675037</v>
      </c>
      <c r="AN43" s="59">
        <f ca="1">AVERAGE(OFFSET($AM$3,0,0,'Données projet'!$E$10+1,1))-AVERAGE(OFFSET($H$3,0,0,'Données projet'!$E$10+1,1))</f>
        <v>263.30962868541337</v>
      </c>
      <c r="AO43" s="59">
        <f t="shared" si="36"/>
        <v>269.61868559913404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25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4.3000000000000003E-2</v>
      </c>
      <c r="AT43" s="16">
        <f>IF(ISNA(VLOOKUP(A43,'Données projet'!$A$61:$I$81,7,0)),0%,VLOOKUP(A43,'Données projet'!$A$61:$I$81,7,0))</f>
        <v>0.3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2.6750070875734249</v>
      </c>
      <c r="AW43" s="21">
        <f>EXP(-LN(2)/2)*AW42+(1-EXP(-LN(2)/2))/(LN(2)/2)*AQ43*AT43*VLOOKUP('Données projet'!$B$10,Paramètres!$A$1:$I$89,3,0)*0.475*44/12</f>
        <v>5.6128739594043342</v>
      </c>
      <c r="AX43" s="21">
        <f t="shared" si="6"/>
        <v>8.2878810469777591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9.8108974358974379</v>
      </c>
      <c r="BD43" s="12">
        <f>IF('Données projet'!$A$88&gt;35,BD42+BC43-BL42,IF(A43&lt;'Données projet'!$A$88,$BA$205^A43,IF(A43='Données projet'!$A$88,'Données projet'!$B$88,BD42+BC43-BL42)))</f>
        <v>169.03846153846149</v>
      </c>
      <c r="BE43" s="13">
        <f>BD43*VLOOKUP('Données projet'!$B$11,Paramètres!$A$1:$I$89,3,0)*VLOOKUP('Données projet'!$B$11,Paramètres!$A$1:$I$89,5,0)</f>
        <v>152.94599999999994</v>
      </c>
      <c r="BF43" s="13">
        <f t="shared" si="37"/>
        <v>39.247314969652706</v>
      </c>
      <c r="BG43" s="20">
        <f t="shared" si="7"/>
        <v>334.73669023881166</v>
      </c>
      <c r="BH43" s="59">
        <f t="shared" si="8"/>
        <v>628.07002357214492</v>
      </c>
      <c r="BI43" s="59">
        <f ca="1">AVERAGE(OFFSET($BH$3,0,0,'Données projet'!$E$11+1,1))-AVERAGE(OFFSET($H$3,0,0,'Données projet'!$E$11+1,1))</f>
        <v>496.45286557802063</v>
      </c>
      <c r="BJ43" s="59">
        <f t="shared" si="38"/>
        <v>196.37811957788398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323.17232038705157</v>
      </c>
      <c r="T44" s="59">
        <f t="shared" si="34"/>
        <v>402.34685738619197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7.4</v>
      </c>
      <c r="AI44" s="13">
        <f>IF('Données projet'!$A$62&gt;35,AI43+AH44-AQ43,IF(A44&lt;'Données projet'!$A$62,$AF$205^A44,IF(A44='Données projet'!$A$62,'Données projet'!$B$62,AI43+AH44-AQ43)))</f>
        <v>177.40000000000006</v>
      </c>
      <c r="AJ44" s="13">
        <f>AI44*VLOOKUP('Données projet'!$B$10,Paramètres!$A$1:$I$89,3,0)*VLOOKUP('Données projet'!$B$10,Paramètres!$A$1:$I$89,5,0)</f>
        <v>116.23248000000004</v>
      </c>
      <c r="AK44" s="13">
        <f t="shared" si="35"/>
        <v>30.794662422308217</v>
      </c>
      <c r="AL44" s="20">
        <f t="shared" si="4"/>
        <v>256.07227305218686</v>
      </c>
      <c r="AM44" s="59">
        <f t="shared" si="5"/>
        <v>549.40560638552017</v>
      </c>
      <c r="AN44" s="59">
        <f ca="1">AVERAGE(OFFSET($AM$3,0,0,'Données projet'!$E$10+1,1))-AVERAGE(OFFSET($H$3,0,0,'Données projet'!$E$10+1,1))</f>
        <v>263.30962868541337</v>
      </c>
      <c r="AO44" s="59">
        <f t="shared" si="36"/>
        <v>269.61868559913404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2.6018588780912206</v>
      </c>
      <c r="AW44" s="21">
        <f>EXP(-LN(2)/2)*AW43+(1-EXP(-LN(2)/2))/(LN(2)/2)*AQ44*AT44*VLOOKUP('Données projet'!$B$10,Paramètres!$A$1:$I$89,3,0)*0.475*44/12</f>
        <v>3.9689012386401914</v>
      </c>
      <c r="AX44" s="21">
        <f t="shared" si="6"/>
        <v>6.570760116731412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9.8108974358974379</v>
      </c>
      <c r="BD44" s="12">
        <f>IF('Données projet'!$A$88&gt;35,BD43+BC44-BL43,IF(A44&lt;'Données projet'!$A$88,$BA$205^A44,IF(A44='Données projet'!$A$88,'Données projet'!$B$88,BD43+BC44-BL43)))</f>
        <v>178.84935897435892</v>
      </c>
      <c r="BE44" s="13">
        <f>BD44*VLOOKUP('Données projet'!$B$11,Paramètres!$A$1:$I$89,3,0)*VLOOKUP('Données projet'!$B$11,Paramètres!$A$1:$I$89,5,0)</f>
        <v>161.82289999999995</v>
      </c>
      <c r="BF44" s="13">
        <f t="shared" si="37"/>
        <v>41.253404106950768</v>
      </c>
      <c r="BG44" s="20">
        <f t="shared" si="7"/>
        <v>353.69122965293917</v>
      </c>
      <c r="BH44" s="59">
        <f t="shared" si="8"/>
        <v>647.02456298627249</v>
      </c>
      <c r="BI44" s="59">
        <f ca="1">AVERAGE(OFFSET($BH$3,0,0,'Données projet'!$E$11+1,1))-AVERAGE(OFFSET($H$3,0,0,'Données projet'!$E$11+1,1))</f>
        <v>496.45286557802063</v>
      </c>
      <c r="BJ44" s="59">
        <f t="shared" si="38"/>
        <v>196.37811957788398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730.88162312990744</v>
      </c>
      <c r="S45" s="59">
        <f ca="1">AVERAGE(OFFSET($R$3,0,0,'Données projet'!$E$9+1,1))-AVERAGE(OFFSET($H$3,0,0,'Données projet'!$E$9+1,1))</f>
        <v>323.17232038705157</v>
      </c>
      <c r="T45" s="59">
        <f t="shared" si="34"/>
        <v>402.34685738619197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7.4</v>
      </c>
      <c r="AI45" s="13">
        <f>IF('Données projet'!$A$62&gt;35,AI44+AH45-AQ44,IF(A45&lt;'Données projet'!$A$62,$AF$205^A45,IF(A45='Données projet'!$A$62,'Données projet'!$B$62,AI44+AH45-AQ44)))</f>
        <v>184.80000000000007</v>
      </c>
      <c r="AJ45" s="13">
        <f>AI45*VLOOKUP('Données projet'!$B$10,Paramètres!$A$1:$I$89,3,0)*VLOOKUP('Données projet'!$B$10,Paramètres!$A$1:$I$89,5,0)</f>
        <v>121.08096000000005</v>
      </c>
      <c r="AK45" s="13">
        <f t="shared" si="35"/>
        <v>31.92698372788707</v>
      </c>
      <c r="AL45" s="20">
        <f t="shared" si="4"/>
        <v>266.48883532607005</v>
      </c>
      <c r="AM45" s="59">
        <f t="shared" si="5"/>
        <v>559.82216865940336</v>
      </c>
      <c r="AN45" s="59">
        <f ca="1">AVERAGE(OFFSET($AM$3,0,0,'Données projet'!$E$10+1,1))-AVERAGE(OFFSET($H$3,0,0,'Données projet'!$E$10+1,1))</f>
        <v>263.30962868541337</v>
      </c>
      <c r="AO45" s="59">
        <f t="shared" si="36"/>
        <v>269.61868559913404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2.5307109102440046</v>
      </c>
      <c r="AW45" s="21">
        <f>EXP(-LN(2)/2)*AW44+(1-EXP(-LN(2)/2))/(LN(2)/2)*AQ45*AT45*VLOOKUP('Données projet'!$B$10,Paramètres!$A$1:$I$89,3,0)*0.475*44/12</f>
        <v>2.8064369797021675</v>
      </c>
      <c r="AX45" s="21">
        <f t="shared" si="6"/>
        <v>5.3371478899461717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188.66025641025641</v>
      </c>
      <c r="BB45" s="12">
        <f>VLOOKUP(A45,'Données projet'!$A$87:$I$107,9,0)</f>
        <v>9.8108974358974379</v>
      </c>
      <c r="BC45" s="12">
        <f t="array" ref="BC45">INDEX(BB:BB,MIN(IF(ISNUMBER(BB45:BB241),ROW(BB45:BB241),"")))</f>
        <v>9.8108974358974379</v>
      </c>
      <c r="BD45" s="12">
        <f>IF('Données projet'!$A$88&gt;35,BD44+BC45-BL44,IF(A45&lt;'Données projet'!$A$88,$BA$205^A45,IF(A45='Données projet'!$A$88,'Données projet'!$B$88,BD44+BC45-BL44)))</f>
        <v>188.66025641025635</v>
      </c>
      <c r="BE45" s="13">
        <f>BD45*VLOOKUP('Données projet'!$B$11,Paramètres!$A$1:$I$89,3,0)*VLOOKUP('Données projet'!$B$11,Paramètres!$A$1:$I$89,5,0)</f>
        <v>170.69979999999993</v>
      </c>
      <c r="BF45" s="13">
        <f t="shared" si="37"/>
        <v>43.246718013796333</v>
      </c>
      <c r="BG45" s="20">
        <f t="shared" si="7"/>
        <v>372.62351887402843</v>
      </c>
      <c r="BH45" s="59">
        <f t="shared" si="8"/>
        <v>665.95685220736175</v>
      </c>
      <c r="BI45" s="59">
        <f ca="1">AVERAGE(OFFSET($BH$3,0,0,'Données projet'!$E$11+1,1))-AVERAGE(OFFSET($H$3,0,0,'Données projet'!$E$11+1,1))</f>
        <v>496.45286557802063</v>
      </c>
      <c r="BJ45" s="59">
        <f t="shared" si="38"/>
        <v>196.37811957788398</v>
      </c>
      <c r="BK45" s="15">
        <f>IF(ISNA(VLOOKUP(A45,'Données projet'!$A$87:$I$107,3,0)),0,VLOOKUP(A45,'Données projet'!$A$87:$I$107,3,0))</f>
        <v>2</v>
      </c>
      <c r="BL45" s="15">
        <f>IF(ISNA(VLOOKUP(A45,'Données projet'!$A$87:$I$107,4,0)),0,VLOOKUP(A45,'Données projet'!$A$87:$I$107,4,0))</f>
        <v>45.198717948717949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750.19506700944544</v>
      </c>
      <c r="S46" s="59">
        <f ca="1">AVERAGE(OFFSET($R$3,0,0,'Données projet'!$E$9+1,1))-AVERAGE(OFFSET($H$3,0,0,'Données projet'!$E$9+1,1))</f>
        <v>323.17232038705157</v>
      </c>
      <c r="T46" s="59">
        <f t="shared" si="34"/>
        <v>402.34685738619197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7.4</v>
      </c>
      <c r="AI46" s="13">
        <f>IF('Données projet'!$A$62&gt;35,AI45+AH46-AQ45,IF(A46&lt;'Données projet'!$A$62,$AF$205^A46,IF(A46='Données projet'!$A$62,'Données projet'!$B$62,AI45+AH46-AQ45)))</f>
        <v>192.20000000000007</v>
      </c>
      <c r="AJ46" s="13">
        <f>AI46*VLOOKUP('Données projet'!$B$10,Paramètres!$A$1:$I$89,3,0)*VLOOKUP('Données projet'!$B$10,Paramètres!$A$1:$I$89,5,0)</f>
        <v>125.92944000000006</v>
      </c>
      <c r="AK46" s="13">
        <f t="shared" si="35"/>
        <v>33.054038034052077</v>
      </c>
      <c r="AL46" s="20">
        <f t="shared" si="4"/>
        <v>276.89622424264081</v>
      </c>
      <c r="AM46" s="59">
        <f t="shared" si="5"/>
        <v>570.22955757597413</v>
      </c>
      <c r="AN46" s="59">
        <f ca="1">AVERAGE(OFFSET($AM$3,0,0,'Données projet'!$E$10+1,1))-AVERAGE(OFFSET($H$3,0,0,'Données projet'!$E$10+1,1))</f>
        <v>263.30962868541337</v>
      </c>
      <c r="AO46" s="59">
        <f t="shared" si="36"/>
        <v>269.61868559913404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2.4615084873190796</v>
      </c>
      <c r="AW46" s="21">
        <f>EXP(-LN(2)/2)*AW45+(1-EXP(-LN(2)/2))/(LN(2)/2)*AQ46*AT46*VLOOKUP('Données projet'!$B$10,Paramètres!$A$1:$I$89,3,0)*0.475*44/12</f>
        <v>1.9844506193200961</v>
      </c>
      <c r="AX46" s="21">
        <f t="shared" si="6"/>
        <v>4.4459591066391759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9.9423076923076934</v>
      </c>
      <c r="BD46" s="12">
        <f>IF('Données projet'!$A$88&gt;35,BD45+BC46-BL45,IF(A46&lt;'Données projet'!$A$88,$BA$205^A46,IF(A46='Données projet'!$A$88,'Données projet'!$B$88,BD45+BC46-BL45)))</f>
        <v>153.40384615384608</v>
      </c>
      <c r="BE46" s="13">
        <f>BD46*VLOOKUP('Données projet'!$B$11,Paramètres!$A$1:$I$89,3,0)*VLOOKUP('Données projet'!$B$11,Paramètres!$A$1:$I$89,5,0)</f>
        <v>138.79979999999992</v>
      </c>
      <c r="BF46" s="13">
        <f t="shared" si="37"/>
        <v>36.021918906010839</v>
      </c>
      <c r="BG46" s="20">
        <f t="shared" si="7"/>
        <v>304.48116042796869</v>
      </c>
      <c r="BH46" s="59">
        <f t="shared" si="8"/>
        <v>597.81449376130195</v>
      </c>
      <c r="BI46" s="59">
        <f ca="1">AVERAGE(OFFSET($BH$3,0,0,'Données projet'!$E$11+1,1))-AVERAGE(OFFSET($H$3,0,0,'Données projet'!$E$11+1,1))</f>
        <v>496.45286557802063</v>
      </c>
      <c r="BJ46" s="59">
        <f t="shared" si="38"/>
        <v>196.37811957788398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323.17232038705157</v>
      </c>
      <c r="T47" s="59">
        <f t="shared" si="34"/>
        <v>402.34685738619197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7.4</v>
      </c>
      <c r="AI47" s="13">
        <f>IF('Données projet'!$A$62&gt;35,AI46+AH47-AQ46,IF(A47&lt;'Données projet'!$A$62,$AF$205^A47,IF(A47='Données projet'!$A$62,'Données projet'!$B$62,AI46+AH47-AQ46)))</f>
        <v>199.60000000000008</v>
      </c>
      <c r="AJ47" s="13">
        <f>AI47*VLOOKUP('Données projet'!$B$10,Paramètres!$A$1:$I$89,3,0)*VLOOKUP('Données projet'!$B$10,Paramètres!$A$1:$I$89,5,0)</f>
        <v>130.77792000000005</v>
      </c>
      <c r="AK47" s="13">
        <f t="shared" si="35"/>
        <v>34.176051340149542</v>
      </c>
      <c r="AL47" s="20">
        <f t="shared" si="4"/>
        <v>287.29483341742718</v>
      </c>
      <c r="AM47" s="59">
        <f t="shared" si="5"/>
        <v>580.62816675076056</v>
      </c>
      <c r="AN47" s="59">
        <f ca="1">AVERAGE(OFFSET($AM$3,0,0,'Données projet'!$E$10+1,1))-AVERAGE(OFFSET($H$3,0,0,'Données projet'!$E$10+1,1))</f>
        <v>263.30962868541337</v>
      </c>
      <c r="AO47" s="59">
        <f t="shared" si="36"/>
        <v>269.61868559913404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2.3941984082882337</v>
      </c>
      <c r="AW47" s="21">
        <f>EXP(-LN(2)/2)*AW46+(1-EXP(-LN(2)/2))/(LN(2)/2)*AQ47*AT47*VLOOKUP('Données projet'!$B$10,Paramètres!$A$1:$I$89,3,0)*0.475*44/12</f>
        <v>1.403218489851084</v>
      </c>
      <c r="AX47" s="21">
        <f t="shared" si="6"/>
        <v>3.7974168981393177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9.9423076923076934</v>
      </c>
      <c r="BD47" s="12">
        <f>IF('Données projet'!$A$88&gt;35,BD46+BC47-BL46,IF(A47&lt;'Données projet'!$A$88,$BA$205^A47,IF(A47='Données projet'!$A$88,'Données projet'!$B$88,BD46+BC47-BL46)))</f>
        <v>163.34615384615375</v>
      </c>
      <c r="BE47" s="13">
        <f>BD47*VLOOKUP('Données projet'!$B$11,Paramètres!$A$1:$I$89,3,0)*VLOOKUP('Données projet'!$B$11,Paramètres!$A$1:$I$89,5,0)</f>
        <v>147.79559999999992</v>
      </c>
      <c r="BF47" s="13">
        <f t="shared" si="37"/>
        <v>38.077196976190542</v>
      </c>
      <c r="BG47" s="20">
        <f t="shared" si="7"/>
        <v>323.72845473353169</v>
      </c>
      <c r="BH47" s="59">
        <f t="shared" si="8"/>
        <v>617.06178806686501</v>
      </c>
      <c r="BI47" s="59">
        <f ca="1">AVERAGE(OFFSET($BH$3,0,0,'Données projet'!$E$11+1,1))-AVERAGE(OFFSET($H$3,0,0,'Données projet'!$E$11+1,1))</f>
        <v>496.45286557802063</v>
      </c>
      <c r="BJ47" s="59">
        <f t="shared" si="38"/>
        <v>196.37811957788398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788.77045855192841</v>
      </c>
      <c r="S48" s="59">
        <f ca="1">AVERAGE(OFFSET($R$3,0,0,'Données projet'!$E$9+1,1))-AVERAGE(OFFSET($H$3,0,0,'Données projet'!$E$9+1,1))</f>
        <v>323.17232038705157</v>
      </c>
      <c r="T48" s="59">
        <f t="shared" si="34"/>
        <v>402.34685738619197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207</v>
      </c>
      <c r="AG48" s="12">
        <f>VLOOKUP(A48,'Données projet'!$A$61:$I$81,9,0)</f>
        <v>7.4</v>
      </c>
      <c r="AH48" s="12">
        <f t="array" ref="AH48">INDEX(AG:AG,MIN(IF(ISNUMBER(AG48:AG244),ROW(AG48:AG244),"")))</f>
        <v>7.4</v>
      </c>
      <c r="AI48" s="13">
        <f>IF('Données projet'!$A$62&gt;35,AI47+AH48-AQ47,IF(A48&lt;'Données projet'!$A$62,$AF$205^A48,IF(A48='Données projet'!$A$62,'Données projet'!$B$62,AI47+AH48-AQ47)))</f>
        <v>207.00000000000009</v>
      </c>
      <c r="AJ48" s="13">
        <f>AI48*VLOOKUP('Données projet'!$B$10,Paramètres!$A$1:$I$89,3,0)*VLOOKUP('Données projet'!$B$10,Paramètres!$A$1:$I$89,5,0)</f>
        <v>135.62640000000005</v>
      </c>
      <c r="AK48" s="13">
        <f t="shared" si="35"/>
        <v>35.293231938598481</v>
      </c>
      <c r="AL48" s="20">
        <f t="shared" si="4"/>
        <v>297.68502562639242</v>
      </c>
      <c r="AM48" s="59">
        <f t="shared" si="5"/>
        <v>591.01835895972567</v>
      </c>
      <c r="AN48" s="59">
        <f ca="1">AVERAGE(OFFSET($AM$3,0,0,'Données projet'!$E$10+1,1))-AVERAGE(OFFSET($H$3,0,0,'Données projet'!$E$10+1,1))</f>
        <v>263.30962868541337</v>
      </c>
      <c r="AO48" s="59">
        <f t="shared" si="36"/>
        <v>269.61868559913404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25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0.129</v>
      </c>
      <c r="AT48" s="16">
        <f>IF(ISNA(VLOOKUP(A48,'Données projet'!$A$61:$I$81,7,0)),0%,VLOOKUP(A48,'Données projet'!$A$61:$I$81,7,0))</f>
        <v>0.3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4.6554126946473398</v>
      </c>
      <c r="AW48" s="21">
        <f>EXP(-LN(2)/2)*AW47+(1-EXP(-LN(2)/2))/(LN(2)/2)*AQ48*AT48*VLOOKUP('Données projet'!$B$10,Paramètres!$A$1:$I$89,3,0)*0.475*44/12</f>
        <v>5.6287165680309252</v>
      </c>
      <c r="AX48" s="21">
        <f t="shared" si="6"/>
        <v>10.284129262678265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9.9423076923076934</v>
      </c>
      <c r="BD48" s="12">
        <f>IF('Données projet'!$A$88&gt;35,BD47+BC48-BL47,IF(A48&lt;'Données projet'!$A$88,$BA$205^A48,IF(A48='Données projet'!$A$88,'Données projet'!$B$88,BD47+BC48-BL47)))</f>
        <v>173.28846153846143</v>
      </c>
      <c r="BE48" s="13">
        <f>BD48*VLOOKUP('Données projet'!$B$11,Paramètres!$A$1:$I$89,3,0)*VLOOKUP('Données projet'!$B$11,Paramètres!$A$1:$I$89,5,0)</f>
        <v>156.7913999999999</v>
      </c>
      <c r="BF48" s="13">
        <f t="shared" si="37"/>
        <v>40.117955688416735</v>
      </c>
      <c r="BG48" s="20">
        <f t="shared" si="7"/>
        <v>342.95046115732566</v>
      </c>
      <c r="BH48" s="59">
        <f t="shared" si="8"/>
        <v>636.28379449065892</v>
      </c>
      <c r="BI48" s="59">
        <f ca="1">AVERAGE(OFFSET($BH$3,0,0,'Données projet'!$E$11+1,1))-AVERAGE(OFFSET($H$3,0,0,'Données projet'!$E$11+1,1))</f>
        <v>496.45286557802063</v>
      </c>
      <c r="BJ48" s="59">
        <f t="shared" si="38"/>
        <v>196.37811957788398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323.17232038705157</v>
      </c>
      <c r="T49" s="59">
        <f t="shared" si="34"/>
        <v>402.34685738619197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6.6</v>
      </c>
      <c r="AI49" s="13">
        <f>IF('Données projet'!$A$62&gt;35,AI48+AH49-AQ48,IF(A49&lt;'Données projet'!$A$62,$AF$205^A49,IF(A49='Données projet'!$A$62,'Données projet'!$B$62,AI48+AH49-AQ48)))</f>
        <v>188.60000000000008</v>
      </c>
      <c r="AJ49" s="13">
        <f>AI49*VLOOKUP('Données projet'!$B$10,Paramètres!$A$1:$I$89,3,0)*VLOOKUP('Données projet'!$B$10,Paramètres!$A$1:$I$89,5,0)</f>
        <v>123.57072000000005</v>
      </c>
      <c r="AK49" s="13">
        <f t="shared" si="35"/>
        <v>32.506384557027701</v>
      </c>
      <c r="AL49" s="20">
        <f t="shared" si="4"/>
        <v>271.83429043682332</v>
      </c>
      <c r="AM49" s="59">
        <f t="shared" si="5"/>
        <v>565.16762377015664</v>
      </c>
      <c r="AN49" s="59">
        <f ca="1">AVERAGE(OFFSET($AM$3,0,0,'Données projet'!$E$10+1,1))-AVERAGE(OFFSET($H$3,0,0,'Données projet'!$E$10+1,1))</f>
        <v>263.30962868541337</v>
      </c>
      <c r="AO49" s="59">
        <f t="shared" si="36"/>
        <v>269.61868559913404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4.5281101896946945</v>
      </c>
      <c r="AW49" s="21">
        <f>EXP(-LN(2)/2)*AW48+(1-EXP(-LN(2)/2))/(LN(2)/2)*AQ49*AT49*VLOOKUP('Données projet'!$B$10,Paramètres!$A$1:$I$89,3,0)*0.475*44/12</f>
        <v>3.9801036546317383</v>
      </c>
      <c r="AX49" s="21">
        <f t="shared" si="6"/>
        <v>8.5082138443264324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9.9423076923076934</v>
      </c>
      <c r="BD49" s="12">
        <f>IF('Données projet'!$A$88&gt;35,BD48+BC49-BL48,IF(A49&lt;'Données projet'!$A$88,$BA$205^A49,IF(A49='Données projet'!$A$88,'Données projet'!$B$88,BD48+BC49-BL48)))</f>
        <v>183.23076923076911</v>
      </c>
      <c r="BE49" s="13">
        <f>BD49*VLOOKUP('Données projet'!$B$11,Paramètres!$A$1:$I$89,3,0)*VLOOKUP('Données projet'!$B$11,Paramètres!$A$1:$I$89,5,0)</f>
        <v>165.7871999999999</v>
      </c>
      <c r="BF49" s="13">
        <f t="shared" si="37"/>
        <v>42.145122994841088</v>
      </c>
      <c r="BG49" s="20">
        <f t="shared" si="7"/>
        <v>362.14879588268133</v>
      </c>
      <c r="BH49" s="59">
        <f t="shared" si="8"/>
        <v>655.48212921601464</v>
      </c>
      <c r="BI49" s="59">
        <f ca="1">AVERAGE(OFFSET($BH$3,0,0,'Données projet'!$E$11+1,1))-AVERAGE(OFFSET($H$3,0,0,'Données projet'!$E$11+1,1))</f>
        <v>496.45286557802063</v>
      </c>
      <c r="BJ49" s="59">
        <f t="shared" si="38"/>
        <v>196.37811957788398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323.17232038705157</v>
      </c>
      <c r="T50" s="59">
        <f t="shared" si="34"/>
        <v>402.34685738619197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6.6</v>
      </c>
      <c r="AI50" s="13">
        <f>IF('Données projet'!$A$62&gt;35,AI49+AH50-AQ49,IF(A50&lt;'Données projet'!$A$62,$AF$205^A50,IF(A50='Données projet'!$A$62,'Données projet'!$B$62,AI49+AH50-AQ49)))</f>
        <v>195.20000000000007</v>
      </c>
      <c r="AJ50" s="13">
        <f>AI50*VLOOKUP('Données projet'!$B$10,Paramètres!$A$1:$I$89,3,0)*VLOOKUP('Données projet'!$B$10,Paramètres!$A$1:$I$89,5,0)</f>
        <v>127.89504000000004</v>
      </c>
      <c r="AK50" s="13">
        <f t="shared" si="35"/>
        <v>33.509503727991913</v>
      </c>
      <c r="AL50" s="20">
        <f t="shared" si="4"/>
        <v>281.11291365958601</v>
      </c>
      <c r="AM50" s="59">
        <f t="shared" si="5"/>
        <v>574.44624699291933</v>
      </c>
      <c r="AN50" s="59">
        <f ca="1">AVERAGE(OFFSET($AM$3,0,0,'Données projet'!$E$10+1,1))-AVERAGE(OFFSET($H$3,0,0,'Données projet'!$E$10+1,1))</f>
        <v>263.30962868541337</v>
      </c>
      <c r="AO50" s="59">
        <f t="shared" si="36"/>
        <v>269.61868559913404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4.4042887784345277</v>
      </c>
      <c r="AW50" s="21">
        <f>EXP(-LN(2)/2)*AW49+(1-EXP(-LN(2)/2))/(LN(2)/2)*AQ50*AT50*VLOOKUP('Données projet'!$B$10,Paramètres!$A$1:$I$89,3,0)*0.475*44/12</f>
        <v>2.8143582840154631</v>
      </c>
      <c r="AX50" s="21">
        <f t="shared" si="6"/>
        <v>7.2186470624499908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9.9423076923076934</v>
      </c>
      <c r="BD50" s="12">
        <f>IF('Données projet'!$A$88&gt;35,BD49+BC50-BL49,IF(A50&lt;'Données projet'!$A$88,$BA$205^A50,IF(A50='Données projet'!$A$88,'Données projet'!$B$88,BD49+BC50-BL49)))</f>
        <v>193.17307692307679</v>
      </c>
      <c r="BE50" s="13">
        <f>BD50*VLOOKUP('Données projet'!$B$11,Paramètres!$A$1:$I$89,3,0)*VLOOKUP('Données projet'!$B$11,Paramètres!$A$1:$I$89,5,0)</f>
        <v>174.78299999999987</v>
      </c>
      <c r="BF50" s="13">
        <f t="shared" si="37"/>
        <v>44.159520456631547</v>
      </c>
      <c r="BG50" s="20">
        <f t="shared" si="7"/>
        <v>381.32488979529973</v>
      </c>
      <c r="BH50" s="59">
        <f t="shared" si="8"/>
        <v>674.65822312863304</v>
      </c>
      <c r="BI50" s="59">
        <f ca="1">AVERAGE(OFFSET($BH$3,0,0,'Données projet'!$E$11+1,1))-AVERAGE(OFFSET($H$3,0,0,'Données projet'!$E$11+1,1))</f>
        <v>496.45286557802063</v>
      </c>
      <c r="BJ50" s="59">
        <f t="shared" si="38"/>
        <v>196.37811957788398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323.17232038705157</v>
      </c>
      <c r="T51" s="59">
        <f t="shared" si="34"/>
        <v>402.34685738619197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6.6</v>
      </c>
      <c r="AI51" s="13">
        <f>IF('Données projet'!$A$62&gt;35,AI50+AH51-AQ50,IF(A51&lt;'Données projet'!$A$62,$AF$205^A51,IF(A51='Données projet'!$A$62,'Données projet'!$B$62,AI50+AH51-AQ50)))</f>
        <v>201.80000000000007</v>
      </c>
      <c r="AJ51" s="13">
        <f>AI51*VLOOKUP('Données projet'!$B$10,Paramètres!$A$1:$I$89,3,0)*VLOOKUP('Données projet'!$B$10,Paramètres!$A$1:$I$89,5,0)</f>
        <v>132.21936000000005</v>
      </c>
      <c r="AK51" s="13">
        <f t="shared" si="35"/>
        <v>34.508681932648301</v>
      </c>
      <c r="AL51" s="20">
        <f t="shared" si="4"/>
        <v>290.3846730326959</v>
      </c>
      <c r="AM51" s="59">
        <f t="shared" si="5"/>
        <v>583.71800636602916</v>
      </c>
      <c r="AN51" s="59">
        <f ca="1">AVERAGE(OFFSET($AM$3,0,0,'Données projet'!$E$10+1,1))-AVERAGE(OFFSET($H$3,0,0,'Données projet'!$E$10+1,1))</f>
        <v>263.30962868541337</v>
      </c>
      <c r="AO51" s="59">
        <f t="shared" si="36"/>
        <v>269.61868559913404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4.2838532701767544</v>
      </c>
      <c r="AW51" s="21">
        <f>EXP(-LN(2)/2)*AW50+(1-EXP(-LN(2)/2))/(LN(2)/2)*AQ51*AT51*VLOOKUP('Données projet'!$B$10,Paramètres!$A$1:$I$89,3,0)*0.475*44/12</f>
        <v>1.9900518273158696</v>
      </c>
      <c r="AX51" s="21">
        <f t="shared" si="6"/>
        <v>6.2739050974926238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9.9423076923076934</v>
      </c>
      <c r="BD51" s="12">
        <f>IF('Données projet'!$A$88&gt;35,BD50+BC51-BL50,IF(A51&lt;'Données projet'!$A$88,$BA$205^A51,IF(A51='Données projet'!$A$88,'Données projet'!$B$88,BD50+BC51-BL50)))</f>
        <v>203.11538461538447</v>
      </c>
      <c r="BE51" s="13">
        <f>BD51*VLOOKUP('Données projet'!$B$11,Paramètres!$A$1:$I$89,3,0)*VLOOKUP('Données projet'!$B$11,Paramètres!$A$1:$I$89,5,0)</f>
        <v>183.77879999999988</v>
      </c>
      <c r="BF51" s="13">
        <f t="shared" si="37"/>
        <v>46.161880289388094</v>
      </c>
      <c r="BG51" s="20">
        <f t="shared" si="7"/>
        <v>400.48001817068399</v>
      </c>
      <c r="BH51" s="59">
        <f t="shared" si="8"/>
        <v>693.81335150401731</v>
      </c>
      <c r="BI51" s="59">
        <f ca="1">AVERAGE(OFFSET($BH$3,0,0,'Données projet'!$E$11+1,1))-AVERAGE(OFFSET($H$3,0,0,'Données projet'!$E$11+1,1))</f>
        <v>496.45286557802063</v>
      </c>
      <c r="BJ51" s="59">
        <f t="shared" si="38"/>
        <v>196.37811957788398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756.44557370704194</v>
      </c>
      <c r="S52" s="59">
        <f ca="1">AVERAGE(OFFSET($R$3,0,0,'Données projet'!$E$9+1,1))-AVERAGE(OFFSET($H$3,0,0,'Données projet'!$E$9+1,1))</f>
        <v>323.17232038705157</v>
      </c>
      <c r="T52" s="59">
        <f t="shared" si="34"/>
        <v>402.34685738619197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6.6</v>
      </c>
      <c r="AI52" s="13">
        <f>IF('Données projet'!$A$62&gt;35,AI51+AH52-AQ51,IF(A52&lt;'Données projet'!$A$62,$AF$205^A52,IF(A52='Données projet'!$A$62,'Données projet'!$B$62,AI51+AH52-AQ51)))</f>
        <v>208.40000000000006</v>
      </c>
      <c r="AJ52" s="13">
        <f>AI52*VLOOKUP('Données projet'!$B$10,Paramètres!$A$1:$I$89,3,0)*VLOOKUP('Données projet'!$B$10,Paramètres!$A$1:$I$89,5,0)</f>
        <v>136.54368000000002</v>
      </c>
      <c r="AK52" s="13">
        <f t="shared" si="35"/>
        <v>35.504062844328153</v>
      </c>
      <c r="AL52" s="20">
        <f t="shared" si="4"/>
        <v>299.64981878720488</v>
      </c>
      <c r="AM52" s="59">
        <f t="shared" si="5"/>
        <v>592.98315212053819</v>
      </c>
      <c r="AN52" s="59">
        <f ca="1">AVERAGE(OFFSET($AM$3,0,0,'Données projet'!$E$10+1,1))-AVERAGE(OFFSET($H$3,0,0,'Données projet'!$E$10+1,1))</f>
        <v>263.30962868541337</v>
      </c>
      <c r="AO52" s="59">
        <f t="shared" si="36"/>
        <v>269.61868559913404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4.1667110772257185</v>
      </c>
      <c r="AW52" s="21">
        <f>EXP(-LN(2)/2)*AW51+(1-EXP(-LN(2)/2))/(LN(2)/2)*AQ52*AT52*VLOOKUP('Données projet'!$B$10,Paramètres!$A$1:$I$89,3,0)*0.475*44/12</f>
        <v>1.4071791420077318</v>
      </c>
      <c r="AX52" s="21">
        <f t="shared" si="6"/>
        <v>5.5738902192334505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9.9423076923076934</v>
      </c>
      <c r="BD52" s="12">
        <f>IF('Données projet'!$A$88&gt;35,BD51+BC52-BL51,IF(A52&lt;'Données projet'!$A$88,$BA$205^A52,IF(A52='Données projet'!$A$88,'Données projet'!$B$88,BD51+BC52-BL51)))</f>
        <v>213.05769230769215</v>
      </c>
      <c r="BE52" s="13">
        <f>BD52*VLOOKUP('Données projet'!$B$11,Paramètres!$A$1:$I$89,3,0)*VLOOKUP('Données projet'!$B$11,Paramètres!$A$1:$I$89,5,0)</f>
        <v>192.77459999999985</v>
      </c>
      <c r="BF52" s="13">
        <f t="shared" si="37"/>
        <v>48.152858976416411</v>
      </c>
      <c r="BG52" s="20">
        <f t="shared" si="7"/>
        <v>419.61532438392493</v>
      </c>
      <c r="BH52" s="59">
        <f t="shared" si="8"/>
        <v>712.94865771725824</v>
      </c>
      <c r="BI52" s="59">
        <f ca="1">AVERAGE(OFFSET($BH$3,0,0,'Données projet'!$E$11+1,1))-AVERAGE(OFFSET($H$3,0,0,'Données projet'!$E$11+1,1))</f>
        <v>496.45286557802063</v>
      </c>
      <c r="BJ52" s="59">
        <f t="shared" si="38"/>
        <v>196.37811957788398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323.17232038705157</v>
      </c>
      <c r="T53" s="59">
        <f t="shared" si="34"/>
        <v>402.34685738619197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215</v>
      </c>
      <c r="AG53" s="12">
        <f>VLOOKUP(A53,'Données projet'!$A$61:$I$81,9,0)</f>
        <v>6.6</v>
      </c>
      <c r="AH53" s="12">
        <f t="array" ref="AH53">INDEX(AG:AG,MIN(IF(ISNUMBER(AG53:AG249),ROW(AG53:AG249),"")))</f>
        <v>6.6</v>
      </c>
      <c r="AI53" s="13">
        <f>IF('Données projet'!$A$62&gt;35,AI52+AH53-AQ52,IF(A53&lt;'Données projet'!$A$62,$AF$205^A53,IF(A53='Données projet'!$A$62,'Données projet'!$B$62,AI52+AH53-AQ52)))</f>
        <v>215.00000000000006</v>
      </c>
      <c r="AJ53" s="13">
        <f>AI53*VLOOKUP('Données projet'!$B$10,Paramètres!$A$1:$I$89,3,0)*VLOOKUP('Données projet'!$B$10,Paramètres!$A$1:$I$89,5,0)</f>
        <v>140.86800000000005</v>
      </c>
      <c r="AK53" s="13">
        <f t="shared" si="35"/>
        <v>36.495780519346958</v>
      </c>
      <c r="AL53" s="20">
        <f t="shared" si="4"/>
        <v>308.90858440452939</v>
      </c>
      <c r="AM53" s="59">
        <f t="shared" si="5"/>
        <v>602.24191773786265</v>
      </c>
      <c r="AN53" s="59">
        <f ca="1">AVERAGE(OFFSET($AM$3,0,0,'Données projet'!$E$10+1,1))-AVERAGE(OFFSET($H$3,0,0,'Données projet'!$E$10+1,1))</f>
        <v>263.30962868541337</v>
      </c>
      <c r="AO53" s="59">
        <f t="shared" si="36"/>
        <v>269.61868559913404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0.129</v>
      </c>
      <c r="AT53" s="16">
        <f>IF(ISNA(VLOOKUP(A53,'Données projet'!$A$61:$I$81,7,0)),0%,VLOOKUP(A53,'Données projet'!$A$61:$I$81,7,0))</f>
        <v>0.3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6.2863885607307726</v>
      </c>
      <c r="AW53" s="21">
        <f>EXP(-LN(2)/2)*AW52+(1-EXP(-LN(2)/2))/(LN(2)/2)*AQ53*AT53*VLOOKUP('Données projet'!$B$10,Paramètres!$A$1:$I$89,3,0)*0.475*44/12</f>
        <v>5.4460575216939775</v>
      </c>
      <c r="AX53" s="21">
        <f t="shared" si="6"/>
        <v>11.732446082424751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223</v>
      </c>
      <c r="BB53" s="12">
        <f>VLOOKUP(A53,'Données projet'!$A$87:$I$107,9,0)</f>
        <v>9.9423076923076934</v>
      </c>
      <c r="BC53" s="12">
        <f t="array" ref="BC53">INDEX(BB:BB,MIN(IF(ISNUMBER(BB53:BB249),ROW(BB53:BB249),"")))</f>
        <v>9.9423076923076934</v>
      </c>
      <c r="BD53" s="12">
        <f>IF('Données projet'!$A$88&gt;35,BD52+BC53-BL52,IF(A53&lt;'Données projet'!$A$88,$BA$205^A53,IF(A53='Données projet'!$A$88,'Données projet'!$B$88,BD52+BC53-BL52)))</f>
        <v>222.99999999999983</v>
      </c>
      <c r="BE53" s="13">
        <f>BD53*VLOOKUP('Données projet'!$B$11,Paramètres!$A$1:$I$89,3,0)*VLOOKUP('Données projet'!$B$11,Paramètres!$A$1:$I$89,5,0)</f>
        <v>201.77039999999982</v>
      </c>
      <c r="BF53" s="13">
        <f t="shared" si="37"/>
        <v>50.133048269036053</v>
      </c>
      <c r="BG53" s="20">
        <f t="shared" si="7"/>
        <v>438.73183906857088</v>
      </c>
      <c r="BH53" s="59">
        <f t="shared" si="8"/>
        <v>732.06517240190419</v>
      </c>
      <c r="BI53" s="59">
        <f ca="1">AVERAGE(OFFSET($BH$3,0,0,'Données projet'!$E$11+1,1))-AVERAGE(OFFSET($H$3,0,0,'Données projet'!$E$11+1,1))</f>
        <v>496.45286557802063</v>
      </c>
      <c r="BJ53" s="59">
        <f t="shared" si="38"/>
        <v>196.37811957788398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52.282051282051285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323.17232038705157</v>
      </c>
      <c r="T54" s="59">
        <f t="shared" si="34"/>
        <v>402.34685738619197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6.4</v>
      </c>
      <c r="AI54" s="13">
        <f>IF('Données projet'!$A$62&gt;35,AI53+AH54-AQ53,IF(A54&lt;'Données projet'!$A$62,$AF$205^A54,IF(A54='Données projet'!$A$62,'Données projet'!$B$62,AI53+AH54-AQ53)))</f>
        <v>197.40000000000006</v>
      </c>
      <c r="AJ54" s="13">
        <f>AI54*VLOOKUP('Données projet'!$B$10,Paramètres!$A$1:$I$89,3,0)*VLOOKUP('Données projet'!$B$10,Paramètres!$A$1:$I$89,5,0)</f>
        <v>129.33648000000005</v>
      </c>
      <c r="AK54" s="13">
        <f t="shared" si="35"/>
        <v>33.84299371090448</v>
      </c>
      <c r="AL54" s="20">
        <f t="shared" si="4"/>
        <v>284.20425004649206</v>
      </c>
      <c r="AM54" s="59">
        <f t="shared" si="5"/>
        <v>577.53758337982538</v>
      </c>
      <c r="AN54" s="59">
        <f ca="1">AVERAGE(OFFSET($AM$3,0,0,'Données projet'!$E$10+1,1))-AVERAGE(OFFSET($H$3,0,0,'Données projet'!$E$10+1,1))</f>
        <v>263.30962868541337</v>
      </c>
      <c r="AO54" s="59">
        <f t="shared" si="36"/>
        <v>269.61868559913404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6.1144869349507829</v>
      </c>
      <c r="AW54" s="21">
        <f>EXP(-LN(2)/2)*AW53+(1-EXP(-LN(2)/2))/(LN(2)/2)*AQ54*AT54*VLOOKUP('Données projet'!$B$10,Paramètres!$A$1:$I$89,3,0)*0.475*44/12</f>
        <v>3.8509442043218147</v>
      </c>
      <c r="AX54" s="21">
        <f t="shared" si="6"/>
        <v>9.9654311392725976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9.6586538461538431</v>
      </c>
      <c r="BD54" s="12">
        <f>IF('Données projet'!$A$88&gt;35,BD53+BC54-BL53,IF(A54&lt;'Données projet'!$A$88,$BA$205^A54,IF(A54='Données projet'!$A$88,'Données projet'!$B$88,BD53+BC54-BL53)))</f>
        <v>180.37660256410237</v>
      </c>
      <c r="BE54" s="13">
        <f>BD54*VLOOKUP('Données projet'!$B$11,Paramètres!$A$1:$I$89,3,0)*VLOOKUP('Données projet'!$B$11,Paramètres!$A$1:$I$89,5,0)</f>
        <v>163.20474999999982</v>
      </c>
      <c r="BF54" s="13">
        <f t="shared" si="37"/>
        <v>41.564519294689731</v>
      </c>
      <c r="BG54" s="20">
        <f t="shared" si="7"/>
        <v>356.63981068825092</v>
      </c>
      <c r="BH54" s="59">
        <f t="shared" si="8"/>
        <v>649.97314402158418</v>
      </c>
      <c r="BI54" s="59">
        <f ca="1">AVERAGE(OFFSET($BH$3,0,0,'Données projet'!$E$11+1,1))-AVERAGE(OFFSET($H$3,0,0,'Données projet'!$E$11+1,1))</f>
        <v>496.45286557802063</v>
      </c>
      <c r="BJ54" s="59">
        <f t="shared" si="38"/>
        <v>196.37811957788398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805.25375309715946</v>
      </c>
      <c r="S55" s="59">
        <f ca="1">AVERAGE(OFFSET($R$3,0,0,'Données projet'!$E$9+1,1))-AVERAGE(OFFSET($H$3,0,0,'Données projet'!$E$9+1,1))</f>
        <v>323.17232038705157</v>
      </c>
      <c r="T55" s="59">
        <f t="shared" si="34"/>
        <v>402.34685738619197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6.4</v>
      </c>
      <c r="AI55" s="13">
        <f>IF('Données projet'!$A$62&gt;35,AI54+AH55-AQ54,IF(A55&lt;'Données projet'!$A$62,$AF$205^A55,IF(A55='Données projet'!$A$62,'Données projet'!$B$62,AI54+AH55-AQ54)))</f>
        <v>203.80000000000007</v>
      </c>
      <c r="AJ55" s="13">
        <f>AI55*VLOOKUP('Données projet'!$B$10,Paramètres!$A$1:$I$89,3,0)*VLOOKUP('Données projet'!$B$10,Paramètres!$A$1:$I$89,5,0)</f>
        <v>133.52976000000007</v>
      </c>
      <c r="AK55" s="13">
        <f t="shared" si="35"/>
        <v>34.810707184454238</v>
      </c>
      <c r="AL55" s="20">
        <f t="shared" si="4"/>
        <v>293.19298034625791</v>
      </c>
      <c r="AM55" s="59">
        <f t="shared" si="5"/>
        <v>586.52631367959123</v>
      </c>
      <c r="AN55" s="59">
        <f ca="1">AVERAGE(OFFSET($AM$3,0,0,'Données projet'!$E$10+1,1))-AVERAGE(OFFSET($H$3,0,0,'Données projet'!$E$10+1,1))</f>
        <v>263.30962868541337</v>
      </c>
      <c r="AO55" s="59">
        <f t="shared" si="36"/>
        <v>269.61868559913404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5.9472859681676606</v>
      </c>
      <c r="AW55" s="21">
        <f>EXP(-LN(2)/2)*AW54+(1-EXP(-LN(2)/2))/(LN(2)/2)*AQ55*AT55*VLOOKUP('Données projet'!$B$10,Paramètres!$A$1:$I$89,3,0)*0.475*44/12</f>
        <v>2.7230287608469892</v>
      </c>
      <c r="AX55" s="21">
        <f t="shared" si="6"/>
        <v>8.6703147290146489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9.6586538461538431</v>
      </c>
      <c r="BD55" s="12">
        <f>IF('Données projet'!$A$88&gt;35,BD54+BC55-BL54,IF(A55&lt;'Données projet'!$A$88,$BA$205^A55,IF(A55='Données projet'!$A$88,'Données projet'!$B$88,BD54+BC55-BL54)))</f>
        <v>190.03525641025621</v>
      </c>
      <c r="BE55" s="13">
        <f>BD55*VLOOKUP('Données projet'!$B$11,Paramètres!$A$1:$I$89,3,0)*VLOOKUP('Données projet'!$B$11,Paramètres!$A$1:$I$89,5,0)</f>
        <v>171.94389999999981</v>
      </c>
      <c r="BF55" s="13">
        <f t="shared" si="37"/>
        <v>43.525104007742378</v>
      </c>
      <c r="BG55" s="20">
        <f t="shared" si="7"/>
        <v>375.27518198015099</v>
      </c>
      <c r="BH55" s="59">
        <f t="shared" si="8"/>
        <v>668.6085153134843</v>
      </c>
      <c r="BI55" s="59">
        <f ca="1">AVERAGE(OFFSET($BH$3,0,0,'Données projet'!$E$11+1,1))-AVERAGE(OFFSET($H$3,0,0,'Données projet'!$E$11+1,1))</f>
        <v>496.45286557802063</v>
      </c>
      <c r="BJ55" s="59">
        <f t="shared" si="38"/>
        <v>196.37811957788398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821.50078763234706</v>
      </c>
      <c r="S56" s="59">
        <f ca="1">AVERAGE(OFFSET($R$3,0,0,'Données projet'!$E$9+1,1))-AVERAGE(OFFSET($H$3,0,0,'Données projet'!$E$9+1,1))</f>
        <v>323.17232038705157</v>
      </c>
      <c r="T56" s="59">
        <f t="shared" si="34"/>
        <v>402.34685738619197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6.4</v>
      </c>
      <c r="AI56" s="13">
        <f>IF('Données projet'!$A$62&gt;35,AI55+AH56-AQ55,IF(A56&lt;'Données projet'!$A$62,$AF$205^A56,IF(A56='Données projet'!$A$62,'Données projet'!$B$62,AI55+AH56-AQ55)))</f>
        <v>210.20000000000007</v>
      </c>
      <c r="AJ56" s="13">
        <f>AI56*VLOOKUP('Données projet'!$B$10,Paramètres!$A$1:$I$89,3,0)*VLOOKUP('Données projet'!$B$10,Paramètres!$A$1:$I$89,5,0)</f>
        <v>137.72304000000005</v>
      </c>
      <c r="AK56" s="13">
        <f t="shared" si="35"/>
        <v>35.774889172094717</v>
      </c>
      <c r="AL56" s="20">
        <f t="shared" si="4"/>
        <v>302.1755599747317</v>
      </c>
      <c r="AM56" s="59">
        <f t="shared" si="5"/>
        <v>595.50889330806501</v>
      </c>
      <c r="AN56" s="59">
        <f ca="1">AVERAGE(OFFSET($AM$3,0,0,'Données projet'!$E$10+1,1))-AVERAGE(OFFSET($H$3,0,0,'Données projet'!$E$10+1,1))</f>
        <v>263.30962868541337</v>
      </c>
      <c r="AO56" s="59">
        <f t="shared" si="36"/>
        <v>269.61868559913404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5.7846571206139394</v>
      </c>
      <c r="AW56" s="21">
        <f>EXP(-LN(2)/2)*AW55+(1-EXP(-LN(2)/2))/(LN(2)/2)*AQ56*AT56*VLOOKUP('Données projet'!$B$10,Paramètres!$A$1:$I$89,3,0)*0.475*44/12</f>
        <v>1.9254721021609078</v>
      </c>
      <c r="AX56" s="21">
        <f t="shared" si="6"/>
        <v>7.7101292227748477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9.6586538461538431</v>
      </c>
      <c r="BD56" s="12">
        <f>IF('Données projet'!$A$88&gt;35,BD55+BC56-BL55,IF(A56&lt;'Données projet'!$A$88,$BA$205^A56,IF(A56='Données projet'!$A$88,'Données projet'!$B$88,BD55+BC56-BL55)))</f>
        <v>199.69391025641005</v>
      </c>
      <c r="BE56" s="13">
        <f>BD56*VLOOKUP('Données projet'!$B$11,Paramètres!$A$1:$I$89,3,0)*VLOOKUP('Données projet'!$B$11,Paramètres!$A$1:$I$89,5,0)</f>
        <v>180.68304999999981</v>
      </c>
      <c r="BF56" s="13">
        <f t="shared" si="37"/>
        <v>45.474118692283398</v>
      </c>
      <c r="BG56" s="20">
        <f t="shared" si="7"/>
        <v>393.89040213905992</v>
      </c>
      <c r="BH56" s="59">
        <f t="shared" si="8"/>
        <v>687.22373547239317</v>
      </c>
      <c r="BI56" s="59">
        <f ca="1">AVERAGE(OFFSET($BH$3,0,0,'Données projet'!$E$11+1,1))-AVERAGE(OFFSET($H$3,0,0,'Données projet'!$E$11+1,1))</f>
        <v>496.45286557802063</v>
      </c>
      <c r="BJ56" s="59">
        <f t="shared" si="38"/>
        <v>196.37811957788398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837.73730337609027</v>
      </c>
      <c r="S57" s="59">
        <f ca="1">AVERAGE(OFFSET($R$3,0,0,'Données projet'!$E$9+1,1))-AVERAGE(OFFSET($H$3,0,0,'Données projet'!$E$9+1,1))</f>
        <v>323.17232038705157</v>
      </c>
      <c r="T57" s="59">
        <f t="shared" si="34"/>
        <v>402.34685738619197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6.4</v>
      </c>
      <c r="AI57" s="13">
        <f>IF('Données projet'!$A$62&gt;35,AI56+AH57-AQ56,IF(A57&lt;'Données projet'!$A$62,$AF$205^A57,IF(A57='Données projet'!$A$62,'Données projet'!$B$62,AI56+AH57-AQ56)))</f>
        <v>216.60000000000008</v>
      </c>
      <c r="AJ57" s="13">
        <f>AI57*VLOOKUP('Données projet'!$B$10,Paramètres!$A$1:$I$89,3,0)*VLOOKUP('Données projet'!$B$10,Paramètres!$A$1:$I$89,5,0)</f>
        <v>141.91632000000007</v>
      </c>
      <c r="AK57" s="13">
        <f t="shared" si="35"/>
        <v>36.735659538535245</v>
      </c>
      <c r="AL57" s="20">
        <f t="shared" si="4"/>
        <v>311.15219769628237</v>
      </c>
      <c r="AM57" s="59">
        <f t="shared" si="5"/>
        <v>604.48553102961569</v>
      </c>
      <c r="AN57" s="59">
        <f ca="1">AVERAGE(OFFSET($AM$3,0,0,'Données projet'!$E$10+1,1))-AVERAGE(OFFSET($H$3,0,0,'Données projet'!$E$10+1,1))</f>
        <v>263.30962868541337</v>
      </c>
      <c r="AO57" s="59">
        <f t="shared" si="36"/>
        <v>269.61868559913404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5.6264753674488546</v>
      </c>
      <c r="AW57" s="21">
        <f>EXP(-LN(2)/2)*AW56+(1-EXP(-LN(2)/2))/(LN(2)/2)*AQ57*AT57*VLOOKUP('Données projet'!$B$10,Paramètres!$A$1:$I$89,3,0)*0.475*44/12</f>
        <v>1.3615143804234948</v>
      </c>
      <c r="AX57" s="21">
        <f t="shared" si="6"/>
        <v>6.9879897478723496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9.6586538461538431</v>
      </c>
      <c r="BD57" s="12">
        <f>IF('Données projet'!$A$88&gt;35,BD56+BC57-BL56,IF(A57&lt;'Données projet'!$A$88,$BA$205^A57,IF(A57='Données projet'!$A$88,'Données projet'!$B$88,BD56+BC57-BL56)))</f>
        <v>209.35256410256389</v>
      </c>
      <c r="BE57" s="13">
        <f>BD57*VLOOKUP('Données projet'!$B$11,Paramètres!$A$1:$I$89,3,0)*VLOOKUP('Données projet'!$B$11,Paramètres!$A$1:$I$89,5,0)</f>
        <v>189.4221999999998</v>
      </c>
      <c r="BF57" s="13">
        <f t="shared" si="37"/>
        <v>47.412186840122445</v>
      </c>
      <c r="BG57" s="20">
        <f t="shared" si="7"/>
        <v>412.48655707987956</v>
      </c>
      <c r="BH57" s="59">
        <f t="shared" si="8"/>
        <v>705.81989041321287</v>
      </c>
      <c r="BI57" s="59">
        <f ca="1">AVERAGE(OFFSET($BH$3,0,0,'Données projet'!$E$11+1,1))-AVERAGE(OFFSET($H$3,0,0,'Données projet'!$E$11+1,1))</f>
        <v>496.45286557802063</v>
      </c>
      <c r="BJ57" s="59">
        <f t="shared" si="38"/>
        <v>196.37811957788398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323.17232038705157</v>
      </c>
      <c r="T58" s="59">
        <f t="shared" si="34"/>
        <v>402.34685738619197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223</v>
      </c>
      <c r="AG58" s="12">
        <f>VLOOKUP(A58,'Données projet'!$A$61:$I$81,9,0)</f>
        <v>6.4</v>
      </c>
      <c r="AH58" s="12">
        <f t="array" ref="AH58">INDEX(AG:AG,MIN(IF(ISNUMBER(AG58:AG254),ROW(AG58:AG254),"")))</f>
        <v>6.4</v>
      </c>
      <c r="AI58" s="13">
        <f>IF('Données projet'!$A$62&gt;35,AI57+AH58-AQ57,IF(A58&lt;'Données projet'!$A$62,$AF$205^A58,IF(A58='Données projet'!$A$62,'Données projet'!$B$62,AI57+AH58-AQ57)))</f>
        <v>223.00000000000009</v>
      </c>
      <c r="AJ58" s="13">
        <f>AI58*VLOOKUP('Données projet'!$B$10,Paramètres!$A$1:$I$89,3,0)*VLOOKUP('Données projet'!$B$10,Paramètres!$A$1:$I$89,5,0)</f>
        <v>146.10960000000006</v>
      </c>
      <c r="AK58" s="13">
        <f t="shared" si="35"/>
        <v>37.693130662388469</v>
      </c>
      <c r="AL58" s="20">
        <f t="shared" si="4"/>
        <v>320.12308923699328</v>
      </c>
      <c r="AM58" s="59">
        <f t="shared" si="5"/>
        <v>613.45642257032659</v>
      </c>
      <c r="AN58" s="59">
        <f ca="1">AVERAGE(OFFSET($AM$3,0,0,'Données projet'!$E$10+1,1))-AVERAGE(OFFSET($H$3,0,0,'Données projet'!$E$10+1,1))</f>
        <v>263.30962868541337</v>
      </c>
      <c r="AO58" s="59">
        <f t="shared" si="36"/>
        <v>269.61868559913404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23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0.129</v>
      </c>
      <c r="AT58" s="16">
        <f>IF(ISNA(VLOOKUP(A58,'Données projet'!$A$61:$I$81,7,0)),0%,VLOOKUP(A58,'Données projet'!$A$61:$I$81,7,0))</f>
        <v>0.3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7.6131681689625221</v>
      </c>
      <c r="AW58" s="21">
        <f>EXP(-LN(2)/2)*AW57+(1-EXP(-LN(2)/2))/(LN(2)/2)*AQ58*AT58*VLOOKUP('Données projet'!$B$10,Paramètres!$A$1:$I$89,3,0)*0.475*44/12</f>
        <v>5.2283080087816618</v>
      </c>
      <c r="AX58" s="21">
        <f t="shared" si="6"/>
        <v>12.841476177744184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9.6586538461538431</v>
      </c>
      <c r="BD58" s="12">
        <f>IF('Données projet'!$A$88&gt;35,BD57+BC58-BL57,IF(A58&lt;'Données projet'!$A$88,$BA$205^A58,IF(A58='Données projet'!$A$88,'Données projet'!$B$88,BD57+BC58-BL57)))</f>
        <v>219.01121794871773</v>
      </c>
      <c r="BE58" s="13">
        <f>BD58*VLOOKUP('Données projet'!$B$11,Paramètres!$A$1:$I$89,3,0)*VLOOKUP('Données projet'!$B$11,Paramètres!$A$1:$I$89,5,0)</f>
        <v>198.1613499999998</v>
      </c>
      <c r="BF58" s="13">
        <f t="shared" si="37"/>
        <v>49.339871160864917</v>
      </c>
      <c r="BG58" s="20">
        <f t="shared" si="7"/>
        <v>431.06462685517266</v>
      </c>
      <c r="BH58" s="59">
        <f t="shared" si="8"/>
        <v>724.39796018850598</v>
      </c>
      <c r="BI58" s="59">
        <f ca="1">AVERAGE(OFFSET($BH$3,0,0,'Données projet'!$E$11+1,1))-AVERAGE(OFFSET($H$3,0,0,'Données projet'!$E$11+1,1))</f>
        <v>496.45286557802063</v>
      </c>
      <c r="BJ58" s="59">
        <f t="shared" si="38"/>
        <v>196.37811957788398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870.18018702091422</v>
      </c>
      <c r="S59" s="59">
        <f ca="1">AVERAGE(OFFSET($R$3,0,0,'Données projet'!$E$9+1,1))-AVERAGE(OFFSET($H$3,0,0,'Données projet'!$E$9+1,1))</f>
        <v>323.17232038705157</v>
      </c>
      <c r="T59" s="59">
        <f t="shared" si="34"/>
        <v>402.34685738619197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5.8</v>
      </c>
      <c r="AI59" s="13">
        <f>IF('Données projet'!$A$62&gt;35,AI58+AH59-AQ58,IF(A59&lt;'Données projet'!$A$62,$AF$205^A59,IF(A59='Données projet'!$A$62,'Données projet'!$B$62,AI58+AH59-AQ58)))</f>
        <v>205.8000000000001</v>
      </c>
      <c r="AJ59" s="13">
        <f>AI59*VLOOKUP('Données projet'!$B$10,Paramètres!$A$1:$I$89,3,0)*VLOOKUP('Données projet'!$B$10,Paramètres!$A$1:$I$89,5,0)</f>
        <v>134.84016000000005</v>
      </c>
      <c r="AK59" s="13">
        <f t="shared" si="35"/>
        <v>35.112387625030664</v>
      </c>
      <c r="AL59" s="20">
        <f t="shared" si="4"/>
        <v>296.00068711359518</v>
      </c>
      <c r="AM59" s="59">
        <f t="shared" si="5"/>
        <v>589.33402044692843</v>
      </c>
      <c r="AN59" s="59">
        <f ca="1">AVERAGE(OFFSET($AM$3,0,0,'Données projet'!$E$10+1,1))-AVERAGE(OFFSET($H$3,0,0,'Données projet'!$E$10+1,1))</f>
        <v>263.30962868541337</v>
      </c>
      <c r="AO59" s="59">
        <f t="shared" si="36"/>
        <v>269.61868559913404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7.4049856850231279</v>
      </c>
      <c r="AW59" s="21">
        <f>EXP(-LN(2)/2)*AW58+(1-EXP(-LN(2)/2))/(LN(2)/2)*AQ59*AT59*VLOOKUP('Données projet'!$B$10,Paramètres!$A$1:$I$89,3,0)*0.475*44/12</f>
        <v>3.6969720471414487</v>
      </c>
      <c r="AX59" s="21">
        <f t="shared" si="6"/>
        <v>11.101957732164577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9.6586538461538431</v>
      </c>
      <c r="BD59" s="12">
        <f>IF('Données projet'!$A$88&gt;35,BD58+BC59-BL58,IF(A59&lt;'Données projet'!$A$88,$BA$205^A59,IF(A59='Données projet'!$A$88,'Données projet'!$B$88,BD58+BC59-BL58)))</f>
        <v>228.66987179487157</v>
      </c>
      <c r="BE59" s="13">
        <f>BD59*VLOOKUP('Données projet'!$B$11,Paramètres!$A$1:$I$89,3,0)*VLOOKUP('Données projet'!$B$11,Paramètres!$A$1:$I$89,5,0)</f>
        <v>206.90049999999979</v>
      </c>
      <c r="BF59" s="13">
        <f t="shared" si="37"/>
        <v>51.257681925484725</v>
      </c>
      <c r="BG59" s="20">
        <f t="shared" si="7"/>
        <v>449.62550018688557</v>
      </c>
      <c r="BH59" s="59">
        <f t="shared" si="8"/>
        <v>742.95883352021883</v>
      </c>
      <c r="BI59" s="59">
        <f ca="1">AVERAGE(OFFSET($BH$3,0,0,'Données projet'!$E$11+1,1))-AVERAGE(OFFSET($H$3,0,0,'Données projet'!$E$11+1,1))</f>
        <v>496.45286557802063</v>
      </c>
      <c r="BJ59" s="59">
        <f t="shared" si="38"/>
        <v>196.37811957788398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323.17232038705157</v>
      </c>
      <c r="T60" s="59">
        <f t="shared" si="34"/>
        <v>402.34685738619197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5.8</v>
      </c>
      <c r="AI60" s="13">
        <f>IF('Données projet'!$A$62&gt;35,AI59+AH60-AQ59,IF(A60&lt;'Données projet'!$A$62,$AF$205^A60,IF(A60='Données projet'!$A$62,'Données projet'!$B$62,AI59+AH60-AQ59)))</f>
        <v>211.60000000000011</v>
      </c>
      <c r="AJ60" s="13">
        <f>AI60*VLOOKUP('Données projet'!$B$10,Paramètres!$A$1:$I$89,3,0)*VLOOKUP('Données projet'!$B$10,Paramètres!$A$1:$I$89,5,0)</f>
        <v>138.64032000000006</v>
      </c>
      <c r="AK60" s="13">
        <f t="shared" si="35"/>
        <v>35.985345198165817</v>
      </c>
      <c r="AL60" s="20">
        <f t="shared" si="4"/>
        <v>304.13970022013888</v>
      </c>
      <c r="AM60" s="59">
        <f t="shared" si="5"/>
        <v>597.47303355347219</v>
      </c>
      <c r="AN60" s="59">
        <f ca="1">AVERAGE(OFFSET($AM$3,0,0,'Données projet'!$E$10+1,1))-AVERAGE(OFFSET($H$3,0,0,'Données projet'!$E$10+1,1))</f>
        <v>263.30962868541337</v>
      </c>
      <c r="AO60" s="59">
        <f t="shared" si="36"/>
        <v>269.61868559913404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7.2024959620548978</v>
      </c>
      <c r="AW60" s="21">
        <f>EXP(-LN(2)/2)*AW59+(1-EXP(-LN(2)/2))/(LN(2)/2)*AQ60*AT60*VLOOKUP('Données projet'!$B$10,Paramètres!$A$1:$I$89,3,0)*0.475*44/12</f>
        <v>2.6141540043908313</v>
      </c>
      <c r="AX60" s="21">
        <f t="shared" si="6"/>
        <v>9.8166499664457287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9.6586538461538431</v>
      </c>
      <c r="BD60" s="12">
        <f>IF('Données projet'!$A$88&gt;35,BD59+BC60-BL59,IF(A60&lt;'Données projet'!$A$88,$BA$205^A60,IF(A60='Données projet'!$A$88,'Données projet'!$B$88,BD59+BC60-BL59)))</f>
        <v>238.32852564102541</v>
      </c>
      <c r="BE60" s="13">
        <f>BD60*VLOOKUP('Données projet'!$B$11,Paramètres!$A$1:$I$89,3,0)*VLOOKUP('Données projet'!$B$11,Paramètres!$A$1:$I$89,5,0)</f>
        <v>215.63964999999979</v>
      </c>
      <c r="BF60" s="13">
        <f t="shared" si="37"/>
        <v>53.166083860481116</v>
      </c>
      <c r="BG60" s="20">
        <f t="shared" si="7"/>
        <v>468.16998647367092</v>
      </c>
      <c r="BH60" s="59">
        <f t="shared" si="8"/>
        <v>761.50331980700423</v>
      </c>
      <c r="BI60" s="59">
        <f ca="1">AVERAGE(OFFSET($BH$3,0,0,'Données projet'!$E$11+1,1))-AVERAGE(OFFSET($H$3,0,0,'Données projet'!$E$11+1,1))</f>
        <v>496.45286557802063</v>
      </c>
      <c r="BJ60" s="59">
        <f t="shared" si="38"/>
        <v>196.37811957788398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323.17232038705157</v>
      </c>
      <c r="T61" s="59">
        <f t="shared" si="34"/>
        <v>402.34685738619197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5.8</v>
      </c>
      <c r="AI61" s="13">
        <f>IF('Données projet'!$A$62&gt;35,AI60+AH61-AQ60,IF(A61&lt;'Données projet'!$A$62,$AF$205^A61,IF(A61='Données projet'!$A$62,'Données projet'!$B$62,AI60+AH61-AQ60)))</f>
        <v>217.40000000000012</v>
      </c>
      <c r="AJ61" s="13">
        <f>AI61*VLOOKUP('Données projet'!$B$10,Paramètres!$A$1:$I$89,3,0)*VLOOKUP('Données projet'!$B$10,Paramètres!$A$1:$I$89,5,0)</f>
        <v>142.44048000000009</v>
      </c>
      <c r="AK61" s="13">
        <f t="shared" si="35"/>
        <v>36.855521628538284</v>
      </c>
      <c r="AL61" s="20">
        <f t="shared" si="4"/>
        <v>312.27386950303764</v>
      </c>
      <c r="AM61" s="59">
        <f t="shared" si="5"/>
        <v>605.60720283637102</v>
      </c>
      <c r="AN61" s="59">
        <f ca="1">AVERAGE(OFFSET($AM$3,0,0,'Données projet'!$E$10+1,1))-AVERAGE(OFFSET($H$3,0,0,'Données projet'!$E$10+1,1))</f>
        <v>263.30962868541337</v>
      </c>
      <c r="AO61" s="59">
        <f t="shared" si="36"/>
        <v>269.61868559913404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7.0055433312097053</v>
      </c>
      <c r="AW61" s="21">
        <f>EXP(-LN(2)/2)*AW60+(1-EXP(-LN(2)/2))/(LN(2)/2)*AQ61*AT61*VLOOKUP('Données projet'!$B$10,Paramètres!$A$1:$I$89,3,0)*0.475*44/12</f>
        <v>1.8484860235707248</v>
      </c>
      <c r="AX61" s="21">
        <f t="shared" si="6"/>
        <v>8.8540293547804296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247.98717948717947</v>
      </c>
      <c r="BB61" s="12">
        <f>VLOOKUP(A61,'Données projet'!$A$87:$I$107,9,0)</f>
        <v>9.6586538461538431</v>
      </c>
      <c r="BC61" s="12">
        <f t="array" ref="BC61">INDEX(BB:BB,MIN(IF(ISNUMBER(BB61:BB257),ROW(BB61:BB257),"")))</f>
        <v>9.6586538461538431</v>
      </c>
      <c r="BD61" s="12">
        <f>IF('Données projet'!$A$88&gt;35,BD60+BC61-BL60,IF(A61&lt;'Données projet'!$A$88,$BA$205^A61,IF(A61='Données projet'!$A$88,'Données projet'!$B$88,BD60+BC61-BL60)))</f>
        <v>247.98717948717925</v>
      </c>
      <c r="BE61" s="13">
        <f>BD61*VLOOKUP('Données projet'!$B$11,Paramètres!$A$1:$I$89,3,0)*VLOOKUP('Données projet'!$B$11,Paramètres!$A$1:$I$89,5,0)</f>
        <v>224.37879999999979</v>
      </c>
      <c r="BF61" s="13">
        <f t="shared" si="37"/>
        <v>55.065501892979434</v>
      </c>
      <c r="BG61" s="20">
        <f t="shared" si="7"/>
        <v>486.69882579693882</v>
      </c>
      <c r="BH61" s="59">
        <f t="shared" si="8"/>
        <v>780.03215913027213</v>
      </c>
      <c r="BI61" s="59">
        <f ca="1">AVERAGE(OFFSET($BH$3,0,0,'Données projet'!$E$11+1,1))-AVERAGE(OFFSET($H$3,0,0,'Données projet'!$E$11+1,1))</f>
        <v>496.45286557802063</v>
      </c>
      <c r="BJ61" s="59">
        <f t="shared" si="38"/>
        <v>196.37811957788398</v>
      </c>
      <c r="BK61" s="15">
        <f>IF(ISNA(VLOOKUP(A61,'Données projet'!$A$87:$I$107,3,0)),0,VLOOKUP(A61,'Données projet'!$A$87:$I$107,3,0))</f>
        <v>4</v>
      </c>
      <c r="BL61" s="15">
        <f>IF(ISNA(VLOOKUP(A61,'Données projet'!$A$87:$I$107,4,0)),0,VLOOKUP(A61,'Données projet'!$A$87:$I$107,4,0))</f>
        <v>47.467948717948715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323.17232038705157</v>
      </c>
      <c r="T62" s="59">
        <f t="shared" si="34"/>
        <v>402.34685738619197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5.8</v>
      </c>
      <c r="AI62" s="13">
        <f>IF('Données projet'!$A$62&gt;35,AI61+AH62-AQ61,IF(A62&lt;'Données projet'!$A$62,$AF$205^A62,IF(A62='Données projet'!$A$62,'Données projet'!$B$62,AI61+AH62-AQ61)))</f>
        <v>223.20000000000013</v>
      </c>
      <c r="AJ62" s="13">
        <f>AI62*VLOOKUP('Données projet'!$B$10,Paramètres!$A$1:$I$89,3,0)*VLOOKUP('Données projet'!$B$10,Paramètres!$A$1:$I$89,5,0)</f>
        <v>146.2406400000001</v>
      </c>
      <c r="AK62" s="13">
        <f t="shared" si="35"/>
        <v>37.722999642090628</v>
      </c>
      <c r="AL62" s="20">
        <f t="shared" si="4"/>
        <v>320.40333904330799</v>
      </c>
      <c r="AM62" s="59">
        <f t="shared" si="5"/>
        <v>613.73667237664131</v>
      </c>
      <c r="AN62" s="59">
        <f ca="1">AVERAGE(OFFSET($AM$3,0,0,'Données projet'!$E$10+1,1))-AVERAGE(OFFSET($H$3,0,0,'Données projet'!$E$10+1,1))</f>
        <v>263.30962868541337</v>
      </c>
      <c r="AO62" s="59">
        <f t="shared" si="36"/>
        <v>269.61868559913404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6.8139763804122637</v>
      </c>
      <c r="AW62" s="21">
        <f>EXP(-LN(2)/2)*AW61+(1-EXP(-LN(2)/2))/(LN(2)/2)*AQ62*AT62*VLOOKUP('Données projet'!$B$10,Paramètres!$A$1:$I$89,3,0)*0.475*44/12</f>
        <v>1.3070770021954159</v>
      </c>
      <c r="AX62" s="21">
        <f t="shared" si="6"/>
        <v>8.1210533826076805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9.2219551282051242</v>
      </c>
      <c r="BD62" s="12">
        <f>IF('Données projet'!$A$88&gt;35,BD61+BC62-BL61,IF(A62&lt;'Données projet'!$A$88,$BA$205^A62,IF(A62='Données projet'!$A$88,'Données projet'!$B$88,BD61+BC62-BL61)))</f>
        <v>209.74118589743563</v>
      </c>
      <c r="BE62" s="13">
        <f>BD62*VLOOKUP('Données projet'!$B$11,Paramètres!$A$1:$I$89,3,0)*VLOOKUP('Données projet'!$B$11,Paramètres!$A$1:$I$89,5,0)</f>
        <v>189.77382499999976</v>
      </c>
      <c r="BF62" s="13">
        <f t="shared" si="37"/>
        <v>47.489945304141962</v>
      </c>
      <c r="BG62" s="20">
        <f t="shared" si="7"/>
        <v>413.23439994638017</v>
      </c>
      <c r="BH62" s="59">
        <f t="shared" si="8"/>
        <v>706.56773327971348</v>
      </c>
      <c r="BI62" s="59">
        <f ca="1">AVERAGE(OFFSET($BH$3,0,0,'Données projet'!$E$11+1,1))-AVERAGE(OFFSET($H$3,0,0,'Données projet'!$E$11+1,1))</f>
        <v>496.45286557802063</v>
      </c>
      <c r="BJ62" s="59">
        <f t="shared" si="38"/>
        <v>196.37811957788398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323.17232038705157</v>
      </c>
      <c r="T63" s="59">
        <f t="shared" si="34"/>
        <v>402.34685738619197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229</v>
      </c>
      <c r="AG63" s="12">
        <f>VLOOKUP(A63,'Données projet'!$A$61:$I$81,9,0)</f>
        <v>5.8</v>
      </c>
      <c r="AH63" s="12">
        <f t="array" ref="AH63">INDEX(AG:AG,MIN(IF(ISNUMBER(AG63:AG259),ROW(AG63:AG259),"")))</f>
        <v>5.8</v>
      </c>
      <c r="AI63" s="13">
        <f>IF('Données projet'!$A$62&gt;35,AI62+AH63-AQ62,IF(A63&lt;'Données projet'!$A$62,$AF$205^A63,IF(A63='Données projet'!$A$62,'Données projet'!$B$62,AI62+AH63-AQ62)))</f>
        <v>229.00000000000014</v>
      </c>
      <c r="AJ63" s="13">
        <f>AI63*VLOOKUP('Données projet'!$B$10,Paramètres!$A$1:$I$89,3,0)*VLOOKUP('Données projet'!$B$10,Paramètres!$A$1:$I$89,5,0)</f>
        <v>150.04080000000008</v>
      </c>
      <c r="AK63" s="13">
        <f t="shared" si="35"/>
        <v>38.587857420495212</v>
      </c>
      <c r="AL63" s="20">
        <f t="shared" si="4"/>
        <v>328.52824500736261</v>
      </c>
      <c r="AM63" s="59">
        <f t="shared" si="5"/>
        <v>621.86157834069593</v>
      </c>
      <c r="AN63" s="59">
        <f ca="1">AVERAGE(OFFSET($AM$3,0,0,'Données projet'!$E$10+1,1))-AVERAGE(OFFSET($H$3,0,0,'Données projet'!$E$10+1,1))</f>
        <v>263.30962868541337</v>
      </c>
      <c r="AO63" s="59">
        <f t="shared" si="36"/>
        <v>269.61868559913404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22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0.129</v>
      </c>
      <c r="AT63" s="16">
        <f>IF(ISNA(VLOOKUP(A63,'Données projet'!$A$61:$I$81,7,0)),0%,VLOOKUP(A63,'Données projet'!$A$61:$I$81,7,0))</f>
        <v>0.3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8.6751295535689152</v>
      </c>
      <c r="AW63" s="21">
        <f>EXP(-LN(2)/2)*AW62+(1-EXP(-LN(2)/2))/(LN(2)/2)*AQ63*AT63*VLOOKUP('Données projet'!$B$10,Paramètres!$A$1:$I$89,3,0)*0.475*44/12</f>
        <v>5.0043553191517347</v>
      </c>
      <c r="AX63" s="21">
        <f t="shared" si="6"/>
        <v>13.67948487272065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9.2219551282051242</v>
      </c>
      <c r="BD63" s="12">
        <f>IF('Données projet'!$A$88&gt;35,BD62+BC63-BL62,IF(A63&lt;'Données projet'!$A$88,$BA$205^A63,IF(A63='Données projet'!$A$88,'Données projet'!$B$88,BD62+BC63-BL62)))</f>
        <v>218.96314102564077</v>
      </c>
      <c r="BE63" s="13">
        <f>BD63*VLOOKUP('Données projet'!$B$11,Paramètres!$A$1:$I$89,3,0)*VLOOKUP('Données projet'!$B$11,Paramètres!$A$1:$I$89,5,0)</f>
        <v>198.11784999999978</v>
      </c>
      <c r="BF63" s="13">
        <f t="shared" si="37"/>
        <v>49.330300772275599</v>
      </c>
      <c r="BG63" s="20">
        <f t="shared" si="7"/>
        <v>430.97219592837956</v>
      </c>
      <c r="BH63" s="59">
        <f t="shared" si="8"/>
        <v>724.30552926171288</v>
      </c>
      <c r="BI63" s="59">
        <f ca="1">AVERAGE(OFFSET($BH$3,0,0,'Données projet'!$E$11+1,1))-AVERAGE(OFFSET($H$3,0,0,'Données projet'!$E$11+1,1))</f>
        <v>496.45286557802063</v>
      </c>
      <c r="BJ63" s="59">
        <f t="shared" si="38"/>
        <v>196.37811957788398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323.17232038705157</v>
      </c>
      <c r="T64" s="59">
        <f t="shared" si="34"/>
        <v>402.34685738619197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212.20000000000013</v>
      </c>
      <c r="AJ64" s="13">
        <f>AI64*VLOOKUP('Données projet'!$B$10,Paramètres!$A$1:$I$89,3,0)*VLOOKUP('Données projet'!$B$10,Paramètres!$A$1:$I$89,5,0)</f>
        <v>139.0334400000001</v>
      </c>
      <c r="AK64" s="13">
        <f t="shared" si="35"/>
        <v>36.07549097093554</v>
      </c>
      <c r="AL64" s="20">
        <f t="shared" si="4"/>
        <v>304.98138810771292</v>
      </c>
      <c r="AM64" s="59">
        <f t="shared" si="5"/>
        <v>598.31472144104623</v>
      </c>
      <c r="AN64" s="59">
        <f ca="1">AVERAGE(OFFSET($AM$3,0,0,'Données projet'!$E$10+1,1))-AVERAGE(OFFSET($H$3,0,0,'Données projet'!$E$10+1,1))</f>
        <v>263.30962868541337</v>
      </c>
      <c r="AO64" s="59">
        <f t="shared" si="36"/>
        <v>269.61868559913404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8.4379076797213379</v>
      </c>
      <c r="AW64" s="21">
        <f>EXP(-LN(2)/2)*AW63+(1-EXP(-LN(2)/2))/(LN(2)/2)*AQ64*AT64*VLOOKUP('Données projet'!$B$10,Paramètres!$A$1:$I$89,3,0)*0.475*44/12</f>
        <v>3.5386135816391611</v>
      </c>
      <c r="AX64" s="21">
        <f t="shared" si="6"/>
        <v>11.976521261360499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9.2219551282051242</v>
      </c>
      <c r="BD64" s="12">
        <f>IF('Données projet'!$A$88&gt;35,BD63+BC64-BL63,IF(A64&lt;'Données projet'!$A$88,$BA$205^A64,IF(A64='Données projet'!$A$88,'Données projet'!$B$88,BD63+BC64-BL63)))</f>
        <v>228.1850961538459</v>
      </c>
      <c r="BE64" s="13">
        <f>BD64*VLOOKUP('Données projet'!$B$11,Paramètres!$A$1:$I$89,3,0)*VLOOKUP('Données projet'!$B$11,Paramètres!$A$1:$I$89,5,0)</f>
        <v>206.46187499999974</v>
      </c>
      <c r="BF64" s="13">
        <f t="shared" si="37"/>
        <v>51.161653428040907</v>
      </c>
      <c r="BG64" s="20">
        <f t="shared" si="7"/>
        <v>448.69431201217071</v>
      </c>
      <c r="BH64" s="59">
        <f t="shared" si="8"/>
        <v>742.02764534550397</v>
      </c>
      <c r="BI64" s="59">
        <f ca="1">AVERAGE(OFFSET($BH$3,0,0,'Données projet'!$E$11+1,1))-AVERAGE(OFFSET($H$3,0,0,'Données projet'!$E$11+1,1))</f>
        <v>496.45286557802063</v>
      </c>
      <c r="BJ64" s="59">
        <f t="shared" si="38"/>
        <v>196.37811957788398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323.17232038705157</v>
      </c>
      <c r="T65" s="59">
        <f t="shared" si="34"/>
        <v>402.34685738619197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217.40000000000012</v>
      </c>
      <c r="AJ65" s="13">
        <f>AI65*VLOOKUP('Données projet'!$B$10,Paramètres!$A$1:$I$89,3,0)*VLOOKUP('Données projet'!$B$10,Paramètres!$A$1:$I$89,5,0)</f>
        <v>142.44048000000009</v>
      </c>
      <c r="AK65" s="13">
        <f t="shared" si="35"/>
        <v>36.855521628538284</v>
      </c>
      <c r="AL65" s="20">
        <f t="shared" si="4"/>
        <v>312.27386950303764</v>
      </c>
      <c r="AM65" s="59">
        <f t="shared" si="5"/>
        <v>605.60720283637102</v>
      </c>
      <c r="AN65" s="59">
        <f ca="1">AVERAGE(OFFSET($AM$3,0,0,'Données projet'!$E$10+1,1))-AVERAGE(OFFSET($H$3,0,0,'Données projet'!$E$10+1,1))</f>
        <v>263.30962868541337</v>
      </c>
      <c r="AO65" s="59">
        <f t="shared" si="36"/>
        <v>269.61868559913404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8.2071726504890776</v>
      </c>
      <c r="AW65" s="21">
        <f>EXP(-LN(2)/2)*AW64+(1-EXP(-LN(2)/2))/(LN(2)/2)*AQ65*AT65*VLOOKUP('Données projet'!$B$10,Paramètres!$A$1:$I$89,3,0)*0.475*44/12</f>
        <v>2.5021776595758678</v>
      </c>
      <c r="AX65" s="21">
        <f t="shared" si="6"/>
        <v>10.709350310064945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9.2219551282051242</v>
      </c>
      <c r="BD65" s="12">
        <f>IF('Données projet'!$A$88&gt;35,BD64+BC65-BL64,IF(A65&lt;'Données projet'!$A$88,$BA$205^A65,IF(A65='Données projet'!$A$88,'Données projet'!$B$88,BD64+BC65-BL64)))</f>
        <v>237.40705128205104</v>
      </c>
      <c r="BE65" s="13">
        <f>BD65*VLOOKUP('Données projet'!$B$11,Paramètres!$A$1:$I$89,3,0)*VLOOKUP('Données projet'!$B$11,Paramètres!$A$1:$I$89,5,0)</f>
        <v>214.80589999999978</v>
      </c>
      <c r="BF65" s="13">
        <f t="shared" si="37"/>
        <v>52.984408736730096</v>
      </c>
      <c r="BG65" s="20">
        <f t="shared" si="7"/>
        <v>466.40145438313783</v>
      </c>
      <c r="BH65" s="59">
        <f t="shared" si="8"/>
        <v>759.73478771647115</v>
      </c>
      <c r="BI65" s="59">
        <f ca="1">AVERAGE(OFFSET($BH$3,0,0,'Données projet'!$E$11+1,1))-AVERAGE(OFFSET($H$3,0,0,'Données projet'!$E$11+1,1))</f>
        <v>496.45286557802063</v>
      </c>
      <c r="BJ65" s="59">
        <f t="shared" si="38"/>
        <v>196.37811957788398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323.17232038705157</v>
      </c>
      <c r="T66" s="59">
        <f t="shared" si="34"/>
        <v>402.34685738619197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222.60000000000011</v>
      </c>
      <c r="AJ66" s="13">
        <f>AI66*VLOOKUP('Données projet'!$B$10,Paramètres!$A$1:$I$89,3,0)*VLOOKUP('Données projet'!$B$10,Paramètres!$A$1:$I$89,5,0)</f>
        <v>145.84752000000009</v>
      </c>
      <c r="AK66" s="13">
        <f t="shared" si="35"/>
        <v>37.633383344887093</v>
      </c>
      <c r="AL66" s="20">
        <f t="shared" si="4"/>
        <v>319.56257332567844</v>
      </c>
      <c r="AM66" s="59">
        <f t="shared" si="5"/>
        <v>612.89590665901176</v>
      </c>
      <c r="AN66" s="59">
        <f ca="1">AVERAGE(OFFSET($AM$3,0,0,'Données projet'!$E$10+1,1))-AVERAGE(OFFSET($H$3,0,0,'Données projet'!$E$10+1,1))</f>
        <v>263.30962868541337</v>
      </c>
      <c r="AO66" s="59">
        <f t="shared" si="36"/>
        <v>269.61868559913404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7.9827470827650018</v>
      </c>
      <c r="AW66" s="21">
        <f>EXP(-LN(2)/2)*AW65+(1-EXP(-LN(2)/2))/(LN(2)/2)*AQ66*AT66*VLOOKUP('Données projet'!$B$10,Paramètres!$A$1:$I$89,3,0)*0.475*44/12</f>
        <v>1.769306790819581</v>
      </c>
      <c r="AX66" s="21">
        <f t="shared" si="6"/>
        <v>9.7520538735845825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9.2219551282051242</v>
      </c>
      <c r="BD66" s="12">
        <f>IF('Données projet'!$A$88&gt;35,BD65+BC66-BL65,IF(A66&lt;'Données projet'!$A$88,$BA$205^A66,IF(A66='Données projet'!$A$88,'Données projet'!$B$88,BD65+BC66-BL65)))</f>
        <v>246.62900641025618</v>
      </c>
      <c r="BE66" s="13">
        <f>BD66*VLOOKUP('Données projet'!$B$11,Paramètres!$A$1:$I$89,3,0)*VLOOKUP('Données projet'!$B$11,Paramètres!$A$1:$I$89,5,0)</f>
        <v>223.1499249999998</v>
      </c>
      <c r="BF66" s="13">
        <f t="shared" si="37"/>
        <v>54.798938879785823</v>
      </c>
      <c r="BG66" s="20">
        <f t="shared" si="7"/>
        <v>484.09427125729326</v>
      </c>
      <c r="BH66" s="59">
        <f t="shared" si="8"/>
        <v>777.42760459062652</v>
      </c>
      <c r="BI66" s="59">
        <f ca="1">AVERAGE(OFFSET($BH$3,0,0,'Données projet'!$E$11+1,1))-AVERAGE(OFFSET($H$3,0,0,'Données projet'!$E$11+1,1))</f>
        <v>496.45286557802063</v>
      </c>
      <c r="BJ66" s="59">
        <f t="shared" si="38"/>
        <v>196.37811957788398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323.17232038705157</v>
      </c>
      <c r="T67" s="59">
        <f t="shared" si="34"/>
        <v>402.34685738619197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227.8000000000001</v>
      </c>
      <c r="AJ67" s="13">
        <f>AI67*VLOOKUP('Données projet'!$B$10,Paramètres!$A$1:$I$89,3,0)*VLOOKUP('Données projet'!$B$10,Paramètres!$A$1:$I$89,5,0)</f>
        <v>149.25456000000005</v>
      </c>
      <c r="AK67" s="13">
        <f t="shared" si="35"/>
        <v>38.409132618275962</v>
      </c>
      <c r="AL67" s="20">
        <f t="shared" si="4"/>
        <v>326.84759797683068</v>
      </c>
      <c r="AM67" s="59">
        <f t="shared" si="5"/>
        <v>620.18093131016394</v>
      </c>
      <c r="AN67" s="59">
        <f ca="1">AVERAGE(OFFSET($AM$3,0,0,'Données projet'!$E$10+1,1))-AVERAGE(OFFSET($H$3,0,0,'Données projet'!$E$10+1,1))</f>
        <v>263.30962868541337</v>
      </c>
      <c r="AO67" s="59">
        <f t="shared" si="36"/>
        <v>269.61868559913404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7.7644584439923685</v>
      </c>
      <c r="AW67" s="21">
        <f>EXP(-LN(2)/2)*AW66+(1-EXP(-LN(2)/2))/(LN(2)/2)*AQ67*AT67*VLOOKUP('Données projet'!$B$10,Paramètres!$A$1:$I$89,3,0)*0.475*44/12</f>
        <v>1.2510888297879341</v>
      </c>
      <c r="AX67" s="21">
        <f t="shared" si="6"/>
        <v>9.0155472737803031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9.2219551282051242</v>
      </c>
      <c r="BD67" s="12">
        <f>IF('Données projet'!$A$88&gt;35,BD66+BC67-BL66,IF(A67&lt;'Données projet'!$A$88,$BA$205^A67,IF(A67='Données projet'!$A$88,'Données projet'!$B$88,BD66+BC67-BL66)))</f>
        <v>255.85096153846132</v>
      </c>
      <c r="BE67" s="13">
        <f>BD67*VLOOKUP('Données projet'!$B$11,Paramètres!$A$1:$I$89,3,0)*VLOOKUP('Données projet'!$B$11,Paramètres!$A$1:$I$89,5,0)</f>
        <v>231.49394999999978</v>
      </c>
      <c r="BF67" s="13">
        <f t="shared" si="37"/>
        <v>56.605586628604179</v>
      </c>
      <c r="BG67" s="20">
        <f t="shared" si="7"/>
        <v>501.77335962815192</v>
      </c>
      <c r="BH67" s="59">
        <f t="shared" si="8"/>
        <v>795.10669296148524</v>
      </c>
      <c r="BI67" s="59">
        <f ca="1">AVERAGE(OFFSET($BH$3,0,0,'Données projet'!$E$11+1,1))-AVERAGE(OFFSET($H$3,0,0,'Données projet'!$E$11+1,1))</f>
        <v>496.45286557802063</v>
      </c>
      <c r="BJ67" s="59">
        <f t="shared" si="38"/>
        <v>196.37811957788398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323.17232038705157</v>
      </c>
      <c r="T68" s="59">
        <f t="shared" si="34"/>
        <v>402.34685738619197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233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233.00000000000009</v>
      </c>
      <c r="AJ68" s="13">
        <f>AI68*VLOOKUP('Données projet'!$B$10,Paramètres!$A$1:$I$89,3,0)*VLOOKUP('Données projet'!$B$10,Paramètres!$A$1:$I$89,5,0)</f>
        <v>152.66160000000005</v>
      </c>
      <c r="AK68" s="13">
        <f t="shared" si="35"/>
        <v>39.182823220412118</v>
      </c>
      <c r="AL68" s="20">
        <f t="shared" ref="AL68:AL131" si="58">(AJ68+AK68)*0.475*44/12</f>
        <v>334.12903710888452</v>
      </c>
      <c r="AM68" s="59">
        <f t="shared" ref="AM68:AM131" si="59">AL68+(AD68+AE68)*44/12</f>
        <v>627.46237044221789</v>
      </c>
      <c r="AN68" s="59">
        <f ca="1">AVERAGE(OFFSET($AM$3,0,0,'Données projet'!$E$10+1,1))-AVERAGE(OFFSET($H$3,0,0,'Données projet'!$E$10+1,1))</f>
        <v>263.30962868541337</v>
      </c>
      <c r="AO68" s="59">
        <f t="shared" si="36"/>
        <v>269.61868559913404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20</v>
      </c>
      <c r="AR68" s="16">
        <f>IF(ISNA(VLOOKUP(A68,'Données projet'!$A$61:$I$81,5,0)),0%,VLOOKUP(A68,'Données projet'!$A$61:$I$81,5,0)*VLOOKUP('Données projet'!$B$10,Paramètres!$A$1:$I$89,7,0))</f>
        <v>4.3000000000000003E-2</v>
      </c>
      <c r="AS68" s="16">
        <f>IF(ISNA(VLOOKUP(A68,'Données projet'!$A$61:$I$81,6,0)),0%,VLOOKUP(A68,'Données projet'!$A$61:$I$81,6,0)*VLOOKUP('Données projet'!$B$10,Paramètres!$A$1:$I$89,7,0))</f>
        <v>0.17200000000000001</v>
      </c>
      <c r="AT68" s="16">
        <f>IF(ISNA(VLOOKUP(A68,'Données projet'!$A$61:$I$81,7,0)),0%,VLOOKUP(A68,'Données projet'!$A$61:$I$81,7,0))</f>
        <v>0.3</v>
      </c>
      <c r="AU68" s="21">
        <f>EXP(-LN(2)/35)*AU67+(1-EXP(-LN(2)/35))/(LN(2)/35)*AQ68*AR68*VLOOKUP('Données projet'!$B$10,Paramètres!$A$1:$I$89,3,0)*0.475*44/12</f>
        <v>0.62290160569619046</v>
      </c>
      <c r="AV68" s="21">
        <f>EXP(-LN(2)/25)*AV67+(1-EXP(-LN(2)/25))/(LN(2)/25)*Calculateur!AQ68*Calculateur!AS68*VLOOKUP('Données projet'!$B$10,Paramètres!$A$1:$I$89,3,0)*0.475*44/12</f>
        <v>10.033934938448056</v>
      </c>
      <c r="AW68" s="21">
        <f>EXP(-LN(2)/2)*AW67+(1-EXP(-LN(2)/2))/(LN(2)/2)*AQ68*AT68*VLOOKUP('Données projet'!$B$10,Paramètres!$A$1:$I$89,3,0)*0.475*44/12</f>
        <v>4.5938464021064931</v>
      </c>
      <c r="AX68" s="21">
        <f t="shared" ref="AX68:AX131" si="60">SUM(AU68:AW68)</f>
        <v>15.250682946250739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9.2219551282051242</v>
      </c>
      <c r="BD68" s="12">
        <f>IF('Données projet'!$A$88&gt;35,BD67+BC68-BL67,IF(A68&lt;'Données projet'!$A$88,$BA$205^A68,IF(A68='Données projet'!$A$88,'Données projet'!$B$88,BD67+BC68-BL67)))</f>
        <v>265.07291666666646</v>
      </c>
      <c r="BE68" s="13">
        <f>BD68*VLOOKUP('Données projet'!$B$11,Paramètres!$A$1:$I$89,3,0)*VLOOKUP('Données projet'!$B$11,Paramètres!$A$1:$I$89,5,0)</f>
        <v>239.83797499999983</v>
      </c>
      <c r="BF68" s="13">
        <f t="shared" si="37"/>
        <v>58.404668644128108</v>
      </c>
      <c r="BG68" s="20">
        <f t="shared" ref="BG68:BG131" si="61">(BE68+BF68)*0.475*44/12</f>
        <v>519.4392710135229</v>
      </c>
      <c r="BH68" s="59">
        <f t="shared" ref="BH68:BH131" si="62">BG68+(AY68+AZ68)*44/12</f>
        <v>812.77260434685627</v>
      </c>
      <c r="BI68" s="59">
        <f ca="1">AVERAGE(OFFSET($BH$3,0,0,'Données projet'!$E$11+1,1))-AVERAGE(OFFSET($H$3,0,0,'Données projet'!$E$11+1,1))</f>
        <v>496.45286557802063</v>
      </c>
      <c r="BJ68" s="59">
        <f t="shared" si="38"/>
        <v>196.37811957788398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323.17232038705157</v>
      </c>
      <c r="T69" s="59">
        <f t="shared" ref="T69:T132" si="88">$T$3</f>
        <v>402.34685738619197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4.8</v>
      </c>
      <c r="AI69" s="13">
        <f>IF('Données projet'!$A$62&gt;35,AI68+AH69-AQ68,IF(A69&lt;'Données projet'!$A$62,$AF$205^A69,IF(A69='Données projet'!$A$62,'Données projet'!$B$62,AI68+AH69-AQ68)))</f>
        <v>217.8000000000001</v>
      </c>
      <c r="AJ69" s="13">
        <f>AI69*VLOOKUP('Données projet'!$B$10,Paramètres!$A$1:$I$89,3,0)*VLOOKUP('Données projet'!$B$10,Paramètres!$A$1:$I$89,5,0)</f>
        <v>142.70256000000006</v>
      </c>
      <c r="AK69" s="13">
        <f t="shared" ref="AK69:AK132" si="89">EXP(-1.0587+0.8836*LN(AJ69)+0.284)</f>
        <v>36.91543341153259</v>
      </c>
      <c r="AL69" s="20">
        <f t="shared" si="58"/>
        <v>312.83467185841943</v>
      </c>
      <c r="AM69" s="59">
        <f t="shared" si="59"/>
        <v>606.16800519175274</v>
      </c>
      <c r="AN69" s="59">
        <f ca="1">AVERAGE(OFFSET($AM$3,0,0,'Données projet'!$E$10+1,1))-AVERAGE(OFFSET($H$3,0,0,'Données projet'!$E$10+1,1))</f>
        <v>263.30962868541337</v>
      </c>
      <c r="AO69" s="59">
        <f t="shared" ref="AO69:AO132" si="90">$AO$3</f>
        <v>269.61868559913404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0.61068688514095237</v>
      </c>
      <c r="AV69" s="21">
        <f>EXP(-LN(2)/25)*AV68+(1-EXP(-LN(2)/25))/(LN(2)/25)*Calculateur!AQ69*Calculateur!AS69*VLOOKUP('Données projet'!$B$10,Paramètres!$A$1:$I$89,3,0)*0.475*44/12</f>
        <v>9.7595564598944886</v>
      </c>
      <c r="AW69" s="21">
        <f>EXP(-LN(2)/2)*AW68+(1-EXP(-LN(2)/2))/(LN(2)/2)*AQ69*AT69*VLOOKUP('Données projet'!$B$10,Paramètres!$A$1:$I$89,3,0)*0.475*44/12</f>
        <v>3.2483399426589248</v>
      </c>
      <c r="AX69" s="21">
        <f t="shared" si="60"/>
        <v>13.618583287694365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274.29487179487177</v>
      </c>
      <c r="BB69" s="12">
        <f>VLOOKUP(A69,'Données projet'!$A$87:$I$107,9,0)</f>
        <v>9.2219551282051242</v>
      </c>
      <c r="BC69" s="12">
        <f t="array" ref="BC69">INDEX(BB:BB,MIN(IF(ISNUMBER(BB69:BB265),ROW(BB69:BB265),"")))</f>
        <v>9.2219551282051242</v>
      </c>
      <c r="BD69" s="12">
        <f>IF('Données projet'!$A$88&gt;35,BD68+BC69-BL68,IF(A69&lt;'Données projet'!$A$88,$BA$205^A69,IF(A69='Données projet'!$A$88,'Données projet'!$B$88,BD68+BC69-BL68)))</f>
        <v>274.2948717948716</v>
      </c>
      <c r="BE69" s="13">
        <f>BD69*VLOOKUP('Données projet'!$B$11,Paramètres!$A$1:$I$89,3,0)*VLOOKUP('Données projet'!$B$11,Paramètres!$A$1:$I$89,5,0)</f>
        <v>248.18199999999982</v>
      </c>
      <c r="BF69" s="13">
        <f t="shared" ref="BF69:BF132" si="91">EXP(-1.0587+0.8836*LN(BE69)+0.284)</f>
        <v>60.196478304365137</v>
      </c>
      <c r="BG69" s="20">
        <f t="shared" si="61"/>
        <v>537.09251638010221</v>
      </c>
      <c r="BH69" s="59">
        <f t="shared" si="62"/>
        <v>830.42584971343558</v>
      </c>
      <c r="BI69" s="59">
        <f ca="1">AVERAGE(OFFSET($BH$3,0,0,'Données projet'!$E$11+1,1))-AVERAGE(OFFSET($H$3,0,0,'Données projet'!$E$11+1,1))</f>
        <v>496.45286557802063</v>
      </c>
      <c r="BJ69" s="59">
        <f t="shared" ref="BJ69:BJ132" si="92">$BJ$3</f>
        <v>196.37811957788398</v>
      </c>
      <c r="BK69" s="15">
        <f>IF(ISNA(VLOOKUP(A69,'Données projet'!$A$87:$I$107,3,0)),0,VLOOKUP(A69,'Données projet'!$A$87:$I$107,3,0))</f>
        <v>5</v>
      </c>
      <c r="BL69" s="15">
        <f>IF(ISNA(VLOOKUP(A69,'Données projet'!$A$87:$I$107,4,0)),0,VLOOKUP(A69,'Données projet'!$A$87:$I$107,4,0))</f>
        <v>54.141025641025635</v>
      </c>
      <c r="BM69" s="16">
        <f>IF(ISNA(VLOOKUP(A69,'Données projet'!$A$87:$I$107,5,0)),0%,VLOOKUP(A69,'Données projet'!$A$87:$I$107,5,0)*VLOOKUP('Données projet'!$B$11,Paramètres!$A$1:$I$89,7,0))</f>
        <v>0.30099999999999999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16.300190372819518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16.300190372819518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323.17232038705157</v>
      </c>
      <c r="T70" s="59">
        <f t="shared" si="88"/>
        <v>402.34685738619197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4.8</v>
      </c>
      <c r="AI70" s="13">
        <f>IF('Données projet'!$A$62&gt;35,AI69+AH70-AQ69,IF(A70&lt;'Données projet'!$A$62,$AF$205^A70,IF(A70='Données projet'!$A$62,'Données projet'!$B$62,AI69+AH70-AQ69)))</f>
        <v>222.60000000000011</v>
      </c>
      <c r="AJ70" s="13">
        <f>AI70*VLOOKUP('Données projet'!$B$10,Paramètres!$A$1:$I$89,3,0)*VLOOKUP('Données projet'!$B$10,Paramètres!$A$1:$I$89,5,0)</f>
        <v>145.84752000000009</v>
      </c>
      <c r="AK70" s="13">
        <f t="shared" si="89"/>
        <v>37.633383344887093</v>
      </c>
      <c r="AL70" s="20">
        <f t="shared" si="58"/>
        <v>319.56257332567844</v>
      </c>
      <c r="AM70" s="59">
        <f t="shared" si="59"/>
        <v>612.89590665901176</v>
      </c>
      <c r="AN70" s="59">
        <f ca="1">AVERAGE(OFFSET($AM$3,0,0,'Données projet'!$E$10+1,1))-AVERAGE(OFFSET($H$3,0,0,'Données projet'!$E$10+1,1))</f>
        <v>263.30962868541337</v>
      </c>
      <c r="AO70" s="59">
        <f t="shared" si="90"/>
        <v>269.61868559913404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0.59871168780555872</v>
      </c>
      <c r="AV70" s="21">
        <f>EXP(-LN(2)/25)*AV69+(1-EXP(-LN(2)/25))/(LN(2)/25)*Calculateur!AQ70*Calculateur!AS70*VLOOKUP('Données projet'!$B$10,Paramètres!$A$1:$I$89,3,0)*0.475*44/12</f>
        <v>9.492680875265906</v>
      </c>
      <c r="AW70" s="21">
        <f>EXP(-LN(2)/2)*AW69+(1-EXP(-LN(2)/2))/(LN(2)/2)*AQ70*AT70*VLOOKUP('Données projet'!$B$10,Paramètres!$A$1:$I$89,3,0)*0.475*44/12</f>
        <v>2.296923201053247</v>
      </c>
      <c r="AX70" s="21">
        <f t="shared" si="60"/>
        <v>12.388315764124711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8.6875</v>
      </c>
      <c r="BD70" s="12">
        <f>IF('Données projet'!$A$88&gt;35,BD69+BC70-BL69,IF(A70&lt;'Données projet'!$A$88,$BA$205^A70,IF(A70='Données projet'!$A$88,'Données projet'!$B$88,BD69+BC70-BL69)))</f>
        <v>228.84134615384596</v>
      </c>
      <c r="BE70" s="13">
        <f>BD70*VLOOKUP('Données projet'!$B$11,Paramètres!$A$1:$I$89,3,0)*VLOOKUP('Données projet'!$B$11,Paramètres!$A$1:$I$89,5,0)</f>
        <v>207.05564999999982</v>
      </c>
      <c r="BF70" s="13">
        <f t="shared" si="91"/>
        <v>51.291643354789841</v>
      </c>
      <c r="BG70" s="20">
        <f t="shared" si="61"/>
        <v>449.95486925959199</v>
      </c>
      <c r="BH70" s="59">
        <f t="shared" si="62"/>
        <v>743.28820259292524</v>
      </c>
      <c r="BI70" s="59">
        <f ca="1">AVERAGE(OFFSET($BH$3,0,0,'Données projet'!$E$11+1,1))-AVERAGE(OFFSET($H$3,0,0,'Données projet'!$E$11+1,1))</f>
        <v>496.45286557802063</v>
      </c>
      <c r="BJ70" s="59">
        <f t="shared" si="92"/>
        <v>196.37811957788398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15.980553581742951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15.980553581742951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323.17232038705157</v>
      </c>
      <c r="T71" s="59">
        <f t="shared" si="88"/>
        <v>402.34685738619197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4.8</v>
      </c>
      <c r="AI71" s="13">
        <f>IF('Données projet'!$A$62&gt;35,AI70+AH71-AQ70,IF(A71&lt;'Données projet'!$A$62,$AF$205^A71,IF(A71='Données projet'!$A$62,'Données projet'!$B$62,AI70+AH71-AQ70)))</f>
        <v>227.40000000000012</v>
      </c>
      <c r="AJ71" s="13">
        <f>AI71*VLOOKUP('Données projet'!$B$10,Paramètres!$A$1:$I$89,3,0)*VLOOKUP('Données projet'!$B$10,Paramètres!$A$1:$I$89,5,0)</f>
        <v>148.99248000000009</v>
      </c>
      <c r="AK71" s="13">
        <f t="shared" si="89"/>
        <v>38.349533355462334</v>
      </c>
      <c r="AL71" s="20">
        <f t="shared" si="58"/>
        <v>326.28733992743042</v>
      </c>
      <c r="AM71" s="59">
        <f t="shared" si="59"/>
        <v>619.62067326076374</v>
      </c>
      <c r="AN71" s="59">
        <f ca="1">AVERAGE(OFFSET($AM$3,0,0,'Données projet'!$E$10+1,1))-AVERAGE(OFFSET($H$3,0,0,'Données projet'!$E$10+1,1))</f>
        <v>263.30962868541337</v>
      </c>
      <c r="AO71" s="59">
        <f t="shared" si="90"/>
        <v>269.61868559913404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0.58697131678576298</v>
      </c>
      <c r="AV71" s="21">
        <f>EXP(-LN(2)/25)*AV70+(1-EXP(-LN(2)/25))/(LN(2)/25)*Calculateur!AQ71*Calculateur!AS71*VLOOKUP('Données projet'!$B$10,Paramètres!$A$1:$I$89,3,0)*0.475*44/12</f>
        <v>9.2331030175333684</v>
      </c>
      <c r="AW71" s="21">
        <f>EXP(-LN(2)/2)*AW70+(1-EXP(-LN(2)/2))/(LN(2)/2)*AQ71*AT71*VLOOKUP('Données projet'!$B$10,Paramètres!$A$1:$I$89,3,0)*0.475*44/12</f>
        <v>1.6241699713294628</v>
      </c>
      <c r="AX71" s="21">
        <f t="shared" si="60"/>
        <v>11.444244305648594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8.6875</v>
      </c>
      <c r="BD71" s="12">
        <f>IF('Données projet'!$A$88&gt;35,BD70+BC71-BL70,IF(A71&lt;'Données projet'!$A$88,$BA$205^A71,IF(A71='Données projet'!$A$88,'Données projet'!$B$88,BD70+BC71-BL70)))</f>
        <v>237.52884615384596</v>
      </c>
      <c r="BE71" s="13">
        <f>BD71*VLOOKUP('Données projet'!$B$11,Paramètres!$A$1:$I$89,3,0)*VLOOKUP('Données projet'!$B$11,Paramètres!$A$1:$I$89,5,0)</f>
        <v>214.91609999999983</v>
      </c>
      <c r="BF71" s="13">
        <f t="shared" si="91"/>
        <v>53.008426149576081</v>
      </c>
      <c r="BG71" s="20">
        <f t="shared" si="61"/>
        <v>466.63521637717804</v>
      </c>
      <c r="BH71" s="59">
        <f t="shared" si="62"/>
        <v>759.9685497105113</v>
      </c>
      <c r="BI71" s="59">
        <f ca="1">AVERAGE(OFFSET($BH$3,0,0,'Données projet'!$E$11+1,1))-AVERAGE(OFFSET($H$3,0,0,'Données projet'!$E$11+1,1))</f>
        <v>496.45286557802063</v>
      </c>
      <c r="BJ71" s="59">
        <f t="shared" si="92"/>
        <v>196.37811957788398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15.667184673180204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15.667184673180204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323.17232038705157</v>
      </c>
      <c r="T72" s="59">
        <f t="shared" si="88"/>
        <v>402.34685738619197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4.8</v>
      </c>
      <c r="AI72" s="13">
        <f>IF('Données projet'!$A$62&gt;35,AI71+AH72-AQ71,IF(A72&lt;'Données projet'!$A$62,$AF$205^A72,IF(A72='Données projet'!$A$62,'Données projet'!$B$62,AI71+AH72-AQ71)))</f>
        <v>232.20000000000013</v>
      </c>
      <c r="AJ72" s="13">
        <f>AI72*VLOOKUP('Données projet'!$B$10,Paramètres!$A$1:$I$89,3,0)*VLOOKUP('Données projet'!$B$10,Paramètres!$A$1:$I$89,5,0)</f>
        <v>152.13744000000008</v>
      </c>
      <c r="AK72" s="13">
        <f t="shared" si="89"/>
        <v>39.063925813036128</v>
      </c>
      <c r="AL72" s="20">
        <f t="shared" si="58"/>
        <v>333.0090454577047</v>
      </c>
      <c r="AM72" s="59">
        <f t="shared" si="59"/>
        <v>626.34237879103807</v>
      </c>
      <c r="AN72" s="59">
        <f ca="1">AVERAGE(OFFSET($AM$3,0,0,'Données projet'!$E$10+1,1))-AVERAGE(OFFSET($H$3,0,0,'Données projet'!$E$10+1,1))</f>
        <v>263.30962868541337</v>
      </c>
      <c r="AO72" s="59">
        <f t="shared" si="90"/>
        <v>269.61868559913404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0.57546116728074614</v>
      </c>
      <c r="AV72" s="21">
        <f>EXP(-LN(2)/25)*AV71+(1-EXP(-LN(2)/25))/(LN(2)/25)*Calculateur!AQ72*Calculateur!AS72*VLOOKUP('Données projet'!$B$10,Paramètres!$A$1:$I$89,3,0)*0.475*44/12</f>
        <v>8.9806233299711327</v>
      </c>
      <c r="AW72" s="21">
        <f>EXP(-LN(2)/2)*AW71+(1-EXP(-LN(2)/2))/(LN(2)/2)*AQ72*AT72*VLOOKUP('Données projet'!$B$10,Paramètres!$A$1:$I$89,3,0)*0.475*44/12</f>
        <v>1.1484616005266237</v>
      </c>
      <c r="AX72" s="21">
        <f t="shared" si="60"/>
        <v>10.704546097778502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8.6875</v>
      </c>
      <c r="BD72" s="12">
        <f>IF('Données projet'!$A$88&gt;35,BD71+BC72-BL71,IF(A72&lt;'Données projet'!$A$88,$BA$205^A72,IF(A72='Données projet'!$A$88,'Données projet'!$B$88,BD71+BC72-BL71)))</f>
        <v>246.21634615384596</v>
      </c>
      <c r="BE72" s="13">
        <f>BD72*VLOOKUP('Données projet'!$B$11,Paramètres!$A$1:$I$89,3,0)*VLOOKUP('Données projet'!$B$11,Paramètres!$A$1:$I$89,5,0)</f>
        <v>222.77654999999984</v>
      </c>
      <c r="BF72" s="13">
        <f t="shared" si="91"/>
        <v>54.717913950141721</v>
      </c>
      <c r="BG72" s="20">
        <f t="shared" si="61"/>
        <v>483.30285804649657</v>
      </c>
      <c r="BH72" s="59">
        <f t="shared" si="62"/>
        <v>776.63619137982982</v>
      </c>
      <c r="BI72" s="59">
        <f ca="1">AVERAGE(OFFSET($BH$3,0,0,'Données projet'!$E$11+1,1))-AVERAGE(OFFSET($H$3,0,0,'Données projet'!$E$11+1,1))</f>
        <v>496.45286557802063</v>
      </c>
      <c r="BJ72" s="59">
        <f t="shared" si="92"/>
        <v>196.37811957788398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15.359960737778211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15.359960737778211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323.17232038705157</v>
      </c>
      <c r="T73" s="59">
        <f t="shared" si="88"/>
        <v>402.34685738619197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237</v>
      </c>
      <c r="AG73" s="12">
        <f>VLOOKUP(A73,'Données projet'!$A$61:$I$81,9,0)</f>
        <v>4.8</v>
      </c>
      <c r="AH73" s="12">
        <f t="array" ref="AH73">INDEX(AG:AG,MIN(IF(ISNUMBER(AG73:AG269),ROW(AG73:AG269),"")))</f>
        <v>4.8</v>
      </c>
      <c r="AI73" s="13">
        <f>IF('Données projet'!$A$62&gt;35,AI72+AH73-AQ72,IF(A73&lt;'Données projet'!$A$62,$AF$205^A73,IF(A73='Données projet'!$A$62,'Données projet'!$B$62,AI72+AH73-AQ72)))</f>
        <v>237.00000000000014</v>
      </c>
      <c r="AJ73" s="13">
        <f>AI73*VLOOKUP('Données projet'!$B$10,Paramètres!$A$1:$I$89,3,0)*VLOOKUP('Données projet'!$B$10,Paramètres!$A$1:$I$89,5,0)</f>
        <v>155.28240000000011</v>
      </c>
      <c r="AK73" s="13">
        <f t="shared" si="89"/>
        <v>39.776601235546444</v>
      </c>
      <c r="AL73" s="20">
        <f t="shared" si="58"/>
        <v>339.72776048524355</v>
      </c>
      <c r="AM73" s="59">
        <f t="shared" si="59"/>
        <v>633.06109381857686</v>
      </c>
      <c r="AN73" s="59">
        <f ca="1">AVERAGE(OFFSET($AM$3,0,0,'Données projet'!$E$10+1,1))-AVERAGE(OFFSET($H$3,0,0,'Données projet'!$E$10+1,1))</f>
        <v>263.30962868541337</v>
      </c>
      <c r="AO73" s="59">
        <f t="shared" si="90"/>
        <v>269.61868559913404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19</v>
      </c>
      <c r="AR73" s="16">
        <f>IF(ISNA(VLOOKUP(A73,'Données projet'!$A$61:$I$81,5,0)),0%,VLOOKUP(A73,'Données projet'!$A$61:$I$81,5,0)*VLOOKUP('Données projet'!$B$10,Paramètres!$A$1:$I$89,7,0))</f>
        <v>4.3000000000000003E-2</v>
      </c>
      <c r="AS73" s="16">
        <f>IF(ISNA(VLOOKUP(A73,'Données projet'!$A$61:$I$81,6,0)),0%,VLOOKUP(A73,'Données projet'!$A$61:$I$81,6,0)*VLOOKUP('Données projet'!$B$10,Paramètres!$A$1:$I$89,7,0))</f>
        <v>0.17200000000000001</v>
      </c>
      <c r="AT73" s="16">
        <f>IF(ISNA(VLOOKUP(A73,'Données projet'!$A$61:$I$81,7,0)),0%,VLOOKUP(A73,'Données projet'!$A$61:$I$81,7,0))</f>
        <v>0.3</v>
      </c>
      <c r="AU73" s="21">
        <f>EXP(-LN(2)/35)*AU72+(1-EXP(-LN(2)/35))/(LN(2)/35)*AQ73*AR73*VLOOKUP('Données projet'!$B$10,Paramètres!$A$1:$I$89,3,0)*0.475*44/12</f>
        <v>1.1559332501984056</v>
      </c>
      <c r="AV73" s="21">
        <f>EXP(-LN(2)/25)*AV72+(1-EXP(-LN(2)/25))/(LN(2)/25)*Calculateur!AQ73*Calculateur!AS73*VLOOKUP('Données projet'!$B$10,Paramètres!$A$1:$I$89,3,0)*0.475*44/12</f>
        <v>11.09275393071831</v>
      </c>
      <c r="AW73" s="21">
        <f>EXP(-LN(2)/2)*AW72+(1-EXP(-LN(2)/2))/(LN(2)/2)*AQ73*AT73*VLOOKUP('Données projet'!$B$10,Paramètres!$A$1:$I$89,3,0)*0.475*44/12</f>
        <v>4.3358183420265979</v>
      </c>
      <c r="AX73" s="21">
        <f t="shared" si="60"/>
        <v>16.584505522943314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8.6875</v>
      </c>
      <c r="BD73" s="12">
        <f>IF('Données projet'!$A$88&gt;35,BD72+BC73-BL72,IF(A73&lt;'Données projet'!$A$88,$BA$205^A73,IF(A73='Données projet'!$A$88,'Données projet'!$B$88,BD72+BC73-BL72)))</f>
        <v>254.90384615384596</v>
      </c>
      <c r="BE73" s="13">
        <f>BD73*VLOOKUP('Données projet'!$B$11,Paramètres!$A$1:$I$89,3,0)*VLOOKUP('Données projet'!$B$11,Paramètres!$A$1:$I$89,5,0)</f>
        <v>230.63699999999983</v>
      </c>
      <c r="BF73" s="13">
        <f t="shared" si="91"/>
        <v>56.420393645840619</v>
      </c>
      <c r="BG73" s="20">
        <f t="shared" si="61"/>
        <v>499.95829393317211</v>
      </c>
      <c r="BH73" s="59">
        <f t="shared" si="62"/>
        <v>793.29162726650543</v>
      </c>
      <c r="BI73" s="59">
        <f ca="1">AVERAGE(OFFSET($BH$3,0,0,'Données projet'!$E$11+1,1))-AVERAGE(OFFSET($H$3,0,0,'Données projet'!$E$11+1,1))</f>
        <v>496.45286557802063</v>
      </c>
      <c r="BJ73" s="59">
        <f t="shared" si="92"/>
        <v>196.37811957788398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15.058761276361352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15.058761276361352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323.17232038705157</v>
      </c>
      <c r="T74" s="59">
        <f t="shared" si="88"/>
        <v>402.34685738619197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4.5999999999999996</v>
      </c>
      <c r="AI74" s="13">
        <f>IF('Données projet'!$A$62&gt;35,AI73+AH74-AQ73,IF(A74&lt;'Données projet'!$A$62,$AF$205^A74,IF(A74='Données projet'!$A$62,'Données projet'!$B$62,AI73+AH74-AQ73)))</f>
        <v>222.60000000000014</v>
      </c>
      <c r="AJ74" s="13">
        <f>AI74*VLOOKUP('Données projet'!$B$10,Paramètres!$A$1:$I$89,3,0)*VLOOKUP('Données projet'!$B$10,Paramètres!$A$1:$I$89,5,0)</f>
        <v>145.84752000000009</v>
      </c>
      <c r="AK74" s="13">
        <f t="shared" si="89"/>
        <v>37.633383344887093</v>
      </c>
      <c r="AL74" s="20">
        <f t="shared" si="58"/>
        <v>319.56257332567844</v>
      </c>
      <c r="AM74" s="59">
        <f t="shared" si="59"/>
        <v>612.89590665901176</v>
      </c>
      <c r="AN74" s="59">
        <f ca="1">AVERAGE(OFFSET($AM$3,0,0,'Données projet'!$E$10+1,1))-AVERAGE(OFFSET($H$3,0,0,'Données projet'!$E$10+1,1))</f>
        <v>263.30962868541337</v>
      </c>
      <c r="AO74" s="59">
        <f t="shared" si="90"/>
        <v>269.61868559913404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1.1332661042116796</v>
      </c>
      <c r="AV74" s="21">
        <f>EXP(-LN(2)/25)*AV73+(1-EXP(-LN(2)/25))/(LN(2)/25)*Calculateur!AQ74*Calculateur!AS74*VLOOKUP('Données projet'!$B$10,Paramètres!$A$1:$I$89,3,0)*0.475*44/12</f>
        <v>10.789421991140241</v>
      </c>
      <c r="AW74" s="21">
        <f>EXP(-LN(2)/2)*AW73+(1-EXP(-LN(2)/2))/(LN(2)/2)*AQ74*AT74*VLOOKUP('Données projet'!$B$10,Paramètres!$A$1:$I$89,3,0)*0.475*44/12</f>
        <v>3.0658865516400211</v>
      </c>
      <c r="AX74" s="21">
        <f t="shared" si="60"/>
        <v>14.988574646991943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8.6875</v>
      </c>
      <c r="BD74" s="12">
        <f>IF('Données projet'!$A$88&gt;35,BD73+BC74-BL73,IF(A74&lt;'Données projet'!$A$88,$BA$205^A74,IF(A74='Données projet'!$A$88,'Données projet'!$B$88,BD73+BC74-BL73)))</f>
        <v>263.59134615384596</v>
      </c>
      <c r="BE74" s="13">
        <f>BD74*VLOOKUP('Données projet'!$B$11,Paramètres!$A$1:$I$89,3,0)*VLOOKUP('Données projet'!$B$11,Paramètres!$A$1:$I$89,5,0)</f>
        <v>238.49744999999982</v>
      </c>
      <c r="BF74" s="13">
        <f t="shared" si="91"/>
        <v>58.116131461503137</v>
      </c>
      <c r="BG74" s="20">
        <f t="shared" si="61"/>
        <v>516.60198771211765</v>
      </c>
      <c r="BH74" s="59">
        <f t="shared" si="62"/>
        <v>809.93532104545102</v>
      </c>
      <c r="BI74" s="59">
        <f ca="1">AVERAGE(OFFSET($BH$3,0,0,'Données projet'!$E$11+1,1))-AVERAGE(OFFSET($H$3,0,0,'Données projet'!$E$11+1,1))</f>
        <v>496.45286557802063</v>
      </c>
      <c r="BJ74" s="59">
        <f t="shared" si="92"/>
        <v>196.37811957788398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14.763468152669347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14.763468152669347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323.17232038705157</v>
      </c>
      <c r="T75" s="59">
        <f t="shared" si="88"/>
        <v>402.34685738619197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4.5999999999999996</v>
      </c>
      <c r="AI75" s="13">
        <f>IF('Données projet'!$A$62&gt;35,AI74+AH75-AQ74,IF(A75&lt;'Données projet'!$A$62,$AF$205^A75,IF(A75='Données projet'!$A$62,'Données projet'!$B$62,AI74+AH75-AQ74)))</f>
        <v>227.20000000000013</v>
      </c>
      <c r="AJ75" s="13">
        <f>AI75*VLOOKUP('Données projet'!$B$10,Paramètres!$A$1:$I$89,3,0)*VLOOKUP('Données projet'!$B$10,Paramètres!$A$1:$I$89,5,0)</f>
        <v>148.86144000000007</v>
      </c>
      <c r="AK75" s="13">
        <f t="shared" si="89"/>
        <v>38.319729148991954</v>
      </c>
      <c r="AL75" s="20">
        <f t="shared" si="58"/>
        <v>326.00720293449439</v>
      </c>
      <c r="AM75" s="59">
        <f t="shared" si="59"/>
        <v>619.3405362678277</v>
      </c>
      <c r="AN75" s="59">
        <f ca="1">AVERAGE(OFFSET($AM$3,0,0,'Données projet'!$E$10+1,1))-AVERAGE(OFFSET($H$3,0,0,'Données projet'!$E$10+1,1))</f>
        <v>263.30962868541337</v>
      </c>
      <c r="AO75" s="59">
        <f t="shared" si="90"/>
        <v>269.61868559913404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1.1110434471321595</v>
      </c>
      <c r="AV75" s="21">
        <f>EXP(-LN(2)/25)*AV74+(1-EXP(-LN(2)/25))/(LN(2)/25)*Calculateur!AQ75*Calculateur!AS75*VLOOKUP('Données projet'!$B$10,Paramètres!$A$1:$I$89,3,0)*0.475*44/12</f>
        <v>10.494384679401469</v>
      </c>
      <c r="AW75" s="21">
        <f>EXP(-LN(2)/2)*AW74+(1-EXP(-LN(2)/2))/(LN(2)/2)*AQ75*AT75*VLOOKUP('Données projet'!$B$10,Paramètres!$A$1:$I$89,3,0)*0.475*44/12</f>
        <v>2.1679091710132994</v>
      </c>
      <c r="AX75" s="21">
        <f t="shared" si="60"/>
        <v>13.773337297546927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8.6875</v>
      </c>
      <c r="BD75" s="12">
        <f>IF('Données projet'!$A$88&gt;35,BD74+BC75-BL74,IF(A75&lt;'Données projet'!$A$88,$BA$205^A75,IF(A75='Données projet'!$A$88,'Données projet'!$B$88,BD74+BC75-BL74)))</f>
        <v>272.27884615384596</v>
      </c>
      <c r="BE75" s="13">
        <f>BD75*VLOOKUP('Données projet'!$B$11,Paramètres!$A$1:$I$89,3,0)*VLOOKUP('Données projet'!$B$11,Paramètres!$A$1:$I$89,5,0)</f>
        <v>246.3578999999998</v>
      </c>
      <c r="BF75" s="13">
        <f t="shared" si="91"/>
        <v>59.805375077411888</v>
      </c>
      <c r="BG75" s="20">
        <f t="shared" si="61"/>
        <v>533.23437075982531</v>
      </c>
      <c r="BH75" s="59">
        <f t="shared" si="62"/>
        <v>826.56770409315868</v>
      </c>
      <c r="BI75" s="59">
        <f ca="1">AVERAGE(OFFSET($BH$3,0,0,'Données projet'!$E$11+1,1))-AVERAGE(OFFSET($H$3,0,0,'Données projet'!$E$11+1,1))</f>
        <v>496.45286557802063</v>
      </c>
      <c r="BJ75" s="59">
        <f t="shared" si="92"/>
        <v>196.37811957788398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14.473965547021921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14.473965547021921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323.17232038705157</v>
      </c>
      <c r="T76" s="59">
        <f t="shared" si="88"/>
        <v>402.34685738619197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4.5999999999999996</v>
      </c>
      <c r="AI76" s="13">
        <f>IF('Données projet'!$A$62&gt;35,AI75+AH76-AQ75,IF(A76&lt;'Données projet'!$A$62,$AF$205^A76,IF(A76='Données projet'!$A$62,'Données projet'!$B$62,AI75+AH76-AQ75)))</f>
        <v>231.80000000000013</v>
      </c>
      <c r="AJ76" s="13">
        <f>AI76*VLOOKUP('Données projet'!$B$10,Paramètres!$A$1:$I$89,3,0)*VLOOKUP('Données projet'!$B$10,Paramètres!$A$1:$I$89,5,0)</f>
        <v>151.87536000000009</v>
      </c>
      <c r="AK76" s="13">
        <f t="shared" si="89"/>
        <v>39.004459236504758</v>
      </c>
      <c r="AL76" s="20">
        <f t="shared" si="58"/>
        <v>332.44901850357923</v>
      </c>
      <c r="AM76" s="59">
        <f t="shared" si="59"/>
        <v>625.78235183691254</v>
      </c>
      <c r="AN76" s="59">
        <f ca="1">AVERAGE(OFFSET($AM$3,0,0,'Données projet'!$E$10+1,1))-AVERAGE(OFFSET($H$3,0,0,'Données projet'!$E$10+1,1))</f>
        <v>263.30962868541337</v>
      </c>
      <c r="AO76" s="59">
        <f t="shared" si="90"/>
        <v>269.61868559913404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1.0892565628034863</v>
      </c>
      <c r="AV76" s="21">
        <f>EXP(-LN(2)/25)*AV75+(1-EXP(-LN(2)/25))/(LN(2)/25)*Calculateur!AQ76*Calculateur!AS76*VLOOKUP('Données projet'!$B$10,Paramètres!$A$1:$I$89,3,0)*0.475*44/12</f>
        <v>10.20741517846753</v>
      </c>
      <c r="AW76" s="21">
        <f>EXP(-LN(2)/2)*AW75+(1-EXP(-LN(2)/2))/(LN(2)/2)*AQ76*AT76*VLOOKUP('Données projet'!$B$10,Paramètres!$A$1:$I$89,3,0)*0.475*44/12</f>
        <v>1.5329432758200108</v>
      </c>
      <c r="AX76" s="21">
        <f t="shared" si="60"/>
        <v>12.829615017091026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8.6875</v>
      </c>
      <c r="BD76" s="12">
        <f>IF('Données projet'!$A$88&gt;35,BD75+BC76-BL75,IF(A76&lt;'Données projet'!$A$88,$BA$205^A76,IF(A76='Données projet'!$A$88,'Données projet'!$B$88,BD75+BC76-BL75)))</f>
        <v>280.96634615384596</v>
      </c>
      <c r="BE76" s="13">
        <f>BD76*VLOOKUP('Données projet'!$B$11,Paramètres!$A$1:$I$89,3,0)*VLOOKUP('Données projet'!$B$11,Paramètres!$A$1:$I$89,5,0)</f>
        <v>254.21834999999984</v>
      </c>
      <c r="BF76" s="13">
        <f t="shared" si="91"/>
        <v>61.488355471111007</v>
      </c>
      <c r="BG76" s="20">
        <f t="shared" si="61"/>
        <v>549.85584536218471</v>
      </c>
      <c r="BH76" s="59">
        <f t="shared" si="62"/>
        <v>843.18917869551797</v>
      </c>
      <c r="BI76" s="59">
        <f ca="1">AVERAGE(OFFSET($BH$3,0,0,'Données projet'!$E$11+1,1))-AVERAGE(OFFSET($H$3,0,0,'Données projet'!$E$11+1,1))</f>
        <v>496.45286557802063</v>
      </c>
      <c r="BJ76" s="59">
        <f t="shared" si="92"/>
        <v>196.37811957788398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14.190139910892087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14.190139910892087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323.17232038705157</v>
      </c>
      <c r="T77" s="59">
        <f t="shared" si="88"/>
        <v>402.34685738619197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4.5999999999999996</v>
      </c>
      <c r="AI77" s="13">
        <f>IF('Données projet'!$A$62&gt;35,AI76+AH77-AQ76,IF(A77&lt;'Données projet'!$A$62,$AF$205^A77,IF(A77='Données projet'!$A$62,'Données projet'!$B$62,AI76+AH77-AQ76)))</f>
        <v>236.40000000000012</v>
      </c>
      <c r="AJ77" s="13">
        <f>AI77*VLOOKUP('Données projet'!$B$10,Paramètres!$A$1:$I$89,3,0)*VLOOKUP('Données projet'!$B$10,Paramètres!$A$1:$I$89,5,0)</f>
        <v>154.8892800000001</v>
      </c>
      <c r="AK77" s="13">
        <f t="shared" si="89"/>
        <v>39.687609366432291</v>
      </c>
      <c r="AL77" s="20">
        <f t="shared" si="58"/>
        <v>338.88808231320309</v>
      </c>
      <c r="AM77" s="59">
        <f t="shared" si="59"/>
        <v>632.22141564653634</v>
      </c>
      <c r="AN77" s="59">
        <f ca="1">AVERAGE(OFFSET($AM$3,0,0,'Données projet'!$E$10+1,1))-AVERAGE(OFFSET($H$3,0,0,'Données projet'!$E$10+1,1))</f>
        <v>263.30962868541337</v>
      </c>
      <c r="AO77" s="59">
        <f t="shared" si="90"/>
        <v>269.61868559913404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1.067896905987811</v>
      </c>
      <c r="AV77" s="21">
        <f>EXP(-LN(2)/25)*AV76+(1-EXP(-LN(2)/25))/(LN(2)/25)*Calculateur!AQ77*Calculateur!AS77*VLOOKUP('Données projet'!$B$10,Paramètres!$A$1:$I$89,3,0)*0.475*44/12</f>
        <v>9.9282928736277007</v>
      </c>
      <c r="AW77" s="21">
        <f>EXP(-LN(2)/2)*AW76+(1-EXP(-LN(2)/2))/(LN(2)/2)*AQ77*AT77*VLOOKUP('Données projet'!$B$10,Paramètres!$A$1:$I$89,3,0)*0.475*44/12</f>
        <v>1.0839545855066497</v>
      </c>
      <c r="AX77" s="21">
        <f t="shared" si="60"/>
        <v>12.080144365122161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289.65384615384613</v>
      </c>
      <c r="BB77" s="12">
        <f>VLOOKUP(A77,'Données projet'!$A$87:$I$107,9,0)</f>
        <v>8.6875</v>
      </c>
      <c r="BC77" s="12">
        <f t="array" ref="BC77">INDEX(BB:BB,MIN(IF(ISNUMBER(BB77:BB273),ROW(BB77:BB273),"")))</f>
        <v>8.6875</v>
      </c>
      <c r="BD77" s="12">
        <f>IF('Données projet'!$A$88&gt;35,BD76+BC77-BL76,IF(A77&lt;'Données projet'!$A$88,$BA$205^A77,IF(A77='Données projet'!$A$88,'Données projet'!$B$88,BD76+BC77-BL76)))</f>
        <v>289.65384615384596</v>
      </c>
      <c r="BE77" s="13">
        <f>BD77*VLOOKUP('Données projet'!$B$11,Paramètres!$A$1:$I$89,3,0)*VLOOKUP('Données projet'!$B$11,Paramètres!$A$1:$I$89,5,0)</f>
        <v>262.07879999999983</v>
      </c>
      <c r="BF77" s="13">
        <f t="shared" si="91"/>
        <v>63.165288525021069</v>
      </c>
      <c r="BG77" s="20">
        <f t="shared" si="61"/>
        <v>566.46678751441141</v>
      </c>
      <c r="BH77" s="59">
        <f t="shared" si="62"/>
        <v>859.80012084774467</v>
      </c>
      <c r="BI77" s="59">
        <f ca="1">AVERAGE(OFFSET($BH$3,0,0,'Données projet'!$E$11+1,1))-AVERAGE(OFFSET($H$3,0,0,'Données projet'!$E$11+1,1))</f>
        <v>496.45286557802063</v>
      </c>
      <c r="BJ77" s="59">
        <f t="shared" si="92"/>
        <v>196.37811957788398</v>
      </c>
      <c r="BK77" s="15">
        <f>IF(ISNA(VLOOKUP(A77,'Données projet'!$A$87:$I$107,3,0)),0,VLOOKUP(A77,'Données projet'!$A$87:$I$107,3,0))</f>
        <v>6</v>
      </c>
      <c r="BL77" s="15">
        <f>IF(ISNA(VLOOKUP(A77,'Données projet'!$A$87:$I$107,4,0)),0,VLOOKUP(A77,'Données projet'!$A$87:$I$107,4,0))</f>
        <v>52.737179487179482</v>
      </c>
      <c r="BM77" s="16">
        <f>IF(ISNA(VLOOKUP(A77,'Données projet'!$A$87:$I$107,5,0)),0%,VLOOKUP(A77,'Données projet'!$A$87:$I$107,5,0)*VLOOKUP('Données projet'!$B$11,Paramètres!$A$1:$I$89,7,0))</f>
        <v>0.30099999999999999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29.789415583888829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29.789415583888829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323.17232038705157</v>
      </c>
      <c r="T78" s="59">
        <f t="shared" si="88"/>
        <v>402.34685738619197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241</v>
      </c>
      <c r="AG78" s="12">
        <f>VLOOKUP(A78,'Données projet'!$A$61:$I$81,9,0)</f>
        <v>4.5999999999999996</v>
      </c>
      <c r="AH78" s="12">
        <f t="array" ref="AH78">INDEX(AG:AG,MIN(IF(ISNUMBER(AG78:AG274),ROW(AG78:AG274),"")))</f>
        <v>4.5999999999999996</v>
      </c>
      <c r="AI78" s="13">
        <f>IF('Données projet'!$A$62&gt;35,AI77+AH78-AQ77,IF(A78&lt;'Données projet'!$A$62,$AF$205^A78,IF(A78='Données projet'!$A$62,'Données projet'!$B$62,AI77+AH78-AQ77)))</f>
        <v>241.00000000000011</v>
      </c>
      <c r="AJ78" s="13">
        <f>AI78*VLOOKUP('Données projet'!$B$10,Paramètres!$A$1:$I$89,3,0)*VLOOKUP('Données projet'!$B$10,Paramètres!$A$1:$I$89,5,0)</f>
        <v>157.90320000000008</v>
      </c>
      <c r="AK78" s="13">
        <f t="shared" si="89"/>
        <v>40.369213826539486</v>
      </c>
      <c r="AL78" s="20">
        <f t="shared" si="58"/>
        <v>345.32445408122311</v>
      </c>
      <c r="AM78" s="59">
        <f t="shared" si="59"/>
        <v>638.65778741455642</v>
      </c>
      <c r="AN78" s="59">
        <f ca="1">AVERAGE(OFFSET($AM$3,0,0,'Données projet'!$E$10+1,1))-AVERAGE(OFFSET($H$3,0,0,'Données projet'!$E$10+1,1))</f>
        <v>263.30962868541337</v>
      </c>
      <c r="AO78" s="59">
        <f t="shared" si="90"/>
        <v>269.61868559913404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18</v>
      </c>
      <c r="AR78" s="16">
        <f>IF(ISNA(VLOOKUP(A78,'Données projet'!$A$61:$I$81,5,0)),0%,VLOOKUP(A78,'Données projet'!$A$61:$I$81,5,0)*VLOOKUP('Données projet'!$B$10,Paramètres!$A$1:$I$89,7,0))</f>
        <v>4.3000000000000003E-2</v>
      </c>
      <c r="AS78" s="16">
        <f>IF(ISNA(VLOOKUP(A78,'Données projet'!$A$61:$I$81,6,0)),0%,VLOOKUP(A78,'Données projet'!$A$61:$I$81,6,0)*VLOOKUP('Données projet'!$B$10,Paramètres!$A$1:$I$89,7,0))</f>
        <v>0.17200000000000001</v>
      </c>
      <c r="AT78" s="16">
        <f>IF(ISNA(VLOOKUP(A78,'Données projet'!$A$61:$I$81,7,0)),0%,VLOOKUP(A78,'Données projet'!$A$61:$I$81,7,0))</f>
        <v>0.3</v>
      </c>
      <c r="AU78" s="21">
        <f>EXP(-LN(2)/35)*AU77+(1-EXP(-LN(2)/35))/(LN(2)/35)*AQ78*AR78*VLOOKUP('Données projet'!$B$10,Paramètres!$A$1:$I$89,3,0)*0.475*44/12</f>
        <v>1.6075675441407582</v>
      </c>
      <c r="AV78" s="21">
        <f>EXP(-LN(2)/25)*AV77+(1-EXP(-LN(2)/25))/(LN(2)/25)*Calculateur!AQ78*Calculateur!AS78*VLOOKUP('Données projet'!$B$10,Paramètres!$A$1:$I$89,3,0)*0.475*44/12</f>
        <v>11.890419599921724</v>
      </c>
      <c r="AW78" s="21">
        <f>EXP(-LN(2)/2)*AW77+(1-EXP(-LN(2)/2))/(LN(2)/2)*AQ78*AT78*VLOOKUP('Données projet'!$B$10,Paramètres!$A$1:$I$89,3,0)*0.475*44/12</f>
        <v>4.1047453439370365</v>
      </c>
      <c r="AX78" s="21">
        <f t="shared" si="60"/>
        <v>17.602732487999518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8.1746794871794854</v>
      </c>
      <c r="BD78" s="12">
        <f>IF('Données projet'!$A$88&gt;35,BD77+BC78-BL77,IF(A78&lt;'Données projet'!$A$88,$BA$205^A78,IF(A78='Données projet'!$A$88,'Données projet'!$B$88,BD77+BC78-BL77)))</f>
        <v>245.09134615384599</v>
      </c>
      <c r="BE78" s="13">
        <f>BD78*VLOOKUP('Données projet'!$B$11,Paramètres!$A$1:$I$89,3,0)*VLOOKUP('Données projet'!$B$11,Paramètres!$A$1:$I$89,5,0)</f>
        <v>221.75864999999982</v>
      </c>
      <c r="BF78" s="13">
        <f t="shared" si="91"/>
        <v>54.496942304142991</v>
      </c>
      <c r="BG78" s="20">
        <f t="shared" si="61"/>
        <v>481.14515659638204</v>
      </c>
      <c r="BH78" s="59">
        <f t="shared" si="62"/>
        <v>774.47848992971535</v>
      </c>
      <c r="BI78" s="59">
        <f ca="1">AVERAGE(OFFSET($BH$3,0,0,'Données projet'!$E$11+1,1))-AVERAGE(OFFSET($H$3,0,0,'Données projet'!$E$11+1,1))</f>
        <v>496.45286557802063</v>
      </c>
      <c r="BJ78" s="59">
        <f t="shared" si="92"/>
        <v>196.37811957788398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29.205263314038163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29.205263314038163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323.17232038705157</v>
      </c>
      <c r="T79" s="59">
        <f t="shared" si="88"/>
        <v>402.34685738619197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4.2</v>
      </c>
      <c r="AI79" s="13">
        <f>IF('Données projet'!$A$62&gt;35,AI78+AH79-AQ78,IF(A79&lt;'Données projet'!$A$62,$AF$205^A79,IF(A79='Données projet'!$A$62,'Données projet'!$B$62,AI78+AH79-AQ78)))</f>
        <v>227.2000000000001</v>
      </c>
      <c r="AJ79" s="13">
        <f>AI79*VLOOKUP('Données projet'!$B$10,Paramètres!$A$1:$I$89,3,0)*VLOOKUP('Données projet'!$B$10,Paramètres!$A$1:$I$89,5,0)</f>
        <v>148.86144000000007</v>
      </c>
      <c r="AK79" s="13">
        <f t="shared" si="89"/>
        <v>38.319729148991954</v>
      </c>
      <c r="AL79" s="20">
        <f t="shared" si="58"/>
        <v>326.00720293449439</v>
      </c>
      <c r="AM79" s="59">
        <f t="shared" si="59"/>
        <v>619.3405362678277</v>
      </c>
      <c r="AN79" s="59">
        <f ca="1">AVERAGE(OFFSET($AM$3,0,0,'Données projet'!$E$10+1,1))-AVERAGE(OFFSET($H$3,0,0,'Données projet'!$E$10+1,1))</f>
        <v>263.30962868541337</v>
      </c>
      <c r="AO79" s="59">
        <f t="shared" si="90"/>
        <v>269.61868559913404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1.5760441251195416</v>
      </c>
      <c r="AV79" s="21">
        <f>EXP(-LN(2)/25)*AV78+(1-EXP(-LN(2)/25))/(LN(2)/25)*Calculateur!AQ79*Calculateur!AS79*VLOOKUP('Données projet'!$B$10,Paramètres!$A$1:$I$89,3,0)*0.475*44/12</f>
        <v>11.565275450671875</v>
      </c>
      <c r="AW79" s="21">
        <f>EXP(-LN(2)/2)*AW78+(1-EXP(-LN(2)/2))/(LN(2)/2)*AQ79*AT79*VLOOKUP('Données projet'!$B$10,Paramètres!$A$1:$I$89,3,0)*0.475*44/12</f>
        <v>2.9024932677417858</v>
      </c>
      <c r="AX79" s="21">
        <f t="shared" si="60"/>
        <v>16.043812843533203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8.1746794871794854</v>
      </c>
      <c r="BD79" s="12">
        <f>IF('Données projet'!$A$88&gt;35,BD78+BC79-BL78,IF(A79&lt;'Données projet'!$A$88,$BA$205^A79,IF(A79='Données projet'!$A$88,'Données projet'!$B$88,BD78+BC79-BL78)))</f>
        <v>253.26602564102546</v>
      </c>
      <c r="BE79" s="13">
        <f>BD79*VLOOKUP('Données projet'!$B$11,Paramètres!$A$1:$I$89,3,0)*VLOOKUP('Données projet'!$B$11,Paramètres!$A$1:$I$89,5,0)</f>
        <v>229.15509999999983</v>
      </c>
      <c r="BF79" s="13">
        <f t="shared" si="91"/>
        <v>56.099955286020659</v>
      </c>
      <c r="BG79" s="20">
        <f t="shared" si="61"/>
        <v>496.81922128981904</v>
      </c>
      <c r="BH79" s="59">
        <f t="shared" si="62"/>
        <v>790.15255462315235</v>
      </c>
      <c r="BI79" s="59">
        <f ca="1">AVERAGE(OFFSET($BH$3,0,0,'Données projet'!$E$11+1,1))-AVERAGE(OFFSET($H$3,0,0,'Données projet'!$E$11+1,1))</f>
        <v>496.45286557802063</v>
      </c>
      <c r="BJ79" s="59">
        <f t="shared" si="92"/>
        <v>196.37811957788398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28.632565913901566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28.632565913901566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323.17232038705157</v>
      </c>
      <c r="T80" s="59">
        <f t="shared" si="88"/>
        <v>402.34685738619197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4.2</v>
      </c>
      <c r="AI80" s="13">
        <f>IF('Données projet'!$A$62&gt;35,AI79+AH80-AQ79,IF(A80&lt;'Données projet'!$A$62,$AF$205^A80,IF(A80='Données projet'!$A$62,'Données projet'!$B$62,AI79+AH80-AQ79)))</f>
        <v>231.40000000000009</v>
      </c>
      <c r="AJ80" s="13">
        <f>AI80*VLOOKUP('Données projet'!$B$10,Paramètres!$A$1:$I$89,3,0)*VLOOKUP('Données projet'!$B$10,Paramètres!$A$1:$I$89,5,0)</f>
        <v>151.61328000000006</v>
      </c>
      <c r="AK80" s="13">
        <f t="shared" si="89"/>
        <v>38.944980714143632</v>
      </c>
      <c r="AL80" s="20">
        <f t="shared" si="58"/>
        <v>331.88897074380026</v>
      </c>
      <c r="AM80" s="59">
        <f t="shared" si="59"/>
        <v>625.22230407713357</v>
      </c>
      <c r="AN80" s="59">
        <f ca="1">AVERAGE(OFFSET($AM$3,0,0,'Données projet'!$E$10+1,1))-AVERAGE(OFFSET($H$3,0,0,'Données projet'!$E$10+1,1))</f>
        <v>263.30962868541337</v>
      </c>
      <c r="AO80" s="59">
        <f t="shared" si="90"/>
        <v>269.61868559913404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1.545138861117944</v>
      </c>
      <c r="AV80" s="21">
        <f>EXP(-LN(2)/25)*AV79+(1-EXP(-LN(2)/25))/(LN(2)/25)*Calculateur!AQ80*Calculateur!AS80*VLOOKUP('Données projet'!$B$10,Paramètres!$A$1:$I$89,3,0)*0.475*44/12</f>
        <v>11.249022385281849</v>
      </c>
      <c r="AW80" s="21">
        <f>EXP(-LN(2)/2)*AW79+(1-EXP(-LN(2)/2))/(LN(2)/2)*AQ80*AT80*VLOOKUP('Données projet'!$B$10,Paramètres!$A$1:$I$89,3,0)*0.475*44/12</f>
        <v>2.0523726719685182</v>
      </c>
      <c r="AX80" s="21">
        <f t="shared" si="60"/>
        <v>14.846533918368312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8.1746794871794854</v>
      </c>
      <c r="BD80" s="12">
        <f>IF('Données projet'!$A$88&gt;35,BD79+BC80-BL79,IF(A80&lt;'Données projet'!$A$88,$BA$205^A80,IF(A80='Données projet'!$A$88,'Données projet'!$B$88,BD79+BC80-BL79)))</f>
        <v>261.44070512820497</v>
      </c>
      <c r="BE80" s="13">
        <f>BD80*VLOOKUP('Données projet'!$B$11,Paramètres!$A$1:$I$89,3,0)*VLOOKUP('Données projet'!$B$11,Paramètres!$A$1:$I$89,5,0)</f>
        <v>236.55154999999982</v>
      </c>
      <c r="BF80" s="13">
        <f t="shared" si="91"/>
        <v>57.696955867207052</v>
      </c>
      <c r="BG80" s="20">
        <f t="shared" si="61"/>
        <v>512.48281438538527</v>
      </c>
      <c r="BH80" s="59">
        <f t="shared" si="62"/>
        <v>805.81614771871864</v>
      </c>
      <c r="BI80" s="59">
        <f ca="1">AVERAGE(OFFSET($BH$3,0,0,'Données projet'!$E$11+1,1))-AVERAGE(OFFSET($H$3,0,0,'Données projet'!$E$11+1,1))</f>
        <v>496.45286557802063</v>
      </c>
      <c r="BJ80" s="59">
        <f t="shared" si="92"/>
        <v>196.37811957788398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28.071098760470722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28.071098760470722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323.17232038705157</v>
      </c>
      <c r="T81" s="59">
        <f t="shared" si="88"/>
        <v>402.34685738619197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4.2</v>
      </c>
      <c r="AI81" s="13">
        <f>IF('Données projet'!$A$62&gt;35,AI80+AH81-AQ80,IF(A81&lt;'Données projet'!$A$62,$AF$205^A81,IF(A81='Données projet'!$A$62,'Données projet'!$B$62,AI80+AH81-AQ80)))</f>
        <v>235.60000000000008</v>
      </c>
      <c r="AJ81" s="13">
        <f>AI81*VLOOKUP('Données projet'!$B$10,Paramètres!$A$1:$I$89,3,0)*VLOOKUP('Données projet'!$B$10,Paramètres!$A$1:$I$89,5,0)</f>
        <v>154.36512000000005</v>
      </c>
      <c r="AK81" s="13">
        <f t="shared" si="89"/>
        <v>39.568912624848309</v>
      </c>
      <c r="AL81" s="20">
        <f t="shared" si="58"/>
        <v>337.76844015494419</v>
      </c>
      <c r="AM81" s="59">
        <f t="shared" si="59"/>
        <v>631.10177348827756</v>
      </c>
      <c r="AN81" s="59">
        <f ca="1">AVERAGE(OFFSET($AM$3,0,0,'Données projet'!$E$10+1,1))-AVERAGE(OFFSET($H$3,0,0,'Données projet'!$E$10+1,1))</f>
        <v>263.30962868541337</v>
      </c>
      <c r="AO81" s="59">
        <f t="shared" si="90"/>
        <v>269.61868559913404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1.514839630493068</v>
      </c>
      <c r="AV81" s="21">
        <f>EXP(-LN(2)/25)*AV80+(1-EXP(-LN(2)/25))/(LN(2)/25)*Calculateur!AQ81*Calculateur!AS81*VLOOKUP('Données projet'!$B$10,Paramètres!$A$1:$I$89,3,0)*0.475*44/12</f>
        <v>10.94141727659594</v>
      </c>
      <c r="AW81" s="21">
        <f>EXP(-LN(2)/2)*AW80+(1-EXP(-LN(2)/2))/(LN(2)/2)*AQ81*AT81*VLOOKUP('Données projet'!$B$10,Paramètres!$A$1:$I$89,3,0)*0.475*44/12</f>
        <v>1.4512466338708929</v>
      </c>
      <c r="AX81" s="21">
        <f t="shared" si="60"/>
        <v>13.907503540959901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8.1746794871794854</v>
      </c>
      <c r="BD81" s="12">
        <f>IF('Données projet'!$A$88&gt;35,BD80+BC81-BL80,IF(A81&lt;'Données projet'!$A$88,$BA$205^A81,IF(A81='Données projet'!$A$88,'Données projet'!$B$88,BD80+BC81-BL80)))</f>
        <v>269.61538461538447</v>
      </c>
      <c r="BE81" s="13">
        <f>BD81*VLOOKUP('Données projet'!$B$11,Paramètres!$A$1:$I$89,3,0)*VLOOKUP('Données projet'!$B$11,Paramètres!$A$1:$I$89,5,0)</f>
        <v>243.94799999999987</v>
      </c>
      <c r="BF81" s="13">
        <f t="shared" si="91"/>
        <v>59.288153612728067</v>
      </c>
      <c r="BG81" s="20">
        <f t="shared" si="61"/>
        <v>528.13630087550121</v>
      </c>
      <c r="BH81" s="59">
        <f t="shared" si="62"/>
        <v>821.46963420883458</v>
      </c>
      <c r="BI81" s="59">
        <f ca="1">AVERAGE(OFFSET($BH$3,0,0,'Données projet'!$E$11+1,1))-AVERAGE(OFFSET($H$3,0,0,'Données projet'!$E$11+1,1))</f>
        <v>496.45286557802063</v>
      </c>
      <c r="BJ81" s="59">
        <f t="shared" si="92"/>
        <v>196.37811957788398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27.520641635457508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27.520641635457508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323.17232038705157</v>
      </c>
      <c r="T82" s="59">
        <f t="shared" si="88"/>
        <v>402.34685738619197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4.2</v>
      </c>
      <c r="AI82" s="13">
        <f>IF('Données projet'!$A$62&gt;35,AI81+AH82-AQ81,IF(A82&lt;'Données projet'!$A$62,$AF$205^A82,IF(A82='Données projet'!$A$62,'Données projet'!$B$62,AI81+AH82-AQ81)))</f>
        <v>239.80000000000007</v>
      </c>
      <c r="AJ82" s="13">
        <f>AI82*VLOOKUP('Données projet'!$B$10,Paramètres!$A$1:$I$89,3,0)*VLOOKUP('Données projet'!$B$10,Paramètres!$A$1:$I$89,5,0)</f>
        <v>157.11696000000003</v>
      </c>
      <c r="AK82" s="13">
        <f t="shared" si="89"/>
        <v>40.191551120265856</v>
      </c>
      <c r="AL82" s="20">
        <f t="shared" si="58"/>
        <v>343.6456568677965</v>
      </c>
      <c r="AM82" s="59">
        <f t="shared" si="59"/>
        <v>636.97899020112982</v>
      </c>
      <c r="AN82" s="59">
        <f ca="1">AVERAGE(OFFSET($AM$3,0,0,'Données projet'!$E$10+1,1))-AVERAGE(OFFSET($H$3,0,0,'Données projet'!$E$10+1,1))</f>
        <v>263.30962868541337</v>
      </c>
      <c r="AO82" s="59">
        <f t="shared" si="90"/>
        <v>269.61868559913404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1.4851345493000401</v>
      </c>
      <c r="AV82" s="21">
        <f>EXP(-LN(2)/25)*AV81+(1-EXP(-LN(2)/25))/(LN(2)/25)*Calculateur!AQ82*Calculateur!AS82*VLOOKUP('Données projet'!$B$10,Paramètres!$A$1:$I$89,3,0)*0.475*44/12</f>
        <v>10.642223645783297</v>
      </c>
      <c r="AW82" s="21">
        <f>EXP(-LN(2)/2)*AW81+(1-EXP(-LN(2)/2))/(LN(2)/2)*AQ82*AT82*VLOOKUP('Données projet'!$B$10,Paramètres!$A$1:$I$89,3,0)*0.475*44/12</f>
        <v>1.0261863359842591</v>
      </c>
      <c r="AX82" s="21">
        <f t="shared" si="60"/>
        <v>13.153544531067595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8.1746794871794854</v>
      </c>
      <c r="BD82" s="12">
        <f>IF('Données projet'!$A$88&gt;35,BD81+BC82-BL81,IF(A82&lt;'Données projet'!$A$88,$BA$205^A82,IF(A82='Données projet'!$A$88,'Données projet'!$B$88,BD81+BC82-BL81)))</f>
        <v>277.79006410256397</v>
      </c>
      <c r="BE82" s="13">
        <f>BD82*VLOOKUP('Données projet'!$B$11,Paramètres!$A$1:$I$89,3,0)*VLOOKUP('Données projet'!$B$11,Paramètres!$A$1:$I$89,5,0)</f>
        <v>251.34444999999988</v>
      </c>
      <c r="BF82" s="13">
        <f t="shared" si="91"/>
        <v>60.873744657540833</v>
      </c>
      <c r="BG82" s="20">
        <f t="shared" si="61"/>
        <v>543.78002236188331</v>
      </c>
      <c r="BH82" s="59">
        <f t="shared" si="62"/>
        <v>837.11335569521657</v>
      </c>
      <c r="BI82" s="59">
        <f ca="1">AVERAGE(OFFSET($BH$3,0,0,'Données projet'!$E$11+1,1))-AVERAGE(OFFSET($H$3,0,0,'Données projet'!$E$11+1,1))</f>
        <v>496.45286557802063</v>
      </c>
      <c r="BJ82" s="59">
        <f t="shared" si="92"/>
        <v>196.37811957788398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26.98097863892011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26.98097863892011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323.17232038705157</v>
      </c>
      <c r="T83" s="59">
        <f t="shared" si="88"/>
        <v>402.34685738619197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244</v>
      </c>
      <c r="AG83" s="12">
        <f>VLOOKUP(A83,'Données projet'!$A$61:$I$81,9,0)</f>
        <v>4.2</v>
      </c>
      <c r="AH83" s="12">
        <f t="array" ref="AH83">INDEX(AG:AG,MIN(IF(ISNUMBER(AG83:AG279),ROW(AG83:AG279),"")))</f>
        <v>4.2</v>
      </c>
      <c r="AI83" s="13">
        <f>IF('Données projet'!$A$62&gt;35,AI82+AH83-AQ82,IF(A83&lt;'Données projet'!$A$62,$AF$205^A83,IF(A83='Données projet'!$A$62,'Données projet'!$B$62,AI82+AH83-AQ82)))</f>
        <v>244.00000000000006</v>
      </c>
      <c r="AJ83" s="13">
        <f>AI83*VLOOKUP('Données projet'!$B$10,Paramètres!$A$1:$I$89,3,0)*VLOOKUP('Données projet'!$B$10,Paramètres!$A$1:$I$89,5,0)</f>
        <v>159.86880000000002</v>
      </c>
      <c r="AK83" s="13">
        <f t="shared" si="89"/>
        <v>40.812921467768035</v>
      </c>
      <c r="AL83" s="20">
        <f t="shared" si="58"/>
        <v>349.52066488969604</v>
      </c>
      <c r="AM83" s="59">
        <f t="shared" si="59"/>
        <v>642.85399822302929</v>
      </c>
      <c r="AN83" s="59">
        <f ca="1">AVERAGE(OFFSET($AM$3,0,0,'Données projet'!$E$10+1,1))-AVERAGE(OFFSET($H$3,0,0,'Données projet'!$E$10+1,1))</f>
        <v>263.30962868541337</v>
      </c>
      <c r="AO83" s="59">
        <f t="shared" si="90"/>
        <v>269.61868559913404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16</v>
      </c>
      <c r="AR83" s="16">
        <f>IF(ISNA(VLOOKUP(A83,'Données projet'!$A$61:$I$81,5,0)),0%,VLOOKUP(A83,'Données projet'!$A$61:$I$81,5,0)*VLOOKUP('Données projet'!$B$10,Paramètres!$A$1:$I$89,7,0))</f>
        <v>8.6000000000000007E-2</v>
      </c>
      <c r="AS83" s="16">
        <f>IF(ISNA(VLOOKUP(A83,'Données projet'!$A$61:$I$81,6,0)),0%,VLOOKUP(A83,'Données projet'!$A$61:$I$81,6,0)*VLOOKUP('Données projet'!$B$10,Paramètres!$A$1:$I$89,7,0))</f>
        <v>0.215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2.4526545357448017</v>
      </c>
      <c r="AV83" s="21">
        <f>EXP(-LN(2)/25)*AV82+(1-EXP(-LN(2)/25))/(LN(2)/25)*Calculateur!AQ83*Calculateur!AS83*VLOOKUP('Données projet'!$B$10,Paramètres!$A$1:$I$89,3,0)*0.475*44/12</f>
        <v>12.833007499460914</v>
      </c>
      <c r="AW83" s="21">
        <f>EXP(-LN(2)/2)*AW82+(1-EXP(-LN(2)/2))/(LN(2)/2)*AQ83*AT83*VLOOKUP('Données projet'!$B$10,Paramètres!$A$1:$I$89,3,0)*0.475*44/12</f>
        <v>2.7038595871736879</v>
      </c>
      <c r="AX83" s="21">
        <f t="shared" si="60"/>
        <v>17.989521622379403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8.1746794871794854</v>
      </c>
      <c r="BD83" s="12">
        <f>IF('Données projet'!$A$88&gt;35,BD82+BC83-BL82,IF(A83&lt;'Données projet'!$A$88,$BA$205^A83,IF(A83='Données projet'!$A$88,'Données projet'!$B$88,BD82+BC83-BL82)))</f>
        <v>285.96474358974348</v>
      </c>
      <c r="BE83" s="13">
        <f>BD83*VLOOKUP('Données projet'!$B$11,Paramètres!$A$1:$I$89,3,0)*VLOOKUP('Données projet'!$B$11,Paramètres!$A$1:$I$89,5,0)</f>
        <v>258.7408999999999</v>
      </c>
      <c r="BF83" s="13">
        <f t="shared" si="91"/>
        <v>62.453912936792911</v>
      </c>
      <c r="BG83" s="20">
        <f t="shared" si="61"/>
        <v>559.41429919824748</v>
      </c>
      <c r="BH83" s="59">
        <f t="shared" si="62"/>
        <v>852.74763253158085</v>
      </c>
      <c r="BI83" s="59">
        <f ca="1">AVERAGE(OFFSET($BH$3,0,0,'Données projet'!$E$11+1,1))-AVERAGE(OFFSET($H$3,0,0,'Données projet'!$E$11+1,1))</f>
        <v>496.45286557802063</v>
      </c>
      <c r="BJ83" s="59">
        <f t="shared" si="92"/>
        <v>196.37811957788398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26.451898104582884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26.451898104582884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323.17232038705157</v>
      </c>
      <c r="T84" s="59">
        <f t="shared" si="88"/>
        <v>402.34685738619197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3.8</v>
      </c>
      <c r="AI84" s="13">
        <f>IF('Données projet'!$A$62&gt;35,AI83+AH84-AQ83,IF(A84&lt;'Données projet'!$A$62,$AF$205^A84,IF(A84='Données projet'!$A$62,'Données projet'!$B$62,AI83+AH84-AQ83)))</f>
        <v>231.80000000000007</v>
      </c>
      <c r="AJ84" s="13">
        <f>AI84*VLOOKUP('Données projet'!$B$10,Paramètres!$A$1:$I$89,3,0)*VLOOKUP('Données projet'!$B$10,Paramètres!$A$1:$I$89,5,0)</f>
        <v>151.87536000000003</v>
      </c>
      <c r="AK84" s="13">
        <f t="shared" si="89"/>
        <v>39.004459236504758</v>
      </c>
      <c r="AL84" s="20">
        <f t="shared" si="58"/>
        <v>332.44901850357911</v>
      </c>
      <c r="AM84" s="59">
        <f t="shared" si="59"/>
        <v>625.78235183691243</v>
      </c>
      <c r="AN84" s="59">
        <f ca="1">AVERAGE(OFFSET($AM$3,0,0,'Données projet'!$E$10+1,1))-AVERAGE(OFFSET($H$3,0,0,'Données projet'!$E$10+1,1))</f>
        <v>263.30962868541337</v>
      </c>
      <c r="AO84" s="59">
        <f t="shared" si="90"/>
        <v>269.61868559913404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2.4045594762703981</v>
      </c>
      <c r="AV84" s="21">
        <f>EXP(-LN(2)/25)*AV83+(1-EXP(-LN(2)/25))/(LN(2)/25)*Calculateur!AQ84*Calculateur!AS84*VLOOKUP('Données projet'!$B$10,Paramètres!$A$1:$I$89,3,0)*0.475*44/12</f>
        <v>12.482088234529622</v>
      </c>
      <c r="AW84" s="21">
        <f>EXP(-LN(2)/2)*AW83+(1-EXP(-LN(2)/2))/(LN(2)/2)*AQ84*AT84*VLOOKUP('Données projet'!$B$10,Paramètres!$A$1:$I$89,3,0)*0.475*44/12</f>
        <v>1.9119174494667739</v>
      </c>
      <c r="AX84" s="21">
        <f t="shared" si="60"/>
        <v>16.798565160266794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8.1746794871794854</v>
      </c>
      <c r="BD84" s="12">
        <f>IF('Données projet'!$A$88&gt;35,BD83+BC84-BL83,IF(A84&lt;'Données projet'!$A$88,$BA$205^A84,IF(A84='Données projet'!$A$88,'Données projet'!$B$88,BD83+BC84-BL83)))</f>
        <v>294.13942307692298</v>
      </c>
      <c r="BE84" s="13">
        <f>BD84*VLOOKUP('Données projet'!$B$11,Paramètres!$A$1:$I$89,3,0)*VLOOKUP('Données projet'!$B$11,Paramètres!$A$1:$I$89,5,0)</f>
        <v>266.13734999999986</v>
      </c>
      <c r="BF84" s="13">
        <f t="shared" si="91"/>
        <v>64.02883127145283</v>
      </c>
      <c r="BG84" s="20">
        <f t="shared" si="61"/>
        <v>575.03943238111333</v>
      </c>
      <c r="BH84" s="59">
        <f t="shared" si="62"/>
        <v>868.37276571444659</v>
      </c>
      <c r="BI84" s="59">
        <f ca="1">AVERAGE(OFFSET($BH$3,0,0,'Données projet'!$E$11+1,1))-AVERAGE(OFFSET($H$3,0,0,'Données projet'!$E$11+1,1))</f>
        <v>496.45286557802063</v>
      </c>
      <c r="BJ84" s="59">
        <f t="shared" si="92"/>
        <v>196.37811957788398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25.933192516816753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25.933192516816753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323.17232038705157</v>
      </c>
      <c r="T85" s="59">
        <f t="shared" si="88"/>
        <v>402.34685738619197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3.8</v>
      </c>
      <c r="AI85" s="13">
        <f>IF('Données projet'!$A$62&gt;35,AI84+AH85-AQ84,IF(A85&lt;'Données projet'!$A$62,$AF$205^A85,IF(A85='Données projet'!$A$62,'Données projet'!$B$62,AI84+AH85-AQ84)))</f>
        <v>235.60000000000008</v>
      </c>
      <c r="AJ85" s="13">
        <f>AI85*VLOOKUP('Données projet'!$B$10,Paramètres!$A$1:$I$89,3,0)*VLOOKUP('Données projet'!$B$10,Paramètres!$A$1:$I$89,5,0)</f>
        <v>154.36512000000005</v>
      </c>
      <c r="AK85" s="13">
        <f t="shared" si="89"/>
        <v>39.568912624848309</v>
      </c>
      <c r="AL85" s="20">
        <f t="shared" si="58"/>
        <v>337.76844015494419</v>
      </c>
      <c r="AM85" s="59">
        <f t="shared" si="59"/>
        <v>631.10177348827756</v>
      </c>
      <c r="AN85" s="59">
        <f ca="1">AVERAGE(OFFSET($AM$3,0,0,'Données projet'!$E$10+1,1))-AVERAGE(OFFSET($H$3,0,0,'Données projet'!$E$10+1,1))</f>
        <v>263.30962868541337</v>
      </c>
      <c r="AO85" s="59">
        <f t="shared" si="90"/>
        <v>269.61868559913404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2.3574075315771976</v>
      </c>
      <c r="AV85" s="21">
        <f>EXP(-LN(2)/25)*AV84+(1-EXP(-LN(2)/25))/(LN(2)/25)*Calculateur!AQ85*Calculateur!AS85*VLOOKUP('Données projet'!$B$10,Paramètres!$A$1:$I$89,3,0)*0.475*44/12</f>
        <v>12.140764875351916</v>
      </c>
      <c r="AW85" s="21">
        <f>EXP(-LN(2)/2)*AW84+(1-EXP(-LN(2)/2))/(LN(2)/2)*AQ85*AT85*VLOOKUP('Données projet'!$B$10,Paramètres!$A$1:$I$89,3,0)*0.475*44/12</f>
        <v>1.3519297935868442</v>
      </c>
      <c r="AX85" s="21">
        <f t="shared" si="60"/>
        <v>15.850102200515959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>
        <f>VLOOKUP(A85,'Données projet'!$A$87:$I$107,2,0)</f>
        <v>302.31410256410254</v>
      </c>
      <c r="BB85" s="12">
        <f>VLOOKUP(A85,'Données projet'!$A$87:$I$107,9,0)</f>
        <v>8.1746794871794854</v>
      </c>
      <c r="BC85" s="12">
        <f t="array" ref="BC85">INDEX(BB:BB,MIN(IF(ISNUMBER(BB85:BB281),ROW(BB85:BB281),"")))</f>
        <v>8.1746794871794854</v>
      </c>
      <c r="BD85" s="12">
        <f>IF('Données projet'!$A$88&gt;35,BD84+BC85-BL84,IF(A85&lt;'Données projet'!$A$88,$BA$205^A85,IF(A85='Données projet'!$A$88,'Données projet'!$B$88,BD84+BC85-BL84)))</f>
        <v>302.31410256410248</v>
      </c>
      <c r="BE85" s="13">
        <f>BD85*VLOOKUP('Données projet'!$B$11,Paramètres!$A$1:$I$89,3,0)*VLOOKUP('Données projet'!$B$11,Paramètres!$A$1:$I$89,5,0)</f>
        <v>273.53379999999993</v>
      </c>
      <c r="BF85" s="13">
        <f t="shared" si="91"/>
        <v>65.598662329861227</v>
      </c>
      <c r="BG85" s="20">
        <f t="shared" si="61"/>
        <v>590.6557052245081</v>
      </c>
      <c r="BH85" s="59">
        <f t="shared" si="62"/>
        <v>883.98903855784147</v>
      </c>
      <c r="BI85" s="59">
        <f ca="1">AVERAGE(OFFSET($BH$3,0,0,'Données projet'!$E$11+1,1))-AVERAGE(OFFSET($H$3,0,0,'Données projet'!$E$11+1,1))</f>
        <v>496.45286557802063</v>
      </c>
      <c r="BJ85" s="59">
        <f t="shared" si="92"/>
        <v>196.37811957788398</v>
      </c>
      <c r="BK85" s="15">
        <f>IF(ISNA(VLOOKUP(A85,'Données projet'!$A$87:$I$107,3,0)),0,VLOOKUP(A85,'Données projet'!$A$87:$I$107,3,0))</f>
        <v>7</v>
      </c>
      <c r="BL85" s="15">
        <f>IF(ISNA(VLOOKUP(A85,'Données projet'!$A$87:$I$107,4,0)),0,VLOOKUP(A85,'Données projet'!$A$87:$I$107,4,0))</f>
        <v>40.371794871794869</v>
      </c>
      <c r="BM85" s="16">
        <f>IF(ISNA(VLOOKUP(A85,'Données projet'!$A$87:$I$107,5,0)),0%,VLOOKUP(A85,'Données projet'!$A$87:$I$107,5,0)*VLOOKUP('Données projet'!$B$11,Paramètres!$A$1:$I$89,7,0))</f>
        <v>0.30099999999999999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37.579358756978692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37.579358756978692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323.17232038705157</v>
      </c>
      <c r="T86" s="59">
        <f t="shared" si="88"/>
        <v>402.34685738619197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3.8</v>
      </c>
      <c r="AI86" s="13">
        <f>IF('Données projet'!$A$62&gt;35,AI85+AH86-AQ85,IF(A86&lt;'Données projet'!$A$62,$AF$205^A86,IF(A86='Données projet'!$A$62,'Données projet'!$B$62,AI85+AH86-AQ85)))</f>
        <v>239.40000000000009</v>
      </c>
      <c r="AJ86" s="13">
        <f>AI86*VLOOKUP('Données projet'!$B$10,Paramètres!$A$1:$I$89,3,0)*VLOOKUP('Données projet'!$B$10,Paramètres!$A$1:$I$89,5,0)</f>
        <v>156.85488000000007</v>
      </c>
      <c r="AK86" s="13">
        <f t="shared" si="89"/>
        <v>40.132307243083858</v>
      </c>
      <c r="AL86" s="20">
        <f t="shared" si="58"/>
        <v>343.08601778170447</v>
      </c>
      <c r="AM86" s="59">
        <f t="shared" si="59"/>
        <v>636.41935111503778</v>
      </c>
      <c r="AN86" s="59">
        <f ca="1">AVERAGE(OFFSET($AM$3,0,0,'Données projet'!$E$10+1,1))-AVERAGE(OFFSET($H$3,0,0,'Données projet'!$E$10+1,1))</f>
        <v>263.30962868541337</v>
      </c>
      <c r="AO86" s="59">
        <f t="shared" si="90"/>
        <v>269.61868559913404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2.3111802077595844</v>
      </c>
      <c r="AV86" s="21">
        <f>EXP(-LN(2)/25)*AV85+(1-EXP(-LN(2)/25))/(LN(2)/25)*Calculateur!AQ86*Calculateur!AS86*VLOOKUP('Données projet'!$B$10,Paramètres!$A$1:$I$89,3,0)*0.475*44/12</f>
        <v>11.808775021380342</v>
      </c>
      <c r="AW86" s="21">
        <f>EXP(-LN(2)/2)*AW85+(1-EXP(-LN(2)/2))/(LN(2)/2)*AQ86*AT86*VLOOKUP('Données projet'!$B$10,Paramètres!$A$1:$I$89,3,0)*0.475*44/12</f>
        <v>0.95595872473338706</v>
      </c>
      <c r="AX86" s="21">
        <f t="shared" si="60"/>
        <v>15.075913953873313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7.8677884615384599</v>
      </c>
      <c r="BD86" s="12">
        <f>IF('Données projet'!$A$88&gt;35,BD85+BC86-BL85,IF(A86&lt;'Données projet'!$A$88,$BA$205^A86,IF(A86='Données projet'!$A$88,'Données projet'!$B$88,BD85+BC86-BL85)))</f>
        <v>269.81009615384608</v>
      </c>
      <c r="BE86" s="13">
        <f>BD86*VLOOKUP('Données projet'!$B$11,Paramètres!$A$1:$I$89,3,0)*VLOOKUP('Données projet'!$B$11,Paramètres!$A$1:$I$89,5,0)</f>
        <v>244.12417499999989</v>
      </c>
      <c r="BF86" s="13">
        <f t="shared" si="91"/>
        <v>59.325985011718309</v>
      </c>
      <c r="BG86" s="20">
        <f t="shared" si="61"/>
        <v>528.50902868707578</v>
      </c>
      <c r="BH86" s="59">
        <f t="shared" si="62"/>
        <v>821.84236202040915</v>
      </c>
      <c r="BI86" s="59">
        <f ca="1">AVERAGE(OFFSET($BH$3,0,0,'Données projet'!$E$11+1,1))-AVERAGE(OFFSET($H$3,0,0,'Données projet'!$E$11+1,1))</f>
        <v>496.45286557802063</v>
      </c>
      <c r="BJ86" s="59">
        <f t="shared" si="92"/>
        <v>196.37811957788398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36.842450452899904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36.842450452899904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323.17232038705157</v>
      </c>
      <c r="T87" s="59">
        <f t="shared" si="88"/>
        <v>402.34685738619197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3.8</v>
      </c>
      <c r="AI87" s="13">
        <f>IF('Données projet'!$A$62&gt;35,AI86+AH87-AQ86,IF(A87&lt;'Données projet'!$A$62,$AF$205^A87,IF(A87='Données projet'!$A$62,'Données projet'!$B$62,AI86+AH87-AQ86)))</f>
        <v>243.2000000000001</v>
      </c>
      <c r="AJ87" s="13">
        <f>AI87*VLOOKUP('Données projet'!$B$10,Paramètres!$A$1:$I$89,3,0)*VLOOKUP('Données projet'!$B$10,Paramètres!$A$1:$I$89,5,0)</f>
        <v>159.34464000000006</v>
      </c>
      <c r="AK87" s="13">
        <f t="shared" si="89"/>
        <v>40.694661837553809</v>
      </c>
      <c r="AL87" s="20">
        <f t="shared" si="58"/>
        <v>348.40178403373966</v>
      </c>
      <c r="AM87" s="59">
        <f t="shared" si="59"/>
        <v>641.73511736707292</v>
      </c>
      <c r="AN87" s="59">
        <f ca="1">AVERAGE(OFFSET($AM$3,0,0,'Données projet'!$E$10+1,1))-AVERAGE(OFFSET($H$3,0,0,'Données projet'!$E$10+1,1))</f>
        <v>263.30962868541337</v>
      </c>
      <c r="AO87" s="59">
        <f t="shared" si="90"/>
        <v>269.61868559913404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2.2658593735661512</v>
      </c>
      <c r="AV87" s="21">
        <f>EXP(-LN(2)/25)*AV86+(1-EXP(-LN(2)/25))/(LN(2)/25)*Calculateur!AQ87*Calculateur!AS87*VLOOKUP('Données projet'!$B$10,Paramètres!$A$1:$I$89,3,0)*0.475*44/12</f>
        <v>11.485863447424208</v>
      </c>
      <c r="AW87" s="21">
        <f>EXP(-LN(2)/2)*AW86+(1-EXP(-LN(2)/2))/(LN(2)/2)*AQ87*AT87*VLOOKUP('Données projet'!$B$10,Paramètres!$A$1:$I$89,3,0)*0.475*44/12</f>
        <v>0.6759648967934222</v>
      </c>
      <c r="AX87" s="21">
        <f t="shared" si="60"/>
        <v>14.427687717783781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7.8677884615384599</v>
      </c>
      <c r="BD87" s="12">
        <f>IF('Données projet'!$A$88&gt;35,BD86+BC87-BL86,IF(A87&lt;'Données projet'!$A$88,$BA$205^A87,IF(A87='Données projet'!$A$88,'Données projet'!$B$88,BD86+BC87-BL86)))</f>
        <v>277.67788461538453</v>
      </c>
      <c r="BE87" s="13">
        <f>BD87*VLOOKUP('Données projet'!$B$11,Paramètres!$A$1:$I$89,3,0)*VLOOKUP('Données projet'!$B$11,Paramètres!$A$1:$I$89,5,0)</f>
        <v>251.24294999999989</v>
      </c>
      <c r="BF87" s="13">
        <f t="shared" si="91"/>
        <v>60.852023014307242</v>
      </c>
      <c r="BG87" s="20">
        <f t="shared" si="61"/>
        <v>543.56541133325163</v>
      </c>
      <c r="BH87" s="59">
        <f t="shared" si="62"/>
        <v>836.89874466658489</v>
      </c>
      <c r="BI87" s="59">
        <f ca="1">AVERAGE(OFFSET($BH$3,0,0,'Données projet'!$E$11+1,1))-AVERAGE(OFFSET($H$3,0,0,'Données projet'!$E$11+1,1))</f>
        <v>496.45286557802063</v>
      </c>
      <c r="BJ87" s="59">
        <f t="shared" si="92"/>
        <v>196.37811957788398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36.119992471194422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36.119992471194422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323.17232038705157</v>
      </c>
      <c r="T88" s="59">
        <f t="shared" si="88"/>
        <v>402.34685738619197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247</v>
      </c>
      <c r="AG88" s="12">
        <f>VLOOKUP(A88,'Données projet'!$A$61:$I$81,9,0)</f>
        <v>3.8</v>
      </c>
      <c r="AH88" s="12">
        <f t="array" ref="AH88">INDEX(AG:AG,MIN(IF(ISNUMBER(AG88:AG284),ROW(AG88:AG284),"")))</f>
        <v>3.8</v>
      </c>
      <c r="AI88" s="13">
        <f>IF('Données projet'!$A$62&gt;35,AI87+AH88-AQ87,IF(A88&lt;'Données projet'!$A$62,$AF$205^A88,IF(A88='Données projet'!$A$62,'Données projet'!$B$62,AI87+AH88-AQ87)))</f>
        <v>247.00000000000011</v>
      </c>
      <c r="AJ88" s="13">
        <f>AI88*VLOOKUP('Données projet'!$B$10,Paramètres!$A$1:$I$89,3,0)*VLOOKUP('Données projet'!$B$10,Paramètres!$A$1:$I$89,5,0)</f>
        <v>161.83440000000007</v>
      </c>
      <c r="AK88" s="13">
        <f t="shared" si="89"/>
        <v>41.255994535170515</v>
      </c>
      <c r="AL88" s="20">
        <f t="shared" si="58"/>
        <v>353.71577048208877</v>
      </c>
      <c r="AM88" s="59">
        <f t="shared" si="59"/>
        <v>647.04910381542209</v>
      </c>
      <c r="AN88" s="59">
        <f ca="1">AVERAGE(OFFSET($AM$3,0,0,'Données projet'!$E$10+1,1))-AVERAGE(OFFSET($H$3,0,0,'Données projet'!$E$10+1,1))</f>
        <v>263.30962868541337</v>
      </c>
      <c r="AO88" s="59">
        <f t="shared" si="90"/>
        <v>269.61868559913404</v>
      </c>
      <c r="AP88" s="15">
        <f>IF(ISNA(VLOOKUP(A88,'Données projet'!$A$61:$I$81,3,0)),0,VLOOKUP(A88,'Données projet'!$A$61:$I$81,3,0))</f>
        <v>16</v>
      </c>
      <c r="AQ88" s="15">
        <f>IF(ISNA(VLOOKUP(A88,'Données projet'!$A$61:$I$81,4,0)),0,VLOOKUP(A88,'Données projet'!$A$61:$I$81,4,0))</f>
        <v>15</v>
      </c>
      <c r="AR88" s="16">
        <f>IF(ISNA(VLOOKUP(A88,'Données projet'!$A$61:$I$81,5,0)),0%,VLOOKUP(A88,'Données projet'!$A$61:$I$81,5,0)*VLOOKUP('Données projet'!$B$10,Paramètres!$A$1:$I$89,7,0))</f>
        <v>8.6000000000000007E-2</v>
      </c>
      <c r="AS88" s="16">
        <f>IF(ISNA(VLOOKUP(A88,'Données projet'!$A$61:$I$81,6,0)),0%,VLOOKUP(A88,'Données projet'!$A$61:$I$81,6,0)*VLOOKUP('Données projet'!$B$10,Paramètres!$A$1:$I$89,7,0))</f>
        <v>0.215</v>
      </c>
      <c r="AT88" s="16">
        <f>IF(ISNA(VLOOKUP(A88,'Données projet'!$A$61:$I$81,7,0)),0%,VLOOKUP(A88,'Données projet'!$A$61:$I$81,7,0))</f>
        <v>0.2</v>
      </c>
      <c r="AU88" s="21">
        <f>EXP(-LN(2)/35)*AU87+(1-EXP(-LN(2)/35))/(LN(2)/35)*AQ88*AR88*VLOOKUP('Données projet'!$B$10,Paramètres!$A$1:$I$89,3,0)*0.475*44/12</f>
        <v>3.1557796618325575</v>
      </c>
      <c r="AV88" s="21">
        <f>EXP(-LN(2)/25)*AV87+(1-EXP(-LN(2)/25))/(LN(2)/25)*Calculateur!AQ88*Calculateur!AS88*VLOOKUP('Données projet'!$B$10,Paramètres!$A$1:$I$89,3,0)*0.475*44/12</f>
        <v>13.498465675178256</v>
      </c>
      <c r="AW88" s="21">
        <f>EXP(-LN(2)/2)*AW87+(1-EXP(-LN(2)/2))/(LN(2)/2)*AQ88*AT88*VLOOKUP('Données projet'!$B$10,Paramètres!$A$1:$I$89,3,0)*0.475*44/12</f>
        <v>2.3325758657150448</v>
      </c>
      <c r="AX88" s="21">
        <f t="shared" si="60"/>
        <v>18.986821202725856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7.8677884615384599</v>
      </c>
      <c r="BD88" s="12">
        <f>IF('Données projet'!$A$88&gt;35,BD87+BC88-BL87,IF(A88&lt;'Données projet'!$A$88,$BA$205^A88,IF(A88='Données projet'!$A$88,'Données projet'!$B$88,BD87+BC88-BL87)))</f>
        <v>285.54567307692298</v>
      </c>
      <c r="BE88" s="13">
        <f>BD88*VLOOKUP('Données projet'!$B$11,Paramètres!$A$1:$I$89,3,0)*VLOOKUP('Données projet'!$B$11,Paramètres!$A$1:$I$89,5,0)</f>
        <v>258.36172499999986</v>
      </c>
      <c r="BF88" s="13">
        <f t="shared" si="91"/>
        <v>62.373035564748548</v>
      </c>
      <c r="BG88" s="20">
        <f t="shared" si="61"/>
        <v>558.6130413169368</v>
      </c>
      <c r="BH88" s="59">
        <f t="shared" si="62"/>
        <v>851.94637465027017</v>
      </c>
      <c r="BI88" s="59">
        <f ca="1">AVERAGE(OFFSET($BH$3,0,0,'Données projet'!$E$11+1,1))-AVERAGE(OFFSET($H$3,0,0,'Données projet'!$E$11+1,1))</f>
        <v>496.45286557802063</v>
      </c>
      <c r="BJ88" s="59">
        <f t="shared" si="92"/>
        <v>196.37811957788398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35.411701449854327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35.411701449854327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323.17232038705157</v>
      </c>
      <c r="T89" s="59">
        <f t="shared" si="88"/>
        <v>402.34685738619197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3.6</v>
      </c>
      <c r="AI89" s="13">
        <f>IF('Données projet'!$A$62&gt;35,AI88+AH89-AQ88,IF(A89&lt;'Données projet'!$A$62,$AF$205^A89,IF(A89='Données projet'!$A$62,'Données projet'!$B$62,AI88+AH89-AQ88)))</f>
        <v>235.60000000000011</v>
      </c>
      <c r="AJ89" s="13">
        <f>AI89*VLOOKUP('Données projet'!$B$10,Paramètres!$A$1:$I$89,3,0)*VLOOKUP('Données projet'!$B$10,Paramètres!$A$1:$I$89,5,0)</f>
        <v>154.36512000000008</v>
      </c>
      <c r="AK89" s="13">
        <f t="shared" si="89"/>
        <v>39.568912624848309</v>
      </c>
      <c r="AL89" s="20">
        <f t="shared" si="58"/>
        <v>337.76844015494424</v>
      </c>
      <c r="AM89" s="59">
        <f t="shared" si="59"/>
        <v>631.10177348827756</v>
      </c>
      <c r="AN89" s="59">
        <f ca="1">AVERAGE(OFFSET($AM$3,0,0,'Données projet'!$E$10+1,1))-AVERAGE(OFFSET($H$3,0,0,'Données projet'!$E$10+1,1))</f>
        <v>263.30962868541337</v>
      </c>
      <c r="AO89" s="59">
        <f t="shared" si="90"/>
        <v>269.61868559913404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3.0938967474995529</v>
      </c>
      <c r="AV89" s="21">
        <f>EXP(-LN(2)/25)*AV88+(1-EXP(-LN(2)/25))/(LN(2)/25)*Calculateur!AQ89*Calculateur!AS89*VLOOKUP('Données projet'!$B$10,Paramètres!$A$1:$I$89,3,0)*0.475*44/12</f>
        <v>13.129349421437048</v>
      </c>
      <c r="AW89" s="21">
        <f>EXP(-LN(2)/2)*AW88+(1-EXP(-LN(2)/2))/(LN(2)/2)*AQ89*AT89*VLOOKUP('Données projet'!$B$10,Paramètres!$A$1:$I$89,3,0)*0.475*44/12</f>
        <v>1.6493802122791901</v>
      </c>
      <c r="AX89" s="21">
        <f t="shared" si="60"/>
        <v>17.872626381215792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7.8677884615384599</v>
      </c>
      <c r="BD89" s="12">
        <f>IF('Données projet'!$A$88&gt;35,BD88+BC89-BL88,IF(A89&lt;'Données projet'!$A$88,$BA$205^A89,IF(A89='Données projet'!$A$88,'Données projet'!$B$88,BD88+BC89-BL88)))</f>
        <v>293.41346153846143</v>
      </c>
      <c r="BE89" s="13">
        <f>BD89*VLOOKUP('Données projet'!$B$11,Paramètres!$A$1:$I$89,3,0)*VLOOKUP('Données projet'!$B$11,Paramètres!$A$1:$I$89,5,0)</f>
        <v>265.48049999999989</v>
      </c>
      <c r="BF89" s="13">
        <f t="shared" si="91"/>
        <v>63.88917704165199</v>
      </c>
      <c r="BG89" s="20">
        <f t="shared" si="61"/>
        <v>573.65218751421037</v>
      </c>
      <c r="BH89" s="59">
        <f t="shared" si="62"/>
        <v>866.98552084754374</v>
      </c>
      <c r="BI89" s="59">
        <f ca="1">AVERAGE(OFFSET($BH$3,0,0,'Données projet'!$E$11+1,1))-AVERAGE(OFFSET($H$3,0,0,'Données projet'!$E$11+1,1))</f>
        <v>496.45286557802063</v>
      </c>
      <c r="BJ89" s="59">
        <f t="shared" si="92"/>
        <v>196.37811957788398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34.717299583427845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34.717299583427845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323.17232038705157</v>
      </c>
      <c r="T90" s="59">
        <f t="shared" si="88"/>
        <v>402.34685738619197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3.6</v>
      </c>
      <c r="AI90" s="13">
        <f>IF('Données projet'!$A$62&gt;35,AI89+AH90-AQ89,IF(A90&lt;'Données projet'!$A$62,$AF$205^A90,IF(A90='Données projet'!$A$62,'Données projet'!$B$62,AI89+AH90-AQ89)))</f>
        <v>239.2000000000001</v>
      </c>
      <c r="AJ90" s="13">
        <f>AI90*VLOOKUP('Données projet'!$B$10,Paramètres!$A$1:$I$89,3,0)*VLOOKUP('Données projet'!$B$10,Paramètres!$A$1:$I$89,5,0)</f>
        <v>156.72384000000008</v>
      </c>
      <c r="AK90" s="13">
        <f t="shared" si="89"/>
        <v>40.102680984620484</v>
      </c>
      <c r="AL90" s="20">
        <f t="shared" si="58"/>
        <v>342.80619071488081</v>
      </c>
      <c r="AM90" s="59">
        <f t="shared" si="59"/>
        <v>636.13952404821407</v>
      </c>
      <c r="AN90" s="59">
        <f ca="1">AVERAGE(OFFSET($AM$3,0,0,'Données projet'!$E$10+1,1))-AVERAGE(OFFSET($H$3,0,0,'Données projet'!$E$10+1,1))</f>
        <v>263.30962868541337</v>
      </c>
      <c r="AO90" s="59">
        <f t="shared" si="90"/>
        <v>269.61868559913404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3.0332273193717678</v>
      </c>
      <c r="AV90" s="21">
        <f>EXP(-LN(2)/25)*AV89+(1-EXP(-LN(2)/25))/(LN(2)/25)*Calculateur!AQ90*Calculateur!AS90*VLOOKUP('Données projet'!$B$10,Paramètres!$A$1:$I$89,3,0)*0.475*44/12</f>
        <v>12.770326671065373</v>
      </c>
      <c r="AW90" s="21">
        <f>EXP(-LN(2)/2)*AW89+(1-EXP(-LN(2)/2))/(LN(2)/2)*AQ90*AT90*VLOOKUP('Données projet'!$B$10,Paramètres!$A$1:$I$89,3,0)*0.475*44/12</f>
        <v>1.1662879328575226</v>
      </c>
      <c r="AX90" s="21">
        <f t="shared" si="60"/>
        <v>16.969841923294663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7.8677884615384599</v>
      </c>
      <c r="BD90" s="12">
        <f>IF('Données projet'!$A$88&gt;35,BD89+BC90-BL89,IF(A90&lt;'Données projet'!$A$88,$BA$205^A90,IF(A90='Données projet'!$A$88,'Données projet'!$B$88,BD89+BC90-BL89)))</f>
        <v>301.28124999999989</v>
      </c>
      <c r="BE90" s="13">
        <f>BD90*VLOOKUP('Données projet'!$B$11,Paramètres!$A$1:$I$89,3,0)*VLOOKUP('Données projet'!$B$11,Paramètres!$A$1:$I$89,5,0)</f>
        <v>272.59927499999992</v>
      </c>
      <c r="BF90" s="13">
        <f t="shared" si="91"/>
        <v>65.400593073041165</v>
      </c>
      <c r="BG90" s="20">
        <f t="shared" si="61"/>
        <v>588.68310356054656</v>
      </c>
      <c r="BH90" s="59">
        <f t="shared" si="62"/>
        <v>882.01643689387993</v>
      </c>
      <c r="BI90" s="59">
        <f ca="1">AVERAGE(OFFSET($BH$3,0,0,'Données projet'!$E$11+1,1))-AVERAGE(OFFSET($H$3,0,0,'Données projet'!$E$11+1,1))</f>
        <v>496.45286557802063</v>
      </c>
      <c r="BJ90" s="59">
        <f t="shared" si="92"/>
        <v>196.37811957788398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34.036514514058666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34.036514514058666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323.17232038705157</v>
      </c>
      <c r="T91" s="59">
        <f t="shared" si="88"/>
        <v>402.34685738619197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3.6</v>
      </c>
      <c r="AI91" s="13">
        <f>IF('Données projet'!$A$62&gt;35,AI90+AH91-AQ90,IF(A91&lt;'Données projet'!$A$62,$AF$205^A91,IF(A91='Données projet'!$A$62,'Données projet'!$B$62,AI90+AH91-AQ90)))</f>
        <v>242.8000000000001</v>
      </c>
      <c r="AJ91" s="13">
        <f>AI91*VLOOKUP('Données projet'!$B$10,Paramètres!$A$1:$I$89,3,0)*VLOOKUP('Données projet'!$B$10,Paramètres!$A$1:$I$89,5,0)</f>
        <v>159.08256000000006</v>
      </c>
      <c r="AK91" s="13">
        <f t="shared" si="89"/>
        <v>40.635515049195902</v>
      </c>
      <c r="AL91" s="20">
        <f t="shared" si="58"/>
        <v>347.84231404401629</v>
      </c>
      <c r="AM91" s="59">
        <f t="shared" si="59"/>
        <v>641.17564737734961</v>
      </c>
      <c r="AN91" s="59">
        <f ca="1">AVERAGE(OFFSET($AM$3,0,0,'Données projet'!$E$10+1,1))-AVERAGE(OFFSET($H$3,0,0,'Données projet'!$E$10+1,1))</f>
        <v>263.30962868541337</v>
      </c>
      <c r="AO91" s="59">
        <f t="shared" si="90"/>
        <v>269.61868559913404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2.9737475817248713</v>
      </c>
      <c r="AV91" s="21">
        <f>EXP(-LN(2)/25)*AV90+(1-EXP(-LN(2)/25))/(LN(2)/25)*Calculateur!AQ91*Calculateur!AS91*VLOOKUP('Données projet'!$B$10,Paramètres!$A$1:$I$89,3,0)*0.475*44/12</f>
        <v>12.421121416682798</v>
      </c>
      <c r="AW91" s="21">
        <f>EXP(-LN(2)/2)*AW90+(1-EXP(-LN(2)/2))/(LN(2)/2)*AQ91*AT91*VLOOKUP('Données projet'!$B$10,Paramètres!$A$1:$I$89,3,0)*0.475*44/12</f>
        <v>0.82469010613959515</v>
      </c>
      <c r="AX91" s="21">
        <f t="shared" si="60"/>
        <v>16.219559104547265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7.8677884615384599</v>
      </c>
      <c r="BD91" s="12">
        <f>IF('Données projet'!$A$88&gt;35,BD90+BC91-BL90,IF(A91&lt;'Données projet'!$A$88,$BA$205^A91,IF(A91='Données projet'!$A$88,'Données projet'!$B$88,BD90+BC91-BL90)))</f>
        <v>309.14903846153834</v>
      </c>
      <c r="BE91" s="13">
        <f>BD91*VLOOKUP('Données projet'!$B$11,Paramètres!$A$1:$I$89,3,0)*VLOOKUP('Données projet'!$B$11,Paramètres!$A$1:$I$89,5,0)</f>
        <v>279.71804999999989</v>
      </c>
      <c r="BF91" s="13">
        <f t="shared" si="91"/>
        <v>66.907421247747862</v>
      </c>
      <c r="BG91" s="20">
        <f t="shared" si="61"/>
        <v>603.70602908982733</v>
      </c>
      <c r="BH91" s="59">
        <f t="shared" si="62"/>
        <v>897.03936242316058</v>
      </c>
      <c r="BI91" s="59">
        <f ca="1">AVERAGE(OFFSET($BH$3,0,0,'Données projet'!$E$11+1,1))-AVERAGE(OFFSET($H$3,0,0,'Données projet'!$E$11+1,1))</f>
        <v>496.45286557802063</v>
      </c>
      <c r="BJ91" s="59">
        <f t="shared" si="92"/>
        <v>196.37811957788398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33.369079224661931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33.369079224661931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323.17232038705157</v>
      </c>
      <c r="T92" s="59">
        <f t="shared" si="88"/>
        <v>402.34685738619197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3.6</v>
      </c>
      <c r="AI92" s="13">
        <f>IF('Données projet'!$A$62&gt;35,AI91+AH92-AQ91,IF(A92&lt;'Données projet'!$A$62,$AF$205^A92,IF(A92='Données projet'!$A$62,'Données projet'!$B$62,AI91+AH92-AQ91)))</f>
        <v>246.40000000000009</v>
      </c>
      <c r="AJ92" s="13">
        <f>AI92*VLOOKUP('Données projet'!$B$10,Paramètres!$A$1:$I$89,3,0)*VLOOKUP('Données projet'!$B$10,Paramètres!$A$1:$I$89,5,0)</f>
        <v>161.44128000000006</v>
      </c>
      <c r="AK92" s="13">
        <f t="shared" si="89"/>
        <v>41.167430271655704</v>
      </c>
      <c r="AL92" s="20">
        <f t="shared" si="58"/>
        <v>352.87683705646708</v>
      </c>
      <c r="AM92" s="59">
        <f t="shared" si="59"/>
        <v>646.2101703898004</v>
      </c>
      <c r="AN92" s="59">
        <f ca="1">AVERAGE(OFFSET($AM$3,0,0,'Données projet'!$E$10+1,1))-AVERAGE(OFFSET($H$3,0,0,'Données projet'!$E$10+1,1))</f>
        <v>263.30962868541337</v>
      </c>
      <c r="AO92" s="59">
        <f t="shared" si="90"/>
        <v>269.61868559913404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2.9154342054541731</v>
      </c>
      <c r="AV92" s="21">
        <f>EXP(-LN(2)/25)*AV91+(1-EXP(-LN(2)/25))/(LN(2)/25)*Calculateur!AQ92*Calculateur!AS92*VLOOKUP('Données projet'!$B$10,Paramètres!$A$1:$I$89,3,0)*0.475*44/12</f>
        <v>12.081465198345221</v>
      </c>
      <c r="AW92" s="21">
        <f>EXP(-LN(2)/2)*AW91+(1-EXP(-LN(2)/2))/(LN(2)/2)*AQ92*AT92*VLOOKUP('Données projet'!$B$10,Paramètres!$A$1:$I$89,3,0)*0.475*44/12</f>
        <v>0.58314396642876143</v>
      </c>
      <c r="AX92" s="21">
        <f t="shared" si="60"/>
        <v>15.580043370228154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7.8677884615384599</v>
      </c>
      <c r="BD92" s="12">
        <f>IF('Données projet'!$A$88&gt;35,BD91+BC92-BL91,IF(A92&lt;'Données projet'!$A$88,$BA$205^A92,IF(A92='Données projet'!$A$88,'Données projet'!$B$88,BD91+BC92-BL91)))</f>
        <v>317.01682692307679</v>
      </c>
      <c r="BE92" s="13">
        <f>BD92*VLOOKUP('Données projet'!$B$11,Paramètres!$A$1:$I$89,3,0)*VLOOKUP('Données projet'!$B$11,Paramètres!$A$1:$I$89,5,0)</f>
        <v>286.83682499999986</v>
      </c>
      <c r="BF92" s="13">
        <f t="shared" si="91"/>
        <v>68.409791752349292</v>
      </c>
      <c r="BG92" s="20">
        <f t="shared" si="61"/>
        <v>618.72119084367478</v>
      </c>
      <c r="BH92" s="59">
        <f t="shared" si="62"/>
        <v>912.05452417700803</v>
      </c>
      <c r="BI92" s="59">
        <f ca="1">AVERAGE(OFFSET($BH$3,0,0,'Données projet'!$E$11+1,1))-AVERAGE(OFFSET($H$3,0,0,'Données projet'!$E$11+1,1))</f>
        <v>496.45286557802063</v>
      </c>
      <c r="BJ92" s="59">
        <f t="shared" si="92"/>
        <v>196.37811957788398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32.71473193419493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32.71473193419493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323.17232038705157</v>
      </c>
      <c r="T93" s="59">
        <f t="shared" si="88"/>
        <v>402.34685738619197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250</v>
      </c>
      <c r="AG93" s="12">
        <f>VLOOKUP(A93,'Données projet'!$A$61:$I$81,9,0)</f>
        <v>3.6</v>
      </c>
      <c r="AH93" s="12">
        <f t="array" ref="AH93">INDEX(AG:AG,MIN(IF(ISNUMBER(AG93:AG289),ROW(AG93:AG289),"")))</f>
        <v>3.6</v>
      </c>
      <c r="AI93" s="13">
        <f>IF('Données projet'!$A$62&gt;35,AI92+AH93-AQ92,IF(A93&lt;'Données projet'!$A$62,$AF$205^A93,IF(A93='Données projet'!$A$62,'Données projet'!$B$62,AI92+AH93-AQ92)))</f>
        <v>250.00000000000009</v>
      </c>
      <c r="AJ93" s="13">
        <f>AI93*VLOOKUP('Données projet'!$B$10,Paramètres!$A$1:$I$89,3,0)*VLOOKUP('Données projet'!$B$10,Paramètres!$A$1:$I$89,5,0)</f>
        <v>163.80000000000004</v>
      </c>
      <c r="AK93" s="13">
        <f t="shared" si="89"/>
        <v>41.698441627605334</v>
      </c>
      <c r="AL93" s="20">
        <f t="shared" si="58"/>
        <v>357.90978583474595</v>
      </c>
      <c r="AM93" s="59">
        <f t="shared" si="59"/>
        <v>651.24311916807926</v>
      </c>
      <c r="AN93" s="59">
        <f ca="1">AVERAGE(OFFSET($AM$3,0,0,'Données projet'!$E$10+1,1))-AVERAGE(OFFSET($H$3,0,0,'Données projet'!$E$10+1,1))</f>
        <v>263.30962868541337</v>
      </c>
      <c r="AO93" s="59">
        <f t="shared" si="90"/>
        <v>269.61868559913404</v>
      </c>
      <c r="AP93" s="15">
        <f>IF(ISNA(VLOOKUP(A93,'Données projet'!$A$61:$I$81,3,0)),0,VLOOKUP(A93,'Données projet'!$A$61:$I$81,3,0))</f>
        <v>17</v>
      </c>
      <c r="AQ93" s="15">
        <f>IF(ISNA(VLOOKUP(A93,'Données projet'!$A$61:$I$81,4,0)),0,VLOOKUP(A93,'Données projet'!$A$61:$I$81,4,0))</f>
        <v>14</v>
      </c>
      <c r="AR93" s="16">
        <f>IF(ISNA(VLOOKUP(A93,'Données projet'!$A$61:$I$81,5,0)),0%,VLOOKUP(A93,'Données projet'!$A$61:$I$81,5,0)*VLOOKUP('Données projet'!$B$10,Paramètres!$A$1:$I$89,7,0))</f>
        <v>8.6000000000000007E-2</v>
      </c>
      <c r="AS93" s="16">
        <f>IF(ISNA(VLOOKUP(A93,'Données projet'!$A$61:$I$81,6,0)),0%,VLOOKUP(A93,'Données projet'!$A$61:$I$81,6,0)*VLOOKUP('Données projet'!$B$10,Paramètres!$A$1:$I$89,7,0))</f>
        <v>0.215</v>
      </c>
      <c r="AT93" s="16">
        <f>IF(ISNA(VLOOKUP(A93,'Données projet'!$A$61:$I$81,7,0)),0%,VLOOKUP(A93,'Données projet'!$A$61:$I$81,7,0))</f>
        <v>0.2</v>
      </c>
      <c r="AU93" s="21">
        <f>EXP(-LN(2)/35)*AU92+(1-EXP(-LN(2)/35))/(LN(2)/35)*AQ93*AR93*VLOOKUP('Données projet'!$B$10,Paramètres!$A$1:$I$89,3,0)*0.475*44/12</f>
        <v>3.7303265668991621</v>
      </c>
      <c r="AV93" s="21">
        <f>EXP(-LN(2)/25)*AV92+(1-EXP(-LN(2)/25))/(LN(2)/25)*Calculateur!AQ93*Calculateur!AS93*VLOOKUP('Données projet'!$B$10,Paramètres!$A$1:$I$89,3,0)*0.475*44/12</f>
        <v>13.922668413716387</v>
      </c>
      <c r="AW93" s="21">
        <f>EXP(-LN(2)/2)*AW92+(1-EXP(-LN(2)/2))/(LN(2)/2)*AQ93*AT93*VLOOKUP('Données projet'!$B$10,Paramètres!$A$1:$I$89,3,0)*0.475*44/12</f>
        <v>2.1433017895282589</v>
      </c>
      <c r="AX93" s="21">
        <f t="shared" si="60"/>
        <v>19.796296770143808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324.88461538461536</v>
      </c>
      <c r="BB93" s="12">
        <f>VLOOKUP(A93,'Données projet'!$A$87:$I$107,9,0)</f>
        <v>7.8677884615384599</v>
      </c>
      <c r="BC93" s="12">
        <f t="array" ref="BC93">INDEX(BB:BB,MIN(IF(ISNUMBER(BB93:BB289),ROW(BB93:BB289),"")))</f>
        <v>7.8677884615384599</v>
      </c>
      <c r="BD93" s="12">
        <f>IF('Données projet'!$A$88&gt;35,BD92+BC93-BL92,IF(A93&lt;'Données projet'!$A$88,$BA$205^A93,IF(A93='Données projet'!$A$88,'Données projet'!$B$88,BD92+BC93-BL92)))</f>
        <v>324.88461538461524</v>
      </c>
      <c r="BE93" s="13">
        <f>BD93*VLOOKUP('Données projet'!$B$11,Paramètres!$A$1:$I$89,3,0)*VLOOKUP('Données projet'!$B$11,Paramètres!$A$1:$I$89,5,0)</f>
        <v>293.95559999999989</v>
      </c>
      <c r="BF93" s="13">
        <f t="shared" si="91"/>
        <v>69.907827943094574</v>
      </c>
      <c r="BG93" s="20">
        <f t="shared" si="61"/>
        <v>633.72880366755612</v>
      </c>
      <c r="BH93" s="59">
        <f t="shared" si="62"/>
        <v>927.06213700088938</v>
      </c>
      <c r="BI93" s="59">
        <f ca="1">AVERAGE(OFFSET($BH$3,0,0,'Données projet'!$E$11+1,1))-AVERAGE(OFFSET($H$3,0,0,'Données projet'!$E$11+1,1))</f>
        <v>496.45286557802063</v>
      </c>
      <c r="BJ93" s="59">
        <f t="shared" si="92"/>
        <v>196.37811957788398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47.307692307692307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46.316100786765595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46.316100786765595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323.17232038705157</v>
      </c>
      <c r="T94" s="59">
        <f t="shared" si="88"/>
        <v>402.34685738619197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236.00000000000009</v>
      </c>
      <c r="AJ94" s="13">
        <f>AI94*VLOOKUP('Données projet'!$B$10,Paramètres!$A$1:$I$89,3,0)*VLOOKUP('Données projet'!$B$10,Paramètres!$A$1:$I$89,5,0)</f>
        <v>154.62720000000004</v>
      </c>
      <c r="AK94" s="13">
        <f t="shared" si="89"/>
        <v>39.62826685000794</v>
      </c>
      <c r="AL94" s="20">
        <f t="shared" si="58"/>
        <v>338.32827143043056</v>
      </c>
      <c r="AM94" s="59">
        <f t="shared" si="59"/>
        <v>631.66160476376388</v>
      </c>
      <c r="AN94" s="59">
        <f ca="1">AVERAGE(OFFSET($AM$3,0,0,'Données projet'!$E$10+1,1))-AVERAGE(OFFSET($H$3,0,0,'Données projet'!$E$10+1,1))</f>
        <v>263.30962868541337</v>
      </c>
      <c r="AO94" s="59">
        <f t="shared" si="90"/>
        <v>269.61868559913404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3.6571771381968108</v>
      </c>
      <c r="AV94" s="21">
        <f>EXP(-LN(2)/25)*AV93+(1-EXP(-LN(2)/25))/(LN(2)/25)*Calculateur!AQ94*Calculateur!AS94*VLOOKUP('Données projet'!$B$10,Paramètres!$A$1:$I$89,3,0)*0.475*44/12</f>
        <v>13.541952313782001</v>
      </c>
      <c r="AW94" s="21">
        <f>EXP(-LN(2)/2)*AW93+(1-EXP(-LN(2)/2))/(LN(2)/2)*AQ94*AT94*VLOOKUP('Données projet'!$B$10,Paramètres!$A$1:$I$89,3,0)*0.475*44/12</f>
        <v>1.5155432295046944</v>
      </c>
      <c r="AX94" s="21">
        <f t="shared" si="60"/>
        <v>18.714672681483506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7.5871794871794922</v>
      </c>
      <c r="BD94" s="12">
        <f>IF('Données projet'!$A$88&gt;35,BD93+BC94-BL93,IF(A94&lt;'Données projet'!$A$88,$BA$205^A94,IF(A94='Données projet'!$A$88,'Données projet'!$B$88,BD93+BC94-BL93)))</f>
        <v>285.16410256410239</v>
      </c>
      <c r="BE94" s="13">
        <f>BD94*VLOOKUP('Données projet'!$B$11,Paramètres!$A$1:$I$89,3,0)*VLOOKUP('Données projet'!$B$11,Paramètres!$A$1:$I$89,5,0)</f>
        <v>258.01647999999983</v>
      </c>
      <c r="BF94" s="13">
        <f t="shared" si="91"/>
        <v>62.299383385500001</v>
      </c>
      <c r="BG94" s="20">
        <f t="shared" si="61"/>
        <v>557.88346206307881</v>
      </c>
      <c r="BH94" s="59">
        <f t="shared" si="62"/>
        <v>851.21679539641218</v>
      </c>
      <c r="BI94" s="59">
        <f ca="1">AVERAGE(OFFSET($BH$3,0,0,'Données projet'!$E$11+1,1))-AVERAGE(OFFSET($H$3,0,0,'Données projet'!$E$11+1,1))</f>
        <v>496.45286557802063</v>
      </c>
      <c r="BJ94" s="59">
        <f t="shared" si="92"/>
        <v>196.37811957788398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45.40787030036914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45.40787030036914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323.17232038705157</v>
      </c>
      <c r="T95" s="59">
        <f t="shared" si="88"/>
        <v>402.34685738619197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236.00000000000009</v>
      </c>
      <c r="AJ95" s="13">
        <f>AI95*VLOOKUP('Données projet'!$B$10,Paramètres!$A$1:$I$89,3,0)*VLOOKUP('Données projet'!$B$10,Paramètres!$A$1:$I$89,5,0)</f>
        <v>154.62720000000004</v>
      </c>
      <c r="AK95" s="13">
        <f t="shared" si="89"/>
        <v>39.62826685000794</v>
      </c>
      <c r="AL95" s="20">
        <f t="shared" si="58"/>
        <v>338.32827143043056</v>
      </c>
      <c r="AM95" s="59">
        <f t="shared" si="59"/>
        <v>631.66160476376388</v>
      </c>
      <c r="AN95" s="59">
        <f ca="1">AVERAGE(OFFSET($AM$3,0,0,'Données projet'!$E$10+1,1))-AVERAGE(OFFSET($H$3,0,0,'Données projet'!$E$10+1,1))</f>
        <v>263.30962868541337</v>
      </c>
      <c r="AO95" s="59">
        <f t="shared" si="90"/>
        <v>269.61868559913404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3.5854621251745664</v>
      </c>
      <c r="AV95" s="21">
        <f>EXP(-LN(2)/25)*AV94+(1-EXP(-LN(2)/25))/(LN(2)/25)*Calculateur!AQ95*Calculateur!AS95*VLOOKUP('Données projet'!$B$10,Paramètres!$A$1:$I$89,3,0)*0.475*44/12</f>
        <v>13.171646915621311</v>
      </c>
      <c r="AW95" s="21">
        <f>EXP(-LN(2)/2)*AW94+(1-EXP(-LN(2)/2))/(LN(2)/2)*AQ95*AT95*VLOOKUP('Données projet'!$B$10,Paramètres!$A$1:$I$89,3,0)*0.475*44/12</f>
        <v>1.0716508947641297</v>
      </c>
      <c r="AX95" s="21">
        <f t="shared" si="60"/>
        <v>17.828759935560008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7.5871794871794922</v>
      </c>
      <c r="BD95" s="12">
        <f>IF('Données projet'!$A$88&gt;35,BD94+BC95-BL94,IF(A95&lt;'Données projet'!$A$88,$BA$205^A95,IF(A95='Données projet'!$A$88,'Données projet'!$B$88,BD94+BC95-BL94)))</f>
        <v>292.75128205128186</v>
      </c>
      <c r="BE95" s="13">
        <f>BD95*VLOOKUP('Données projet'!$B$11,Paramètres!$A$1:$I$89,3,0)*VLOOKUP('Données projet'!$B$11,Paramètres!$A$1:$I$89,5,0)</f>
        <v>264.8813599999998</v>
      </c>
      <c r="BF95" s="13">
        <f t="shared" si="91"/>
        <v>63.761757576825389</v>
      </c>
      <c r="BG95" s="20">
        <f t="shared" si="61"/>
        <v>572.38676311297047</v>
      </c>
      <c r="BH95" s="59">
        <f t="shared" si="62"/>
        <v>865.72009644630384</v>
      </c>
      <c r="BI95" s="59">
        <f ca="1">AVERAGE(OFFSET($BH$3,0,0,'Données projet'!$E$11+1,1))-AVERAGE(OFFSET($H$3,0,0,'Données projet'!$E$11+1,1))</f>
        <v>496.45286557802063</v>
      </c>
      <c r="BJ95" s="59">
        <f t="shared" si="92"/>
        <v>196.37811957788398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44.517449659845028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44.517449659845028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323.17232038705157</v>
      </c>
      <c r="T96" s="59">
        <f t="shared" si="88"/>
        <v>402.34685738619197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236.00000000000009</v>
      </c>
      <c r="AJ96" s="13">
        <f>AI96*VLOOKUP('Données projet'!$B$10,Paramètres!$A$1:$I$89,3,0)*VLOOKUP('Données projet'!$B$10,Paramètres!$A$1:$I$89,5,0)</f>
        <v>154.62720000000004</v>
      </c>
      <c r="AK96" s="13">
        <f t="shared" si="89"/>
        <v>39.62826685000794</v>
      </c>
      <c r="AL96" s="20">
        <f t="shared" si="58"/>
        <v>338.32827143043056</v>
      </c>
      <c r="AM96" s="59">
        <f t="shared" si="59"/>
        <v>631.66160476376388</v>
      </c>
      <c r="AN96" s="59">
        <f ca="1">AVERAGE(OFFSET($AM$3,0,0,'Données projet'!$E$10+1,1))-AVERAGE(OFFSET($H$3,0,0,'Données projet'!$E$10+1,1))</f>
        <v>263.30962868541337</v>
      </c>
      <c r="AO96" s="59">
        <f t="shared" si="90"/>
        <v>269.61868559913404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3.5151533998158495</v>
      </c>
      <c r="AV96" s="21">
        <f>EXP(-LN(2)/25)*AV95+(1-EXP(-LN(2)/25))/(LN(2)/25)*Calculateur!AQ96*Calculateur!AS96*VLOOKUP('Données projet'!$B$10,Paramètres!$A$1:$I$89,3,0)*0.475*44/12</f>
        <v>12.811467538046839</v>
      </c>
      <c r="AW96" s="21">
        <f>EXP(-LN(2)/2)*AW95+(1-EXP(-LN(2)/2))/(LN(2)/2)*AQ96*AT96*VLOOKUP('Données projet'!$B$10,Paramètres!$A$1:$I$89,3,0)*0.475*44/12</f>
        <v>0.75777161475234733</v>
      </c>
      <c r="AX96" s="21">
        <f t="shared" si="60"/>
        <v>17.084392552615036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7.5871794871794922</v>
      </c>
      <c r="BD96" s="12">
        <f>IF('Données projet'!$A$88&gt;35,BD95+BC96-BL95,IF(A96&lt;'Données projet'!$A$88,$BA$205^A96,IF(A96='Données projet'!$A$88,'Données projet'!$B$88,BD95+BC96-BL95)))</f>
        <v>300.33846153846133</v>
      </c>
      <c r="BE96" s="13">
        <f>BD96*VLOOKUP('Données projet'!$B$11,Paramètres!$A$1:$I$89,3,0)*VLOOKUP('Données projet'!$B$11,Paramètres!$A$1:$I$89,5,0)</f>
        <v>271.74623999999977</v>
      </c>
      <c r="BF96" s="13">
        <f t="shared" si="91"/>
        <v>65.219726325816325</v>
      </c>
      <c r="BG96" s="20">
        <f t="shared" si="61"/>
        <v>586.88239135079641</v>
      </c>
      <c r="BH96" s="59">
        <f t="shared" si="62"/>
        <v>880.21572468412978</v>
      </c>
      <c r="BI96" s="59">
        <f ca="1">AVERAGE(OFFSET($BH$3,0,0,'Données projet'!$E$11+1,1))-AVERAGE(OFFSET($H$3,0,0,'Données projet'!$E$11+1,1))</f>
        <v>496.45286557802063</v>
      </c>
      <c r="BJ96" s="59">
        <f t="shared" si="92"/>
        <v>196.37811957788398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43.644489624978625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43.644489624978625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323.17232038705157</v>
      </c>
      <c r="T97" s="59">
        <f t="shared" si="88"/>
        <v>402.34685738619197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236.00000000000009</v>
      </c>
      <c r="AJ97" s="13">
        <f>AI97*VLOOKUP('Données projet'!$B$10,Paramètres!$A$1:$I$89,3,0)*VLOOKUP('Données projet'!$B$10,Paramètres!$A$1:$I$89,5,0)</f>
        <v>154.62720000000004</v>
      </c>
      <c r="AK97" s="13">
        <f t="shared" si="89"/>
        <v>39.62826685000794</v>
      </c>
      <c r="AL97" s="20">
        <f t="shared" si="58"/>
        <v>338.32827143043056</v>
      </c>
      <c r="AM97" s="59">
        <f t="shared" si="59"/>
        <v>631.66160476376388</v>
      </c>
      <c r="AN97" s="59">
        <f ca="1">AVERAGE(OFFSET($AM$3,0,0,'Données projet'!$E$10+1,1))-AVERAGE(OFFSET($H$3,0,0,'Données projet'!$E$10+1,1))</f>
        <v>263.30962868541337</v>
      </c>
      <c r="AO97" s="59">
        <f t="shared" si="90"/>
        <v>269.61868559913404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3.446223385677329</v>
      </c>
      <c r="AV97" s="21">
        <f>EXP(-LN(2)/25)*AV96+(1-EXP(-LN(2)/25))/(LN(2)/25)*Calculateur!AQ97*Calculateur!AS97*VLOOKUP('Données projet'!$B$10,Paramètres!$A$1:$I$89,3,0)*0.475*44/12</f>
        <v>12.461137284493152</v>
      </c>
      <c r="AW97" s="21">
        <f>EXP(-LN(2)/2)*AW96+(1-EXP(-LN(2)/2))/(LN(2)/2)*AQ97*AT97*VLOOKUP('Données projet'!$B$10,Paramètres!$A$1:$I$89,3,0)*0.475*44/12</f>
        <v>0.53582544738206495</v>
      </c>
      <c r="AX97" s="21">
        <f t="shared" si="60"/>
        <v>16.443186117552546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7.5871794871794922</v>
      </c>
      <c r="BD97" s="12">
        <f>IF('Données projet'!$A$88&gt;35,BD96+BC97-BL96,IF(A97&lt;'Données projet'!$A$88,$BA$205^A97,IF(A97='Données projet'!$A$88,'Données projet'!$B$88,BD96+BC97-BL96)))</f>
        <v>307.9256410256408</v>
      </c>
      <c r="BE97" s="13">
        <f>BD97*VLOOKUP('Données projet'!$B$11,Paramètres!$A$1:$I$89,3,0)*VLOOKUP('Données projet'!$B$11,Paramètres!$A$1:$I$89,5,0)</f>
        <v>278.6111199999998</v>
      </c>
      <c r="BF97" s="13">
        <f t="shared" si="91"/>
        <v>66.673413721636678</v>
      </c>
      <c r="BG97" s="20">
        <f t="shared" si="61"/>
        <v>601.37056289851682</v>
      </c>
      <c r="BH97" s="59">
        <f t="shared" si="62"/>
        <v>894.70389623185019</v>
      </c>
      <c r="BI97" s="59">
        <f ca="1">AVERAGE(OFFSET($BH$3,0,0,'Données projet'!$E$11+1,1))-AVERAGE(OFFSET($H$3,0,0,'Données projet'!$E$11+1,1))</f>
        <v>496.45286557802063</v>
      </c>
      <c r="BJ97" s="59">
        <f t="shared" si="92"/>
        <v>196.37811957788398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42.788647803942908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42.788647803942908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323.17232038705157</v>
      </c>
      <c r="T98" s="59">
        <f t="shared" si="88"/>
        <v>402.34685738619197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236.00000000000009</v>
      </c>
      <c r="AJ98" s="13">
        <f>AI98*VLOOKUP('Données projet'!$B$10,Paramètres!$A$1:$I$89,3,0)*VLOOKUP('Données projet'!$B$10,Paramètres!$A$1:$I$89,5,0)</f>
        <v>154.62720000000004</v>
      </c>
      <c r="AK98" s="13">
        <f t="shared" si="89"/>
        <v>39.62826685000794</v>
      </c>
      <c r="AL98" s="20">
        <f t="shared" si="58"/>
        <v>338.32827143043056</v>
      </c>
      <c r="AM98" s="59">
        <f t="shared" si="59"/>
        <v>631.66160476376388</v>
      </c>
      <c r="AN98" s="59">
        <f ca="1">AVERAGE(OFFSET($AM$3,0,0,'Données projet'!$E$10+1,1))-AVERAGE(OFFSET($H$3,0,0,'Données projet'!$E$10+1,1))</f>
        <v>263.30962868541337</v>
      </c>
      <c r="AO98" s="59">
        <f t="shared" si="90"/>
        <v>269.61868559913404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3.3786450470729079</v>
      </c>
      <c r="AV98" s="21">
        <f>EXP(-LN(2)/25)*AV97+(1-EXP(-LN(2)/25))/(LN(2)/25)*Calculateur!AQ98*Calculateur!AS98*VLOOKUP('Données projet'!$B$10,Paramètres!$A$1:$I$89,3,0)*0.475*44/12</f>
        <v>12.120386830145957</v>
      </c>
      <c r="AW98" s="21">
        <f>EXP(-LN(2)/2)*AW97+(1-EXP(-LN(2)/2))/(LN(2)/2)*AQ98*AT98*VLOOKUP('Données projet'!$B$10,Paramètres!$A$1:$I$89,3,0)*0.475*44/12</f>
        <v>0.37888580737617378</v>
      </c>
      <c r="AX98" s="21">
        <f t="shared" si="60"/>
        <v>15.877917684595038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7.5871794871794922</v>
      </c>
      <c r="BD98" s="12">
        <f>IF('Données projet'!$A$88&gt;35,BD97+BC98-BL97,IF(A98&lt;'Données projet'!$A$88,$BA$205^A98,IF(A98='Données projet'!$A$88,'Données projet'!$B$88,BD97+BC98-BL97)))</f>
        <v>315.51282051282027</v>
      </c>
      <c r="BE98" s="13">
        <f>BD98*VLOOKUP('Données projet'!$B$11,Paramètres!$A$1:$I$89,3,0)*VLOOKUP('Données projet'!$B$11,Paramètres!$A$1:$I$89,5,0)</f>
        <v>285.47599999999977</v>
      </c>
      <c r="BF98" s="13">
        <f t="shared" si="91"/>
        <v>68.122937389828678</v>
      </c>
      <c r="BG98" s="20">
        <f t="shared" si="61"/>
        <v>615.85148262061784</v>
      </c>
      <c r="BH98" s="59">
        <f t="shared" si="62"/>
        <v>909.1848159539511</v>
      </c>
      <c r="BI98" s="59">
        <f ca="1">AVERAGE(OFFSET($BH$3,0,0,'Données projet'!$E$11+1,1))-AVERAGE(OFFSET($H$3,0,0,'Données projet'!$E$11+1,1))</f>
        <v>496.45286557802063</v>
      </c>
      <c r="BJ98" s="59">
        <f t="shared" si="92"/>
        <v>196.37811957788398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41.949588519005736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41.949588519005736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323.17232038705157</v>
      </c>
      <c r="T99" s="59">
        <f t="shared" si="88"/>
        <v>402.34685738619197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236.00000000000009</v>
      </c>
      <c r="AJ99" s="13">
        <f>AI99*VLOOKUP('Données projet'!$B$10,Paramètres!$A$1:$I$89,3,0)*VLOOKUP('Données projet'!$B$10,Paramètres!$A$1:$I$89,5,0)</f>
        <v>154.62720000000004</v>
      </c>
      <c r="AK99" s="13">
        <f t="shared" si="89"/>
        <v>39.62826685000794</v>
      </c>
      <c r="AL99" s="20">
        <f t="shared" si="58"/>
        <v>338.32827143043056</v>
      </c>
      <c r="AM99" s="59">
        <f t="shared" si="59"/>
        <v>631.66160476376388</v>
      </c>
      <c r="AN99" s="59">
        <f ca="1">AVERAGE(OFFSET($AM$3,0,0,'Données projet'!$E$10+1,1))-AVERAGE(OFFSET($H$3,0,0,'Données projet'!$E$10+1,1))</f>
        <v>263.30962868541337</v>
      </c>
      <c r="AO99" s="59">
        <f t="shared" si="90"/>
        <v>269.61868559913404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3.312391878469803</v>
      </c>
      <c r="AV99" s="21">
        <f>EXP(-LN(2)/25)*AV98+(1-EXP(-LN(2)/25))/(LN(2)/25)*Calculateur!AQ99*Calculateur!AS99*VLOOKUP('Données projet'!$B$10,Paramètres!$A$1:$I$89,3,0)*0.475*44/12</f>
        <v>11.788954214892174</v>
      </c>
      <c r="AW99" s="21">
        <f>EXP(-LN(2)/2)*AW98+(1-EXP(-LN(2)/2))/(LN(2)/2)*AQ99*AT99*VLOOKUP('Données projet'!$B$10,Paramètres!$A$1:$I$89,3,0)*0.475*44/12</f>
        <v>0.26791272369103253</v>
      </c>
      <c r="AX99" s="21">
        <f t="shared" si="60"/>
        <v>15.36925881705301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7.5871794871794922</v>
      </c>
      <c r="BD99" s="12">
        <f>IF('Données projet'!$A$88&gt;35,BD98+BC99-BL98,IF(A99&lt;'Données projet'!$A$88,$BA$205^A99,IF(A99='Données projet'!$A$88,'Données projet'!$B$88,BD98+BC99-BL98)))</f>
        <v>323.09999999999974</v>
      </c>
      <c r="BE99" s="13">
        <f>BD99*VLOOKUP('Données projet'!$B$11,Paramètres!$A$1:$I$89,3,0)*VLOOKUP('Données projet'!$B$11,Paramètres!$A$1:$I$89,5,0)</f>
        <v>292.34087999999974</v>
      </c>
      <c r="BF99" s="13">
        <f t="shared" si="91"/>
        <v>69.568408976210563</v>
      </c>
      <c r="BG99" s="20">
        <f t="shared" si="61"/>
        <v>630.32534496689959</v>
      </c>
      <c r="BH99" s="59">
        <f t="shared" si="62"/>
        <v>923.65867830023285</v>
      </c>
      <c r="BI99" s="59">
        <f ca="1">AVERAGE(OFFSET($BH$3,0,0,'Données projet'!$E$11+1,1))-AVERAGE(OFFSET($H$3,0,0,'Données projet'!$E$11+1,1))</f>
        <v>496.45286557802063</v>
      </c>
      <c r="BJ99" s="59">
        <f t="shared" si="92"/>
        <v>196.37811957788398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41.126982674870554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41.126982674870554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323.17232038705157</v>
      </c>
      <c r="T100" s="59">
        <f t="shared" si="88"/>
        <v>402.34685738619197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236.00000000000009</v>
      </c>
      <c r="AJ100" s="13">
        <f>AI100*VLOOKUP('Données projet'!$B$10,Paramètres!$A$1:$I$89,3,0)*VLOOKUP('Données projet'!$B$10,Paramètres!$A$1:$I$89,5,0)</f>
        <v>154.62720000000004</v>
      </c>
      <c r="AK100" s="13">
        <f t="shared" si="89"/>
        <v>39.62826685000794</v>
      </c>
      <c r="AL100" s="20">
        <f t="shared" si="58"/>
        <v>338.32827143043056</v>
      </c>
      <c r="AM100" s="59">
        <f t="shared" si="59"/>
        <v>631.66160476376388</v>
      </c>
      <c r="AN100" s="59">
        <f ca="1">AVERAGE(OFFSET($AM$3,0,0,'Données projet'!$E$10+1,1))-AVERAGE(OFFSET($H$3,0,0,'Données projet'!$E$10+1,1))</f>
        <v>263.30962868541337</v>
      </c>
      <c r="AO100" s="59">
        <f t="shared" si="90"/>
        <v>269.61868559913404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3.2474378940925619</v>
      </c>
      <c r="AV100" s="21">
        <f>EXP(-LN(2)/25)*AV99+(1-EXP(-LN(2)/25))/(LN(2)/25)*Calculateur!AQ100*Calculateur!AS100*VLOOKUP('Données projet'!$B$10,Paramètres!$A$1:$I$89,3,0)*0.475*44/12</f>
        <v>11.466584641931789</v>
      </c>
      <c r="AW100" s="21">
        <f>EXP(-LN(2)/2)*AW99+(1-EXP(-LN(2)/2))/(LN(2)/2)*AQ100*AT100*VLOOKUP('Données projet'!$B$10,Paramètres!$A$1:$I$89,3,0)*0.475*44/12</f>
        <v>0.18944290368808692</v>
      </c>
      <c r="AX100" s="21">
        <f t="shared" si="60"/>
        <v>14.903465439712438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7.5871794871794922</v>
      </c>
      <c r="BD100" s="12">
        <f>IF('Données projet'!$A$88&gt;35,BD99+BC100-BL99,IF(A100&lt;'Données projet'!$A$88,$BA$205^A100,IF(A100='Données projet'!$A$88,'Données projet'!$B$88,BD99+BC100-BL99)))</f>
        <v>330.68717948717921</v>
      </c>
      <c r="BE100" s="13">
        <f>BD100*VLOOKUP('Données projet'!$B$11,Paramètres!$A$1:$I$89,3,0)*VLOOKUP('Données projet'!$B$11,Paramètres!$A$1:$I$89,5,0)</f>
        <v>299.20575999999971</v>
      </c>
      <c r="BF100" s="13">
        <f t="shared" si="91"/>
        <v>71.009934584041005</v>
      </c>
      <c r="BG100" s="20">
        <f t="shared" si="61"/>
        <v>644.79233473387092</v>
      </c>
      <c r="BH100" s="59">
        <f t="shared" si="62"/>
        <v>938.12566806720429</v>
      </c>
      <c r="BI100" s="59">
        <f ca="1">AVERAGE(OFFSET($BH$3,0,0,'Données projet'!$E$11+1,1))-AVERAGE(OFFSET($H$3,0,0,'Données projet'!$E$11+1,1))</f>
        <v>496.45286557802063</v>
      </c>
      <c r="BJ100" s="59">
        <f t="shared" si="92"/>
        <v>196.37811957788398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40.320507629598836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40.320507629598836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323.17232038705157</v>
      </c>
      <c r="T101" s="59">
        <f t="shared" si="88"/>
        <v>402.34685738619197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236.00000000000009</v>
      </c>
      <c r="AJ101" s="13">
        <f>AI101*VLOOKUP('Données projet'!$B$10,Paramètres!$A$1:$I$89,3,0)*VLOOKUP('Données projet'!$B$10,Paramètres!$A$1:$I$89,5,0)</f>
        <v>154.62720000000004</v>
      </c>
      <c r="AK101" s="13">
        <f t="shared" si="89"/>
        <v>39.62826685000794</v>
      </c>
      <c r="AL101" s="20">
        <f t="shared" si="58"/>
        <v>338.32827143043056</v>
      </c>
      <c r="AM101" s="59">
        <f t="shared" si="59"/>
        <v>631.66160476376388</v>
      </c>
      <c r="AN101" s="59">
        <f ca="1">AVERAGE(OFFSET($AM$3,0,0,'Données projet'!$E$10+1,1))-AVERAGE(OFFSET($H$3,0,0,'Données projet'!$E$10+1,1))</f>
        <v>263.30962868541337</v>
      </c>
      <c r="AO101" s="59">
        <f t="shared" si="90"/>
        <v>269.61868559913404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3.1837576177309401</v>
      </c>
      <c r="AV101" s="21">
        <f>EXP(-LN(2)/25)*AV100+(1-EXP(-LN(2)/25))/(LN(2)/25)*Calculateur!AQ101*Calculateur!AS101*VLOOKUP('Données projet'!$B$10,Paramètres!$A$1:$I$89,3,0)*0.475*44/12</f>
        <v>11.153030281896685</v>
      </c>
      <c r="AW101" s="21">
        <f>EXP(-LN(2)/2)*AW100+(1-EXP(-LN(2)/2))/(LN(2)/2)*AQ101*AT101*VLOOKUP('Données projet'!$B$10,Paramètres!$A$1:$I$89,3,0)*0.475*44/12</f>
        <v>0.13395636184551629</v>
      </c>
      <c r="AX101" s="21">
        <f t="shared" si="60"/>
        <v>14.470744261473142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7.5871794871794922</v>
      </c>
      <c r="BD101" s="12">
        <f>IF('Données projet'!$A$88&gt;35,BD100+BC101-BL100,IF(A101&lt;'Données projet'!$A$88,$BA$205^A101,IF(A101='Données projet'!$A$88,'Données projet'!$B$88,BD100+BC101-BL100)))</f>
        <v>338.27435897435868</v>
      </c>
      <c r="BE101" s="13">
        <f>BD101*VLOOKUP('Données projet'!$B$11,Paramètres!$A$1:$I$89,3,0)*VLOOKUP('Données projet'!$B$11,Paramètres!$A$1:$I$89,5,0)</f>
        <v>306.07063999999968</v>
      </c>
      <c r="BF101" s="13">
        <f t="shared" si="91"/>
        <v>72.44761516993232</v>
      </c>
      <c r="BG101" s="20">
        <f t="shared" si="61"/>
        <v>659.25262775429815</v>
      </c>
      <c r="BH101" s="59">
        <f t="shared" si="62"/>
        <v>952.5859610876314</v>
      </c>
      <c r="BI101" s="59">
        <f ca="1">AVERAGE(OFFSET($BH$3,0,0,'Données projet'!$E$11+1,1))-AVERAGE(OFFSET($H$3,0,0,'Données projet'!$E$11+1,1))</f>
        <v>496.45286557802063</v>
      </c>
      <c r="BJ101" s="59">
        <f t="shared" si="92"/>
        <v>196.37811957788398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39.529847068063695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39.529847068063695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323.17232038705157</v>
      </c>
      <c r="T102" s="59">
        <f t="shared" si="88"/>
        <v>402.34685738619197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236.00000000000009</v>
      </c>
      <c r="AJ102" s="13">
        <f>AI102*VLOOKUP('Données projet'!$B$10,Paramètres!$A$1:$I$89,3,0)*VLOOKUP('Données projet'!$B$10,Paramètres!$A$1:$I$89,5,0)</f>
        <v>154.62720000000004</v>
      </c>
      <c r="AK102" s="13">
        <f t="shared" si="89"/>
        <v>39.62826685000794</v>
      </c>
      <c r="AL102" s="20">
        <f t="shared" si="58"/>
        <v>338.32827143043056</v>
      </c>
      <c r="AM102" s="59">
        <f t="shared" si="59"/>
        <v>631.66160476376388</v>
      </c>
      <c r="AN102" s="59">
        <f ca="1">AVERAGE(OFFSET($AM$3,0,0,'Données projet'!$E$10+1,1))-AVERAGE(OFFSET($H$3,0,0,'Données projet'!$E$10+1,1))</f>
        <v>263.30962868541337</v>
      </c>
      <c r="AO102" s="59">
        <f t="shared" si="90"/>
        <v>269.61868559913404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3.1213260727476366</v>
      </c>
      <c r="AV102" s="21">
        <f>EXP(-LN(2)/25)*AV101+(1-EXP(-LN(2)/25))/(LN(2)/25)*Calculateur!AQ102*Calculateur!AS102*VLOOKUP('Données projet'!$B$10,Paramètres!$A$1:$I$89,3,0)*0.475*44/12</f>
        <v>10.848050082325848</v>
      </c>
      <c r="AW102" s="21">
        <f>EXP(-LN(2)/2)*AW101+(1-EXP(-LN(2)/2))/(LN(2)/2)*AQ102*AT102*VLOOKUP('Données projet'!$B$10,Paramètres!$A$1:$I$89,3,0)*0.475*44/12</f>
        <v>9.4721451844043472E-2</v>
      </c>
      <c r="AX102" s="21">
        <f t="shared" si="60"/>
        <v>14.064097606917528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7.5871794871794922</v>
      </c>
      <c r="BD102" s="12">
        <f>IF('Données projet'!$A$88&gt;35,BD101+BC102-BL101,IF(A102&lt;'Données projet'!$A$88,$BA$205^A102,IF(A102='Données projet'!$A$88,'Données projet'!$B$88,BD101+BC102-BL101)))</f>
        <v>345.86153846153815</v>
      </c>
      <c r="BE102" s="13">
        <f>BD102*VLOOKUP('Données projet'!$B$11,Paramètres!$A$1:$I$89,3,0)*VLOOKUP('Données projet'!$B$11,Paramètres!$A$1:$I$89,5,0)</f>
        <v>312.93551999999971</v>
      </c>
      <c r="BF102" s="13">
        <f t="shared" si="91"/>
        <v>73.881546903242409</v>
      </c>
      <c r="BG102" s="20">
        <f t="shared" si="61"/>
        <v>673.70639152314664</v>
      </c>
      <c r="BH102" s="59">
        <f t="shared" si="62"/>
        <v>967.03972485648001</v>
      </c>
      <c r="BI102" s="59">
        <f ca="1">AVERAGE(OFFSET($BH$3,0,0,'Données projet'!$E$11+1,1))-AVERAGE(OFFSET($H$3,0,0,'Données projet'!$E$11+1,1))</f>
        <v>496.45286557802063</v>
      </c>
      <c r="BJ102" s="59">
        <f t="shared" si="92"/>
        <v>196.37811957788398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38.754690877884933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38.754690877884933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323.17232038705157</v>
      </c>
      <c r="T103" s="59">
        <f t="shared" si="88"/>
        <v>402.34685738619197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236.00000000000009</v>
      </c>
      <c r="AJ103" s="13">
        <f>AI103*VLOOKUP('Données projet'!$B$10,Paramètres!$A$1:$I$89,3,0)*VLOOKUP('Données projet'!$B$10,Paramètres!$A$1:$I$89,5,0)</f>
        <v>154.62720000000004</v>
      </c>
      <c r="AK103" s="13">
        <f t="shared" si="89"/>
        <v>39.62826685000794</v>
      </c>
      <c r="AL103" s="20">
        <f t="shared" si="58"/>
        <v>338.32827143043056</v>
      </c>
      <c r="AM103" s="59">
        <f t="shared" si="59"/>
        <v>631.66160476376388</v>
      </c>
      <c r="AN103" s="59">
        <f ca="1">AVERAGE(OFFSET($AM$3,0,0,'Données projet'!$E$10+1,1))-AVERAGE(OFFSET($H$3,0,0,'Données projet'!$E$10+1,1))</f>
        <v>263.30962868541337</v>
      </c>
      <c r="AO103" s="59">
        <f t="shared" si="90"/>
        <v>269.61868559913404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3.0601187722819732</v>
      </c>
      <c r="AV103" s="21">
        <f>EXP(-LN(2)/25)*AV102+(1-EXP(-LN(2)/25))/(LN(2)/25)*Calculateur!AQ103*Calculateur!AS103*VLOOKUP('Données projet'!$B$10,Paramètres!$A$1:$I$89,3,0)*0.475*44/12</f>
        <v>10.551409582350487</v>
      </c>
      <c r="AW103" s="21">
        <f>EXP(-LN(2)/2)*AW102+(1-EXP(-LN(2)/2))/(LN(2)/2)*AQ103*AT103*VLOOKUP('Données projet'!$B$10,Paramètres!$A$1:$I$89,3,0)*0.475*44/12</f>
        <v>6.6978180922758146E-2</v>
      </c>
      <c r="AX103" s="21">
        <f t="shared" si="60"/>
        <v>13.678506535555218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353.44871794871796</v>
      </c>
      <c r="BB103" s="12">
        <f>VLOOKUP(A103,'Données projet'!$A$87:$I$107,9,0)</f>
        <v>7.5871794871794922</v>
      </c>
      <c r="BC103" s="12">
        <f t="array" ref="BC103">INDEX(BB:BB,MIN(IF(ISNUMBER(BB103:BB299),ROW(BB103:BB299),"")))</f>
        <v>7.5871794871794922</v>
      </c>
      <c r="BD103" s="12">
        <f>IF('Données projet'!$A$88&gt;35,BD102+BC103-BL102,IF(A103&lt;'Données projet'!$A$88,$BA$205^A103,IF(A103='Données projet'!$A$88,'Données projet'!$B$88,BD102+BC103-BL102)))</f>
        <v>353.44871794871761</v>
      </c>
      <c r="BE103" s="13">
        <f>BD103*VLOOKUP('Données projet'!$B$11,Paramètres!$A$1:$I$89,3,0)*VLOOKUP('Données projet'!$B$11,Paramètres!$A$1:$I$89,5,0)</f>
        <v>319.80039999999968</v>
      </c>
      <c r="BF103" s="13">
        <f t="shared" si="91"/>
        <v>75.31182149304135</v>
      </c>
      <c r="BG103" s="20">
        <f t="shared" si="61"/>
        <v>688.15378576704643</v>
      </c>
      <c r="BH103" s="59">
        <f t="shared" si="62"/>
        <v>981.48711910037969</v>
      </c>
      <c r="BI103" s="59">
        <f ca="1">AVERAGE(OFFSET($BH$3,0,0,'Données projet'!$E$11+1,1))-AVERAGE(OFFSET($H$3,0,0,'Données projet'!$E$11+1,1))</f>
        <v>496.45286557802063</v>
      </c>
      <c r="BJ103" s="59">
        <f t="shared" si="92"/>
        <v>196.37811957788398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63.801282051282051</v>
      </c>
      <c r="BM103" s="16">
        <f>IF(ISNA(VLOOKUP(A103,'Données projet'!$A$87:$I$107,5,0)),0%,VLOOKUP(A103,'Données projet'!$A$87:$I$107,5,0)*VLOOKUP('Données projet'!$B$11,Paramètres!$A$1:$I$89,7,0))</f>
        <v>0.30099999999999999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57.203330194819557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57.203330194819557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323.17232038705157</v>
      </c>
      <c r="T104" s="59">
        <f t="shared" si="88"/>
        <v>402.34685738619197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236.00000000000009</v>
      </c>
      <c r="AJ104" s="13">
        <f>AI104*VLOOKUP('Données projet'!$B$10,Paramètres!$A$1:$I$89,3,0)*VLOOKUP('Données projet'!$B$10,Paramètres!$A$1:$I$89,5,0)</f>
        <v>154.62720000000004</v>
      </c>
      <c r="AK104" s="13">
        <f t="shared" si="89"/>
        <v>39.62826685000794</v>
      </c>
      <c r="AL104" s="20">
        <f t="shared" si="58"/>
        <v>338.32827143043056</v>
      </c>
      <c r="AM104" s="59">
        <f t="shared" si="59"/>
        <v>631.66160476376388</v>
      </c>
      <c r="AN104" s="59">
        <f ca="1">AVERAGE(OFFSET($AM$3,0,0,'Données projet'!$E$10+1,1))-AVERAGE(OFFSET($H$3,0,0,'Données projet'!$E$10+1,1))</f>
        <v>263.30962868541337</v>
      </c>
      <c r="AO104" s="59">
        <f t="shared" si="90"/>
        <v>269.61868559913404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3.0001117096456742</v>
      </c>
      <c r="AV104" s="21">
        <f>EXP(-LN(2)/25)*AV103+(1-EXP(-LN(2)/25))/(LN(2)/25)*Calculateur!AQ104*Calculateur!AS104*VLOOKUP('Données projet'!$B$10,Paramètres!$A$1:$I$89,3,0)*0.475*44/12</f>
        <v>10.262880732446598</v>
      </c>
      <c r="AW104" s="21">
        <f>EXP(-LN(2)/2)*AW103+(1-EXP(-LN(2)/2))/(LN(2)/2)*AQ104*AT104*VLOOKUP('Données projet'!$B$10,Paramètres!$A$1:$I$89,3,0)*0.475*44/12</f>
        <v>4.7360725922021736E-2</v>
      </c>
      <c r="AX104" s="21">
        <f t="shared" si="60"/>
        <v>13.310353168014295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7.2711538461538394</v>
      </c>
      <c r="BD104" s="12">
        <f>IF('Données projet'!$A$88&gt;35,BD103+BC104-BL103,IF(A104&lt;'Données projet'!$A$88,$BA$205^A104,IF(A104='Données projet'!$A$88,'Données projet'!$B$88,BD103+BC104-BL103)))</f>
        <v>296.91858974358939</v>
      </c>
      <c r="BE104" s="13">
        <f>BD104*VLOOKUP('Données projet'!$B$11,Paramètres!$A$1:$I$89,3,0)*VLOOKUP('Données projet'!$B$11,Paramètres!$A$1:$I$89,5,0)</f>
        <v>268.65193999999968</v>
      </c>
      <c r="BF104" s="13">
        <f t="shared" si="91"/>
        <v>64.563093644979261</v>
      </c>
      <c r="BG104" s="20">
        <f t="shared" si="61"/>
        <v>580.34951693167147</v>
      </c>
      <c r="BH104" s="59">
        <f t="shared" si="62"/>
        <v>873.68285026500484</v>
      </c>
      <c r="BI104" s="59">
        <f ca="1">AVERAGE(OFFSET($BH$3,0,0,'Données projet'!$E$11+1,1))-AVERAGE(OFFSET($H$3,0,0,'Données projet'!$E$11+1,1))</f>
        <v>496.45286557802063</v>
      </c>
      <c r="BJ104" s="59">
        <f t="shared" si="92"/>
        <v>196.37811957788398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56.081607780285402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56.081607780285402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323.17232038705157</v>
      </c>
      <c r="T105" s="59">
        <f t="shared" si="88"/>
        <v>402.34685738619197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236.00000000000009</v>
      </c>
      <c r="AJ105" s="13">
        <f>AI105*VLOOKUP('Données projet'!$B$10,Paramètres!$A$1:$I$89,3,0)*VLOOKUP('Données projet'!$B$10,Paramètres!$A$1:$I$89,5,0)</f>
        <v>154.62720000000004</v>
      </c>
      <c r="AK105" s="13">
        <f t="shared" si="89"/>
        <v>39.62826685000794</v>
      </c>
      <c r="AL105" s="20">
        <f t="shared" si="58"/>
        <v>338.32827143043056</v>
      </c>
      <c r="AM105" s="59">
        <f t="shared" si="59"/>
        <v>631.66160476376388</v>
      </c>
      <c r="AN105" s="59">
        <f ca="1">AVERAGE(OFFSET($AM$3,0,0,'Données projet'!$E$10+1,1))-AVERAGE(OFFSET($H$3,0,0,'Données projet'!$E$10+1,1))</f>
        <v>263.30962868541337</v>
      </c>
      <c r="AO105" s="59">
        <f t="shared" si="90"/>
        <v>269.61868559913404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2.9412813489069789</v>
      </c>
      <c r="AV105" s="21">
        <f>EXP(-LN(2)/25)*AV104+(1-EXP(-LN(2)/25))/(LN(2)/25)*Calculateur!AQ105*Calculateur!AS105*VLOOKUP('Données projet'!$B$10,Paramètres!$A$1:$I$89,3,0)*0.475*44/12</f>
        <v>9.9822417191164039</v>
      </c>
      <c r="AW105" s="21">
        <f>EXP(-LN(2)/2)*AW104+(1-EXP(-LN(2)/2))/(LN(2)/2)*AQ105*AT105*VLOOKUP('Données projet'!$B$10,Paramètres!$A$1:$I$89,3,0)*0.475*44/12</f>
        <v>3.3489090461379073E-2</v>
      </c>
      <c r="AX105" s="21">
        <f t="shared" si="60"/>
        <v>12.95701215848476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7.2711538461538394</v>
      </c>
      <c r="BD105" s="12">
        <f>IF('Données projet'!$A$88&gt;35,BD104+BC105-BL104,IF(A105&lt;'Données projet'!$A$88,$BA$205^A105,IF(A105='Données projet'!$A$88,'Données projet'!$B$88,BD104+BC105-BL104)))</f>
        <v>304.18974358974322</v>
      </c>
      <c r="BE105" s="13">
        <f>BD105*VLOOKUP('Données projet'!$B$11,Paramètres!$A$1:$I$89,3,0)*VLOOKUP('Données projet'!$B$11,Paramètres!$A$1:$I$89,5,0)</f>
        <v>275.23087999999962</v>
      </c>
      <c r="BF105" s="13">
        <f t="shared" si="91"/>
        <v>65.958151259438324</v>
      </c>
      <c r="BG105" s="20">
        <f t="shared" si="61"/>
        <v>594.23756277685436</v>
      </c>
      <c r="BH105" s="59">
        <f t="shared" si="62"/>
        <v>887.57089611018773</v>
      </c>
      <c r="BI105" s="59">
        <f ca="1">AVERAGE(OFFSET($BH$3,0,0,'Données projet'!$E$11+1,1))-AVERAGE(OFFSET($H$3,0,0,'Données projet'!$E$11+1,1))</f>
        <v>496.45286557802063</v>
      </c>
      <c r="BJ105" s="59">
        <f t="shared" si="92"/>
        <v>196.37811957788398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54.981881658117153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54.981881658117153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323.17232038705157</v>
      </c>
      <c r="T106" s="59">
        <f t="shared" si="88"/>
        <v>402.34685738619197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236.00000000000009</v>
      </c>
      <c r="AJ106" s="13">
        <f>AI106*VLOOKUP('Données projet'!$B$10,Paramètres!$A$1:$I$89,3,0)*VLOOKUP('Données projet'!$B$10,Paramètres!$A$1:$I$89,5,0)</f>
        <v>154.62720000000004</v>
      </c>
      <c r="AK106" s="13">
        <f t="shared" si="89"/>
        <v>39.62826685000794</v>
      </c>
      <c r="AL106" s="20">
        <f t="shared" si="58"/>
        <v>338.32827143043056</v>
      </c>
      <c r="AM106" s="59">
        <f t="shared" si="59"/>
        <v>631.66160476376388</v>
      </c>
      <c r="AN106" s="59">
        <f ca="1">AVERAGE(OFFSET($AM$3,0,0,'Données projet'!$E$10+1,1))-AVERAGE(OFFSET($H$3,0,0,'Données projet'!$E$10+1,1))</f>
        <v>263.30962868541337</v>
      </c>
      <c r="AO106" s="59">
        <f t="shared" si="90"/>
        <v>269.61868559913404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2.8836046156593929</v>
      </c>
      <c r="AV106" s="21">
        <f>EXP(-LN(2)/25)*AV105+(1-EXP(-LN(2)/25))/(LN(2)/25)*Calculateur!AQ106*Calculateur!AS106*VLOOKUP('Données projet'!$B$10,Paramètres!$A$1:$I$89,3,0)*0.475*44/12</f>
        <v>9.7092767943638894</v>
      </c>
      <c r="AW106" s="21">
        <f>EXP(-LN(2)/2)*AW105+(1-EXP(-LN(2)/2))/(LN(2)/2)*AQ106*AT106*VLOOKUP('Données projet'!$B$10,Paramètres!$A$1:$I$89,3,0)*0.475*44/12</f>
        <v>2.3680362961010868E-2</v>
      </c>
      <c r="AX106" s="21">
        <f t="shared" si="60"/>
        <v>12.616561772984292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7.2711538461538394</v>
      </c>
      <c r="BD106" s="12">
        <f>IF('Données projet'!$A$88&gt;35,BD105+BC106-BL105,IF(A106&lt;'Données projet'!$A$88,$BA$205^A106,IF(A106='Données projet'!$A$88,'Données projet'!$B$88,BD105+BC106-BL105)))</f>
        <v>311.46089743589704</v>
      </c>
      <c r="BE106" s="13">
        <f>BD106*VLOOKUP('Données projet'!$B$11,Paramètres!$A$1:$I$89,3,0)*VLOOKUP('Données projet'!$B$11,Paramètres!$A$1:$I$89,5,0)</f>
        <v>281.80981999999966</v>
      </c>
      <c r="BF106" s="13">
        <f t="shared" si="91"/>
        <v>67.349332340203063</v>
      </c>
      <c r="BG106" s="20">
        <f t="shared" si="61"/>
        <v>608.11885699251968</v>
      </c>
      <c r="BH106" s="59">
        <f t="shared" si="62"/>
        <v>901.45219032585305</v>
      </c>
      <c r="BI106" s="59">
        <f ca="1">AVERAGE(OFFSET($BH$3,0,0,'Données projet'!$E$11+1,1))-AVERAGE(OFFSET($H$3,0,0,'Données projet'!$E$11+1,1))</f>
        <v>496.45286557802063</v>
      </c>
      <c r="BJ106" s="59">
        <f t="shared" si="92"/>
        <v>196.37811957788398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53.90372049443792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53.90372049443792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323.17232038705157</v>
      </c>
      <c r="T107" s="59">
        <f t="shared" si="88"/>
        <v>402.34685738619197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236.00000000000009</v>
      </c>
      <c r="AJ107" s="13">
        <f>AI107*VLOOKUP('Données projet'!$B$10,Paramètres!$A$1:$I$89,3,0)*VLOOKUP('Données projet'!$B$10,Paramètres!$A$1:$I$89,5,0)</f>
        <v>154.62720000000004</v>
      </c>
      <c r="AK107" s="13">
        <f t="shared" si="89"/>
        <v>39.62826685000794</v>
      </c>
      <c r="AL107" s="20">
        <f t="shared" si="58"/>
        <v>338.32827143043056</v>
      </c>
      <c r="AM107" s="59">
        <f t="shared" si="59"/>
        <v>631.66160476376388</v>
      </c>
      <c r="AN107" s="59">
        <f ca="1">AVERAGE(OFFSET($AM$3,0,0,'Données projet'!$E$10+1,1))-AVERAGE(OFFSET($H$3,0,0,'Données projet'!$E$10+1,1))</f>
        <v>263.30962868541337</v>
      </c>
      <c r="AO107" s="59">
        <f t="shared" si="90"/>
        <v>269.61868559913404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2.8270588879714582</v>
      </c>
      <c r="AV107" s="21">
        <f>EXP(-LN(2)/25)*AV106+(1-EXP(-LN(2)/25))/(LN(2)/25)*Calculateur!AQ107*Calculateur!AS107*VLOOKUP('Données projet'!$B$10,Paramètres!$A$1:$I$89,3,0)*0.475*44/12</f>
        <v>9.4437761098333333</v>
      </c>
      <c r="AW107" s="21">
        <f>EXP(-LN(2)/2)*AW106+(1-EXP(-LN(2)/2))/(LN(2)/2)*AQ107*AT107*VLOOKUP('Données projet'!$B$10,Paramètres!$A$1:$I$89,3,0)*0.475*44/12</f>
        <v>1.6744545230689536E-2</v>
      </c>
      <c r="AX107" s="21">
        <f t="shared" si="60"/>
        <v>12.287579543035481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7.2711538461538394</v>
      </c>
      <c r="BD107" s="12">
        <f>IF('Données projet'!$A$88&gt;35,BD106+BC107-BL106,IF(A107&lt;'Données projet'!$A$88,$BA$205^A107,IF(A107='Données projet'!$A$88,'Données projet'!$B$88,BD106+BC107-BL106)))</f>
        <v>318.73205128205086</v>
      </c>
      <c r="BE107" s="13">
        <f>BD107*VLOOKUP('Données projet'!$B$11,Paramètres!$A$1:$I$89,3,0)*VLOOKUP('Données projet'!$B$11,Paramètres!$A$1:$I$89,5,0)</f>
        <v>288.38875999999959</v>
      </c>
      <c r="BF107" s="13">
        <f t="shared" si="91"/>
        <v>68.73673780164097</v>
      </c>
      <c r="BG107" s="20">
        <f t="shared" si="61"/>
        <v>621.99357533785735</v>
      </c>
      <c r="BH107" s="59">
        <f t="shared" si="62"/>
        <v>915.32690867119072</v>
      </c>
      <c r="BI107" s="59">
        <f ca="1">AVERAGE(OFFSET($BH$3,0,0,'Données projet'!$E$11+1,1))-AVERAGE(OFFSET($H$3,0,0,'Données projet'!$E$11+1,1))</f>
        <v>496.45286557802063</v>
      </c>
      <c r="BJ107" s="59">
        <f t="shared" si="92"/>
        <v>196.37811957788398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52.846701413565057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52.846701413565057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323.17232038705157</v>
      </c>
      <c r="T108" s="59">
        <f t="shared" si="88"/>
        <v>402.34685738619197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236.00000000000009</v>
      </c>
      <c r="AJ108" s="13">
        <f>AI108*VLOOKUP('Données projet'!$B$10,Paramètres!$A$1:$I$89,3,0)*VLOOKUP('Données projet'!$B$10,Paramètres!$A$1:$I$89,5,0)</f>
        <v>154.62720000000004</v>
      </c>
      <c r="AK108" s="13">
        <f t="shared" si="89"/>
        <v>39.62826685000794</v>
      </c>
      <c r="AL108" s="20">
        <f t="shared" si="58"/>
        <v>338.32827143043056</v>
      </c>
      <c r="AM108" s="59">
        <f t="shared" si="59"/>
        <v>631.66160476376388</v>
      </c>
      <c r="AN108" s="59">
        <f ca="1">AVERAGE(OFFSET($AM$3,0,0,'Données projet'!$E$10+1,1))-AVERAGE(OFFSET($H$3,0,0,'Données projet'!$E$10+1,1))</f>
        <v>263.30962868541337</v>
      </c>
      <c r="AO108" s="59">
        <f t="shared" si="90"/>
        <v>269.61868559913404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2.7716219875139956</v>
      </c>
      <c r="AV108" s="21">
        <f>EXP(-LN(2)/25)*AV107+(1-EXP(-LN(2)/25))/(LN(2)/25)*Calculateur!AQ108*Calculateur!AS108*VLOOKUP('Données projet'!$B$10,Paramètres!$A$1:$I$89,3,0)*0.475*44/12</f>
        <v>9.1855355554833391</v>
      </c>
      <c r="AW108" s="21">
        <f>EXP(-LN(2)/2)*AW107+(1-EXP(-LN(2)/2))/(LN(2)/2)*AQ108*AT108*VLOOKUP('Données projet'!$B$10,Paramètres!$A$1:$I$89,3,0)*0.475*44/12</f>
        <v>1.1840181480505434E-2</v>
      </c>
      <c r="AX108" s="21">
        <f t="shared" si="60"/>
        <v>11.968997724477839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7.2711538461538394</v>
      </c>
      <c r="BD108" s="12">
        <f>IF('Données projet'!$A$88&gt;35,BD107+BC108-BL107,IF(A108&lt;'Données projet'!$A$88,$BA$205^A108,IF(A108='Données projet'!$A$88,'Données projet'!$B$88,BD107+BC108-BL107)))</f>
        <v>326.00320512820468</v>
      </c>
      <c r="BE108" s="13">
        <f>BD108*VLOOKUP('Données projet'!$B$11,Paramètres!$A$1:$I$89,3,0)*VLOOKUP('Données projet'!$B$11,Paramètres!$A$1:$I$89,5,0)</f>
        <v>294.96769999999958</v>
      </c>
      <c r="BF108" s="13">
        <f t="shared" si="91"/>
        <v>70.120463691076594</v>
      </c>
      <c r="BG108" s="20">
        <f t="shared" si="61"/>
        <v>635.86188509529086</v>
      </c>
      <c r="BH108" s="59">
        <f t="shared" si="62"/>
        <v>929.19521842862423</v>
      </c>
      <c r="BI108" s="59">
        <f ca="1">AVERAGE(OFFSET($BH$3,0,0,'Données projet'!$E$11+1,1))-AVERAGE(OFFSET($H$3,0,0,'Données projet'!$E$11+1,1))</f>
        <v>496.45286557802063</v>
      </c>
      <c r="BJ108" s="59">
        <f t="shared" si="92"/>
        <v>196.37811957788398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51.810409832150135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51.810409832150135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323.17232038705157</v>
      </c>
      <c r="T109" s="59">
        <f t="shared" si="88"/>
        <v>402.34685738619197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236.00000000000009</v>
      </c>
      <c r="AJ109" s="13">
        <f>AI109*VLOOKUP('Données projet'!$B$10,Paramètres!$A$1:$I$89,3,0)*VLOOKUP('Données projet'!$B$10,Paramètres!$A$1:$I$89,5,0)</f>
        <v>154.62720000000004</v>
      </c>
      <c r="AK109" s="13">
        <f t="shared" si="89"/>
        <v>39.62826685000794</v>
      </c>
      <c r="AL109" s="20">
        <f t="shared" si="58"/>
        <v>338.32827143043056</v>
      </c>
      <c r="AM109" s="59">
        <f t="shared" si="59"/>
        <v>631.66160476376388</v>
      </c>
      <c r="AN109" s="59">
        <f ca="1">AVERAGE(OFFSET($AM$3,0,0,'Données projet'!$E$10+1,1))-AVERAGE(OFFSET($H$3,0,0,'Données projet'!$E$10+1,1))</f>
        <v>263.30962868541337</v>
      </c>
      <c r="AO109" s="59">
        <f t="shared" si="90"/>
        <v>269.61868559913404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2.7172721708613334</v>
      </c>
      <c r="AV109" s="21">
        <f>EXP(-LN(2)/25)*AV108+(1-EXP(-LN(2)/25))/(LN(2)/25)*Calculateur!AQ109*Calculateur!AS109*VLOOKUP('Données projet'!$B$10,Paramètres!$A$1:$I$89,3,0)*0.475*44/12</f>
        <v>8.9343566026723256</v>
      </c>
      <c r="AW109" s="21">
        <f>EXP(-LN(2)/2)*AW108+(1-EXP(-LN(2)/2))/(LN(2)/2)*AQ109*AT109*VLOOKUP('Données projet'!$B$10,Paramètres!$A$1:$I$89,3,0)*0.475*44/12</f>
        <v>8.3722726153447682E-3</v>
      </c>
      <c r="AX109" s="21">
        <f t="shared" si="60"/>
        <v>11.660001046149004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7.2711538461538394</v>
      </c>
      <c r="BD109" s="12">
        <f>IF('Données projet'!$A$88&gt;35,BD108+BC109-BL108,IF(A109&lt;'Données projet'!$A$88,$BA$205^A109,IF(A109='Données projet'!$A$88,'Données projet'!$B$88,BD108+BC109-BL108)))</f>
        <v>333.27435897435851</v>
      </c>
      <c r="BE109" s="13">
        <f>BD109*VLOOKUP('Données projet'!$B$11,Paramètres!$A$1:$I$89,3,0)*VLOOKUP('Données projet'!$B$11,Paramètres!$A$1:$I$89,5,0)</f>
        <v>301.54663999999957</v>
      </c>
      <c r="BF109" s="13">
        <f t="shared" si="91"/>
        <v>71.500601526763546</v>
      </c>
      <c r="BG109" s="20">
        <f t="shared" si="61"/>
        <v>649.72394565911236</v>
      </c>
      <c r="BH109" s="59">
        <f t="shared" si="62"/>
        <v>943.05727899244562</v>
      </c>
      <c r="BI109" s="59">
        <f ca="1">AVERAGE(OFFSET($BH$3,0,0,'Données projet'!$E$11+1,1))-AVERAGE(OFFSET($H$3,0,0,'Données projet'!$E$11+1,1))</f>
        <v>496.45286557802063</v>
      </c>
      <c r="BJ109" s="59">
        <f t="shared" si="92"/>
        <v>196.37811957788398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50.794439296571305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50.794439296571305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323.17232038705157</v>
      </c>
      <c r="T110" s="59">
        <f t="shared" si="88"/>
        <v>402.34685738619197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236.00000000000009</v>
      </c>
      <c r="AJ110" s="13">
        <f>AI110*VLOOKUP('Données projet'!$B$10,Paramètres!$A$1:$I$89,3,0)*VLOOKUP('Données projet'!$B$10,Paramètres!$A$1:$I$89,5,0)</f>
        <v>154.62720000000004</v>
      </c>
      <c r="AK110" s="13">
        <f t="shared" si="89"/>
        <v>39.62826685000794</v>
      </c>
      <c r="AL110" s="20">
        <f t="shared" si="58"/>
        <v>338.32827143043056</v>
      </c>
      <c r="AM110" s="59">
        <f t="shared" si="59"/>
        <v>631.66160476376388</v>
      </c>
      <c r="AN110" s="59">
        <f ca="1">AVERAGE(OFFSET($AM$3,0,0,'Données projet'!$E$10+1,1))-AVERAGE(OFFSET($H$3,0,0,'Données projet'!$E$10+1,1))</f>
        <v>263.30962868541337</v>
      </c>
      <c r="AO110" s="59">
        <f t="shared" si="90"/>
        <v>269.61868559913404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2.6639881209631149</v>
      </c>
      <c r="AV110" s="21">
        <f>EXP(-LN(2)/25)*AV109+(1-EXP(-LN(2)/25))/(LN(2)/25)*Calculateur!AQ110*Calculateur!AS110*VLOOKUP('Données projet'!$B$10,Paramètres!$A$1:$I$89,3,0)*0.475*44/12</f>
        <v>8.6900461515348564</v>
      </c>
      <c r="AW110" s="21">
        <f>EXP(-LN(2)/2)*AW109+(1-EXP(-LN(2)/2))/(LN(2)/2)*AQ110*AT110*VLOOKUP('Données projet'!$B$10,Paramètres!$A$1:$I$89,3,0)*0.475*44/12</f>
        <v>5.920090740252717E-3</v>
      </c>
      <c r="AX110" s="21">
        <f t="shared" si="60"/>
        <v>11.359954363238224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7.2711538461538394</v>
      </c>
      <c r="BD110" s="12">
        <f>IF('Données projet'!$A$88&gt;35,BD109+BC110-BL109,IF(A110&lt;'Données projet'!$A$88,$BA$205^A110,IF(A110='Données projet'!$A$88,'Données projet'!$B$88,BD109+BC110-BL109)))</f>
        <v>340.54551282051233</v>
      </c>
      <c r="BE110" s="13">
        <f>BD110*VLOOKUP('Données projet'!$B$11,Paramètres!$A$1:$I$89,3,0)*VLOOKUP('Données projet'!$B$11,Paramètres!$A$1:$I$89,5,0)</f>
        <v>308.12557999999956</v>
      </c>
      <c r="BF110" s="13">
        <f t="shared" si="91"/>
        <v>72.877238605529826</v>
      </c>
      <c r="BG110" s="20">
        <f t="shared" si="61"/>
        <v>663.57990907129704</v>
      </c>
      <c r="BH110" s="59">
        <f t="shared" si="62"/>
        <v>956.91324240463041</v>
      </c>
      <c r="BI110" s="59">
        <f ca="1">AVERAGE(OFFSET($BH$3,0,0,'Données projet'!$E$11+1,1))-AVERAGE(OFFSET($H$3,0,0,'Données projet'!$E$11+1,1))</f>
        <v>496.45286557802063</v>
      </c>
      <c r="BJ110" s="59">
        <f t="shared" si="92"/>
        <v>196.37811957788398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49.798391323514338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49.798391323514338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323.17232038705157</v>
      </c>
      <c r="T111" s="59">
        <f t="shared" si="88"/>
        <v>402.34685738619197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236.00000000000009</v>
      </c>
      <c r="AJ111" s="13">
        <f>AI111*VLOOKUP('Données projet'!$B$10,Paramètres!$A$1:$I$89,3,0)*VLOOKUP('Données projet'!$B$10,Paramètres!$A$1:$I$89,5,0)</f>
        <v>154.62720000000004</v>
      </c>
      <c r="AK111" s="13">
        <f t="shared" si="89"/>
        <v>39.62826685000794</v>
      </c>
      <c r="AL111" s="20">
        <f t="shared" si="58"/>
        <v>338.32827143043056</v>
      </c>
      <c r="AM111" s="59">
        <f t="shared" si="59"/>
        <v>631.66160476376388</v>
      </c>
      <c r="AN111" s="59">
        <f ca="1">AVERAGE(OFFSET($AM$3,0,0,'Données projet'!$E$10+1,1))-AVERAGE(OFFSET($H$3,0,0,'Données projet'!$E$10+1,1))</f>
        <v>263.30962868541337</v>
      </c>
      <c r="AO111" s="59">
        <f t="shared" si="90"/>
        <v>269.61868559913404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2.611748938783339</v>
      </c>
      <c r="AV111" s="21">
        <f>EXP(-LN(2)/25)*AV110+(1-EXP(-LN(2)/25))/(LN(2)/25)*Calculateur!AQ111*Calculateur!AS111*VLOOKUP('Données projet'!$B$10,Paramètres!$A$1:$I$89,3,0)*0.475*44/12</f>
        <v>8.4524163825314709</v>
      </c>
      <c r="AW111" s="21">
        <f>EXP(-LN(2)/2)*AW110+(1-EXP(-LN(2)/2))/(LN(2)/2)*AQ111*AT111*VLOOKUP('Données projet'!$B$10,Paramètres!$A$1:$I$89,3,0)*0.475*44/12</f>
        <v>4.1861363076723841E-3</v>
      </c>
      <c r="AX111" s="21">
        <f t="shared" si="60"/>
        <v>11.068351457622482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7.2711538461538394</v>
      </c>
      <c r="BD111" s="12">
        <f>IF('Données projet'!$A$88&gt;35,BD110+BC111-BL110,IF(A111&lt;'Données projet'!$A$88,$BA$205^A111,IF(A111='Données projet'!$A$88,'Données projet'!$B$88,BD110+BC111-BL110)))</f>
        <v>347.81666666666615</v>
      </c>
      <c r="BE111" s="13">
        <f>BD111*VLOOKUP('Données projet'!$B$11,Paramètres!$A$1:$I$89,3,0)*VLOOKUP('Données projet'!$B$11,Paramètres!$A$1:$I$89,5,0)</f>
        <v>314.70451999999955</v>
      </c>
      <c r="BF111" s="13">
        <f t="shared" si="91"/>
        <v>74.250458283407895</v>
      </c>
      <c r="BG111" s="20">
        <f t="shared" si="61"/>
        <v>677.42992051026795</v>
      </c>
      <c r="BH111" s="59">
        <f t="shared" si="62"/>
        <v>970.76325384360121</v>
      </c>
      <c r="BI111" s="59">
        <f ca="1">AVERAGE(OFFSET($BH$3,0,0,'Données projet'!$E$11+1,1))-AVERAGE(OFFSET($H$3,0,0,'Données projet'!$E$11+1,1))</f>
        <v>496.45286557802063</v>
      </c>
      <c r="BJ111" s="59">
        <f t="shared" si="92"/>
        <v>196.37811957788398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48.821875243679742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48.821875243679742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323.17232038705157</v>
      </c>
      <c r="T112" s="59">
        <f t="shared" si="88"/>
        <v>402.34685738619197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236.00000000000009</v>
      </c>
      <c r="AJ112" s="13">
        <f>AI112*VLOOKUP('Données projet'!$B$10,Paramètres!$A$1:$I$89,3,0)*VLOOKUP('Données projet'!$B$10,Paramètres!$A$1:$I$89,5,0)</f>
        <v>154.62720000000004</v>
      </c>
      <c r="AK112" s="13">
        <f t="shared" si="89"/>
        <v>39.62826685000794</v>
      </c>
      <c r="AL112" s="20">
        <f t="shared" si="58"/>
        <v>338.32827143043056</v>
      </c>
      <c r="AM112" s="59">
        <f t="shared" si="59"/>
        <v>631.66160476376388</v>
      </c>
      <c r="AN112" s="59">
        <f ca="1">AVERAGE(OFFSET($AM$3,0,0,'Données projet'!$E$10+1,1))-AVERAGE(OFFSET($H$3,0,0,'Données projet'!$E$10+1,1))</f>
        <v>263.30962868541337</v>
      </c>
      <c r="AO112" s="59">
        <f t="shared" si="90"/>
        <v>269.61868559913404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2.5605341351033539</v>
      </c>
      <c r="AV112" s="21">
        <f>EXP(-LN(2)/25)*AV111+(1-EXP(-LN(2)/25))/(LN(2)/25)*Calculateur!AQ112*Calculateur!AS112*VLOOKUP('Données projet'!$B$10,Paramètres!$A$1:$I$89,3,0)*0.475*44/12</f>
        <v>8.2212846120578877</v>
      </c>
      <c r="AW112" s="21">
        <f>EXP(-LN(2)/2)*AW111+(1-EXP(-LN(2)/2))/(LN(2)/2)*AQ112*AT112*VLOOKUP('Données projet'!$B$10,Paramètres!$A$1:$I$89,3,0)*0.475*44/12</f>
        <v>2.9600453701263585E-3</v>
      </c>
      <c r="AX112" s="21">
        <f t="shared" si="60"/>
        <v>10.78477879253137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7.2711538461538394</v>
      </c>
      <c r="BD112" s="12">
        <f>IF('Données projet'!$A$88&gt;35,BD111+BC112-BL111,IF(A112&lt;'Données projet'!$A$88,$BA$205^A112,IF(A112='Données projet'!$A$88,'Données projet'!$B$88,BD111+BC112-BL111)))</f>
        <v>355.08782051281997</v>
      </c>
      <c r="BE112" s="13">
        <f>BD112*VLOOKUP('Données projet'!$B$11,Paramètres!$A$1:$I$89,3,0)*VLOOKUP('Données projet'!$B$11,Paramètres!$A$1:$I$89,5,0)</f>
        <v>321.28345999999954</v>
      </c>
      <c r="BF112" s="13">
        <f t="shared" si="91"/>
        <v>75.620340232134623</v>
      </c>
      <c r="BG112" s="20">
        <f t="shared" si="61"/>
        <v>691.27411873763356</v>
      </c>
      <c r="BH112" s="59">
        <f t="shared" si="62"/>
        <v>984.60745207096693</v>
      </c>
      <c r="BI112" s="59">
        <f ca="1">AVERAGE(OFFSET($BH$3,0,0,'Données projet'!$E$11+1,1))-AVERAGE(OFFSET($H$3,0,0,'Données projet'!$E$11+1,1))</f>
        <v>496.45286557802063</v>
      </c>
      <c r="BJ112" s="59">
        <f t="shared" si="92"/>
        <v>196.37811957788398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47.864508048554704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47.864508048554704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323.17232038705157</v>
      </c>
      <c r="T113" s="59">
        <f t="shared" si="88"/>
        <v>402.34685738619197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236.00000000000009</v>
      </c>
      <c r="AJ113" s="13">
        <f>AI113*VLOOKUP('Données projet'!$B$10,Paramètres!$A$1:$I$89,3,0)*VLOOKUP('Données projet'!$B$10,Paramètres!$A$1:$I$89,5,0)</f>
        <v>154.62720000000004</v>
      </c>
      <c r="AK113" s="13">
        <f t="shared" si="89"/>
        <v>39.62826685000794</v>
      </c>
      <c r="AL113" s="20">
        <f t="shared" si="58"/>
        <v>338.32827143043056</v>
      </c>
      <c r="AM113" s="59">
        <f t="shared" si="59"/>
        <v>631.66160476376388</v>
      </c>
      <c r="AN113" s="59">
        <f ca="1">AVERAGE(OFFSET($AM$3,0,0,'Données projet'!$E$10+1,1))-AVERAGE(OFFSET($H$3,0,0,'Données projet'!$E$10+1,1))</f>
        <v>263.30962868541337</v>
      </c>
      <c r="AO113" s="59">
        <f t="shared" si="90"/>
        <v>269.61868559913404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2.5103236224855876</v>
      </c>
      <c r="AV113" s="21">
        <f>EXP(-LN(2)/25)*AV112+(1-EXP(-LN(2)/25))/(LN(2)/25)*Calculateur!AQ113*Calculateur!AS113*VLOOKUP('Données projet'!$B$10,Paramètres!$A$1:$I$89,3,0)*0.475*44/12</f>
        <v>7.9964731520025971</v>
      </c>
      <c r="AW113" s="21">
        <f>EXP(-LN(2)/2)*AW112+(1-EXP(-LN(2)/2))/(LN(2)/2)*AQ113*AT113*VLOOKUP('Données projet'!$B$10,Paramètres!$A$1:$I$89,3,0)*0.475*44/12</f>
        <v>2.0930681538361921E-3</v>
      </c>
      <c r="AX113" s="21">
        <f t="shared" si="60"/>
        <v>10.508889842642022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362.35897435897431</v>
      </c>
      <c r="BB113" s="12">
        <f>VLOOKUP(A113,'Données projet'!$A$87:$I$107,9,0)</f>
        <v>7.2711538461538394</v>
      </c>
      <c r="BC113" s="12">
        <f t="array" ref="BC113">INDEX(BB:BB,MIN(IF(ISNUMBER(BB113:BB309),ROW(BB113:BB309),"")))</f>
        <v>7.2711538461538394</v>
      </c>
      <c r="BD113" s="12">
        <f>IF('Données projet'!$A$88&gt;35,BD112+BC113-BL112,IF(A113&lt;'Données projet'!$A$88,$BA$205^A113,IF(A113='Données projet'!$A$88,'Données projet'!$B$88,BD112+BC113-BL112)))</f>
        <v>362.3589743589738</v>
      </c>
      <c r="BE113" s="13">
        <f>BD113*VLOOKUP('Données projet'!$B$11,Paramètres!$A$1:$I$89,3,0)*VLOOKUP('Données projet'!$B$11,Paramètres!$A$1:$I$89,5,0)</f>
        <v>327.86239999999947</v>
      </c>
      <c r="BF113" s="13">
        <f t="shared" si="91"/>
        <v>76.98696067405001</v>
      </c>
      <c r="BG113" s="20">
        <f t="shared" si="61"/>
        <v>705.1126365073028</v>
      </c>
      <c r="BH113" s="59">
        <f t="shared" si="62"/>
        <v>998.44596984063605</v>
      </c>
      <c r="BI113" s="59">
        <f ca="1">AVERAGE(OFFSET($BH$3,0,0,'Données projet'!$E$11+1,1))-AVERAGE(OFFSET($H$3,0,0,'Données projet'!$E$11+1,1))</f>
        <v>496.45286557802063</v>
      </c>
      <c r="BJ113" s="59">
        <f t="shared" si="92"/>
        <v>196.37811957788398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50.051282051282051</v>
      </c>
      <c r="BM113" s="16">
        <f>IF(ISNA(VLOOKUP(A113,'Données projet'!$A$87:$I$107,5,0)),0%,VLOOKUP(A113,'Données projet'!$A$87:$I$107,5,0)*VLOOKUP('Données projet'!$B$11,Paramètres!$A$1:$I$89,7,0))</f>
        <v>0.30099999999999999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61.994809152689719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61.994809152689719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323.17232038705157</v>
      </c>
      <c r="T114" s="59">
        <f t="shared" si="88"/>
        <v>402.34685738619197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236.00000000000009</v>
      </c>
      <c r="AJ114" s="13">
        <f>AI114*VLOOKUP('Données projet'!$B$10,Paramètres!$A$1:$I$89,3,0)*VLOOKUP('Données projet'!$B$10,Paramètres!$A$1:$I$89,5,0)</f>
        <v>154.62720000000004</v>
      </c>
      <c r="AK114" s="13">
        <f t="shared" si="89"/>
        <v>39.62826685000794</v>
      </c>
      <c r="AL114" s="20">
        <f t="shared" si="58"/>
        <v>338.32827143043056</v>
      </c>
      <c r="AM114" s="59">
        <f t="shared" si="59"/>
        <v>631.66160476376388</v>
      </c>
      <c r="AN114" s="59">
        <f ca="1">AVERAGE(OFFSET($AM$3,0,0,'Données projet'!$E$10+1,1))-AVERAGE(OFFSET($H$3,0,0,'Données projet'!$E$10+1,1))</f>
        <v>263.30962868541337</v>
      </c>
      <c r="AO114" s="59">
        <f t="shared" si="90"/>
        <v>269.61868559913404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2.4610977073948668</v>
      </c>
      <c r="AV114" s="21">
        <f>EXP(-LN(2)/25)*AV113+(1-EXP(-LN(2)/25))/(LN(2)/25)*Calculateur!AQ114*Calculateur!AS114*VLOOKUP('Données projet'!$B$10,Paramètres!$A$1:$I$89,3,0)*0.475*44/12</f>
        <v>7.7778091731448393</v>
      </c>
      <c r="AW114" s="21">
        <f>EXP(-LN(2)/2)*AW113+(1-EXP(-LN(2)/2))/(LN(2)/2)*AQ114*AT114*VLOOKUP('Données projet'!$B$10,Paramètres!$A$1:$I$89,3,0)*0.475*44/12</f>
        <v>1.4800226850631793E-3</v>
      </c>
      <c r="AX114" s="21">
        <f t="shared" si="60"/>
        <v>10.240386903224769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7.1749999999999998</v>
      </c>
      <c r="BD114" s="12">
        <f>IF('Données projet'!$A$88&gt;35,BD113+BC114-BL113,IF(A114&lt;'Données projet'!$A$88,$BA$205^A114,IF(A114='Données projet'!$A$88,'Données projet'!$B$88,BD113+BC114-BL113)))</f>
        <v>319.48269230769176</v>
      </c>
      <c r="BE114" s="13">
        <f>BD114*VLOOKUP('Données projet'!$B$11,Paramètres!$A$1:$I$89,3,0)*VLOOKUP('Données projet'!$B$11,Paramètres!$A$1:$I$89,5,0)</f>
        <v>289.06793999999951</v>
      </c>
      <c r="BF114" s="13">
        <f t="shared" si="91"/>
        <v>68.879756132176865</v>
      </c>
      <c r="BG114" s="20">
        <f t="shared" si="61"/>
        <v>623.42557076354046</v>
      </c>
      <c r="BH114" s="59">
        <f t="shared" si="62"/>
        <v>916.75890409687372</v>
      </c>
      <c r="BI114" s="59">
        <f ca="1">AVERAGE(OFFSET($BH$3,0,0,'Données projet'!$E$11+1,1))-AVERAGE(OFFSET($H$3,0,0,'Données projet'!$E$11+1,1))</f>
        <v>496.45286557802063</v>
      </c>
      <c r="BJ114" s="59">
        <f t="shared" si="92"/>
        <v>196.37811957788398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60.779128758305326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60.779128758305326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323.17232038705157</v>
      </c>
      <c r="T115" s="59">
        <f t="shared" si="88"/>
        <v>402.34685738619197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236.00000000000009</v>
      </c>
      <c r="AJ115" s="13">
        <f>AI115*VLOOKUP('Données projet'!$B$10,Paramètres!$A$1:$I$89,3,0)*VLOOKUP('Données projet'!$B$10,Paramètres!$A$1:$I$89,5,0)</f>
        <v>154.62720000000004</v>
      </c>
      <c r="AK115" s="13">
        <f t="shared" si="89"/>
        <v>39.62826685000794</v>
      </c>
      <c r="AL115" s="20">
        <f t="shared" si="58"/>
        <v>338.32827143043056</v>
      </c>
      <c r="AM115" s="59">
        <f t="shared" si="59"/>
        <v>631.66160476376388</v>
      </c>
      <c r="AN115" s="59">
        <f ca="1">AVERAGE(OFFSET($AM$3,0,0,'Données projet'!$E$10+1,1))-AVERAGE(OFFSET($H$3,0,0,'Données projet'!$E$10+1,1))</f>
        <v>263.30962868541337</v>
      </c>
      <c r="AO115" s="59">
        <f t="shared" si="90"/>
        <v>269.61868559913404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2.4128370824742316</v>
      </c>
      <c r="AV115" s="21">
        <f>EXP(-LN(2)/25)*AV114+(1-EXP(-LN(2)/25))/(LN(2)/25)*Calculateur!AQ115*Calculateur!AS115*VLOOKUP('Données projet'!$B$10,Paramètres!$A$1:$I$89,3,0)*0.475*44/12</f>
        <v>7.5651245722879858</v>
      </c>
      <c r="AW115" s="21">
        <f>EXP(-LN(2)/2)*AW114+(1-EXP(-LN(2)/2))/(LN(2)/2)*AQ115*AT115*VLOOKUP('Données projet'!$B$10,Paramètres!$A$1:$I$89,3,0)*0.475*44/12</f>
        <v>1.046534076918096E-3</v>
      </c>
      <c r="AX115" s="21">
        <f t="shared" si="60"/>
        <v>9.9790081888391367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7.1749999999999998</v>
      </c>
      <c r="BD115" s="12">
        <f>IF('Données projet'!$A$88&gt;35,BD114+BC115-BL114,IF(A115&lt;'Données projet'!$A$88,$BA$205^A115,IF(A115='Données projet'!$A$88,'Données projet'!$B$88,BD114+BC115-BL114)))</f>
        <v>326.65769230769178</v>
      </c>
      <c r="BE115" s="13">
        <f>BD115*VLOOKUP('Données projet'!$B$11,Paramètres!$A$1:$I$89,3,0)*VLOOKUP('Données projet'!$B$11,Paramètres!$A$1:$I$89,5,0)</f>
        <v>295.55987999999951</v>
      </c>
      <c r="BF115" s="13">
        <f t="shared" si="91"/>
        <v>70.244837533317892</v>
      </c>
      <c r="BG115" s="20">
        <f t="shared" si="61"/>
        <v>637.10988303719444</v>
      </c>
      <c r="BH115" s="59">
        <f t="shared" si="62"/>
        <v>930.44321637052781</v>
      </c>
      <c r="BI115" s="59">
        <f ca="1">AVERAGE(OFFSET($BH$3,0,0,'Données projet'!$E$11+1,1))-AVERAGE(OFFSET($H$3,0,0,'Données projet'!$E$11+1,1))</f>
        <v>496.45286557802063</v>
      </c>
      <c r="BJ115" s="59">
        <f t="shared" si="92"/>
        <v>196.37811957788398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59.587287114962983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59.587287114962983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323.17232038705157</v>
      </c>
      <c r="T116" s="59">
        <f t="shared" si="88"/>
        <v>402.34685738619197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236.00000000000009</v>
      </c>
      <c r="AJ116" s="13">
        <f>AI116*VLOOKUP('Données projet'!$B$10,Paramètres!$A$1:$I$89,3,0)*VLOOKUP('Données projet'!$B$10,Paramètres!$A$1:$I$89,5,0)</f>
        <v>154.62720000000004</v>
      </c>
      <c r="AK116" s="13">
        <f t="shared" si="89"/>
        <v>39.62826685000794</v>
      </c>
      <c r="AL116" s="20">
        <f t="shared" si="58"/>
        <v>338.32827143043056</v>
      </c>
      <c r="AM116" s="59">
        <f t="shared" si="59"/>
        <v>631.66160476376388</v>
      </c>
      <c r="AN116" s="59">
        <f ca="1">AVERAGE(OFFSET($AM$3,0,0,'Données projet'!$E$10+1,1))-AVERAGE(OFFSET($H$3,0,0,'Données projet'!$E$10+1,1))</f>
        <v>263.30962868541337</v>
      </c>
      <c r="AO116" s="59">
        <f t="shared" si="90"/>
        <v>269.61868559913404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2.3655228189722153</v>
      </c>
      <c r="AV116" s="21">
        <f>EXP(-LN(2)/25)*AV115+(1-EXP(-LN(2)/25))/(LN(2)/25)*Calculateur!AQ116*Calculateur!AS116*VLOOKUP('Données projet'!$B$10,Paramètres!$A$1:$I$89,3,0)*0.475*44/12</f>
        <v>7.3582558430261598</v>
      </c>
      <c r="AW116" s="21">
        <f>EXP(-LN(2)/2)*AW115+(1-EXP(-LN(2)/2))/(LN(2)/2)*AQ116*AT116*VLOOKUP('Données projet'!$B$10,Paramètres!$A$1:$I$89,3,0)*0.475*44/12</f>
        <v>7.4001134253158963E-4</v>
      </c>
      <c r="AX116" s="21">
        <f t="shared" si="60"/>
        <v>9.7245186733409064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7.1749999999999998</v>
      </c>
      <c r="BD116" s="12">
        <f>IF('Données projet'!$A$88&gt;35,BD115+BC116-BL115,IF(A116&lt;'Données projet'!$A$88,$BA$205^A116,IF(A116='Données projet'!$A$88,'Données projet'!$B$88,BD115+BC116-BL115)))</f>
        <v>333.83269230769179</v>
      </c>
      <c r="BE116" s="13">
        <f>BD116*VLOOKUP('Données projet'!$B$11,Paramètres!$A$1:$I$89,3,0)*VLOOKUP('Données projet'!$B$11,Paramètres!$A$1:$I$89,5,0)</f>
        <v>302.05181999999951</v>
      </c>
      <c r="BF116" s="13">
        <f t="shared" si="91"/>
        <v>71.606432974509318</v>
      </c>
      <c r="BG116" s="20">
        <f t="shared" si="61"/>
        <v>650.78812393060286</v>
      </c>
      <c r="BH116" s="59">
        <f t="shared" si="62"/>
        <v>944.12145726393624</v>
      </c>
      <c r="BI116" s="59">
        <f ca="1">AVERAGE(OFFSET($BH$3,0,0,'Données projet'!$E$11+1,1))-AVERAGE(OFFSET($H$3,0,0,'Données projet'!$E$11+1,1))</f>
        <v>496.45286557802063</v>
      </c>
      <c r="BJ116" s="59">
        <f t="shared" si="92"/>
        <v>196.37811957788398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58.418816759294963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58.418816759294963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323.17232038705157</v>
      </c>
      <c r="T117" s="59">
        <f t="shared" si="88"/>
        <v>402.34685738619197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236.00000000000009</v>
      </c>
      <c r="AJ117" s="13">
        <f>AI117*VLOOKUP('Données projet'!$B$10,Paramètres!$A$1:$I$89,3,0)*VLOOKUP('Données projet'!$B$10,Paramètres!$A$1:$I$89,5,0)</f>
        <v>154.62720000000004</v>
      </c>
      <c r="AK117" s="13">
        <f t="shared" si="89"/>
        <v>39.62826685000794</v>
      </c>
      <c r="AL117" s="20">
        <f t="shared" si="58"/>
        <v>338.32827143043056</v>
      </c>
      <c r="AM117" s="59">
        <f t="shared" si="59"/>
        <v>631.66160476376388</v>
      </c>
      <c r="AN117" s="59">
        <f ca="1">AVERAGE(OFFSET($AM$3,0,0,'Données projet'!$E$10+1,1))-AVERAGE(OFFSET($H$3,0,0,'Données projet'!$E$10+1,1))</f>
        <v>263.30962868541337</v>
      </c>
      <c r="AO117" s="59">
        <f t="shared" si="90"/>
        <v>269.61868559913404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2.3191363593186223</v>
      </c>
      <c r="AV117" s="21">
        <f>EXP(-LN(2)/25)*AV116+(1-EXP(-LN(2)/25))/(LN(2)/25)*Calculateur!AQ117*Calculateur!AS117*VLOOKUP('Données projet'!$B$10,Paramètres!$A$1:$I$89,3,0)*0.475*44/12</f>
        <v>7.157043950044752</v>
      </c>
      <c r="AW117" s="21">
        <f>EXP(-LN(2)/2)*AW116+(1-EXP(-LN(2)/2))/(LN(2)/2)*AQ117*AT117*VLOOKUP('Données projet'!$B$10,Paramètres!$A$1:$I$89,3,0)*0.475*44/12</f>
        <v>5.2326703845904802E-4</v>
      </c>
      <c r="AX117" s="21">
        <f t="shared" si="60"/>
        <v>9.4767035764018335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7.1749999999999998</v>
      </c>
      <c r="BD117" s="12">
        <f>IF('Données projet'!$A$88&gt;35,BD116+BC117-BL116,IF(A117&lt;'Données projet'!$A$88,$BA$205^A117,IF(A117='Données projet'!$A$88,'Données projet'!$B$88,BD116+BC117-BL116)))</f>
        <v>341.0076923076918</v>
      </c>
      <c r="BE117" s="13">
        <f>BD117*VLOOKUP('Données projet'!$B$11,Paramètres!$A$1:$I$89,3,0)*VLOOKUP('Données projet'!$B$11,Paramètres!$A$1:$I$89,5,0)</f>
        <v>308.54375999999951</v>
      </c>
      <c r="BF117" s="13">
        <f t="shared" si="91"/>
        <v>72.964626008291575</v>
      </c>
      <c r="BG117" s="20">
        <f t="shared" si="61"/>
        <v>664.4604389644403</v>
      </c>
      <c r="BH117" s="59">
        <f t="shared" si="62"/>
        <v>957.79377229777356</v>
      </c>
      <c r="BI117" s="59">
        <f ca="1">AVERAGE(OFFSET($BH$3,0,0,'Données projet'!$E$11+1,1))-AVERAGE(OFFSET($H$3,0,0,'Données projet'!$E$11+1,1))</f>
        <v>496.45286557802063</v>
      </c>
      <c r="BJ117" s="59">
        <f t="shared" si="92"/>
        <v>196.37811957788398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57.273259394605049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57.273259394605049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323.17232038705157</v>
      </c>
      <c r="T118" s="59">
        <f t="shared" si="88"/>
        <v>402.34685738619197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236.00000000000009</v>
      </c>
      <c r="AJ118" s="13">
        <f>AI118*VLOOKUP('Données projet'!$B$10,Paramètres!$A$1:$I$89,3,0)*VLOOKUP('Données projet'!$B$10,Paramètres!$A$1:$I$89,5,0)</f>
        <v>154.62720000000004</v>
      </c>
      <c r="AK118" s="13">
        <f t="shared" si="89"/>
        <v>39.62826685000794</v>
      </c>
      <c r="AL118" s="20">
        <f t="shared" si="58"/>
        <v>338.32827143043056</v>
      </c>
      <c r="AM118" s="59">
        <f t="shared" si="59"/>
        <v>631.66160476376388</v>
      </c>
      <c r="AN118" s="59">
        <f ca="1">AVERAGE(OFFSET($AM$3,0,0,'Données projet'!$E$10+1,1))-AVERAGE(OFFSET($H$3,0,0,'Données projet'!$E$10+1,1))</f>
        <v>263.30962868541337</v>
      </c>
      <c r="AO118" s="59">
        <f t="shared" si="90"/>
        <v>269.61868559913404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2.2736595098458898</v>
      </c>
      <c r="AV118" s="21">
        <f>EXP(-LN(2)/25)*AV117+(1-EXP(-LN(2)/25))/(LN(2)/25)*Calculateur!AQ118*Calculateur!AS118*VLOOKUP('Données projet'!$B$10,Paramètres!$A$1:$I$89,3,0)*0.475*44/12</f>
        <v>6.9613342068581945</v>
      </c>
      <c r="AW118" s="21">
        <f>EXP(-LN(2)/2)*AW117+(1-EXP(-LN(2)/2))/(LN(2)/2)*AQ118*AT118*VLOOKUP('Données projet'!$B$10,Paramètres!$A$1:$I$89,3,0)*0.475*44/12</f>
        <v>3.7000567126579481E-4</v>
      </c>
      <c r="AX118" s="21">
        <f t="shared" si="60"/>
        <v>9.2353637223753502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7.1749999999999998</v>
      </c>
      <c r="BD118" s="12">
        <f>IF('Données projet'!$A$88&gt;35,BD117+BC118-BL117,IF(A118&lt;'Données projet'!$A$88,$BA$205^A118,IF(A118='Données projet'!$A$88,'Données projet'!$B$88,BD117+BC118-BL117)))</f>
        <v>348.18269230769181</v>
      </c>
      <c r="BE118" s="13">
        <f>BD118*VLOOKUP('Données projet'!$B$11,Paramètres!$A$1:$I$89,3,0)*VLOOKUP('Données projet'!$B$11,Paramètres!$A$1:$I$89,5,0)</f>
        <v>315.03569999999951</v>
      </c>
      <c r="BF118" s="13">
        <f t="shared" si="91"/>
        <v>74.319496470315627</v>
      </c>
      <c r="BG118" s="20">
        <f t="shared" si="61"/>
        <v>678.12696718579889</v>
      </c>
      <c r="BH118" s="59">
        <f t="shared" si="62"/>
        <v>971.46030051913226</v>
      </c>
      <c r="BI118" s="59">
        <f ca="1">AVERAGE(OFFSET($BH$3,0,0,'Données projet'!$E$11+1,1))-AVERAGE(OFFSET($H$3,0,0,'Données projet'!$E$11+1,1))</f>
        <v>496.45286557802063</v>
      </c>
      <c r="BJ118" s="59">
        <f t="shared" si="92"/>
        <v>196.37811957788398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56.150165711115704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56.150165711115704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323.17232038705157</v>
      </c>
      <c r="T119" s="59">
        <f t="shared" si="88"/>
        <v>402.34685738619197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236.00000000000009</v>
      </c>
      <c r="AJ119" s="13">
        <f>AI119*VLOOKUP('Données projet'!$B$10,Paramètres!$A$1:$I$89,3,0)*VLOOKUP('Données projet'!$B$10,Paramètres!$A$1:$I$89,5,0)</f>
        <v>154.62720000000004</v>
      </c>
      <c r="AK119" s="13">
        <f t="shared" si="89"/>
        <v>39.62826685000794</v>
      </c>
      <c r="AL119" s="20">
        <f t="shared" si="58"/>
        <v>338.32827143043056</v>
      </c>
      <c r="AM119" s="59">
        <f t="shared" si="59"/>
        <v>631.66160476376388</v>
      </c>
      <c r="AN119" s="59">
        <f ca="1">AVERAGE(OFFSET($AM$3,0,0,'Données projet'!$E$10+1,1))-AVERAGE(OFFSET($H$3,0,0,'Données projet'!$E$10+1,1))</f>
        <v>263.30962868541337</v>
      </c>
      <c r="AO119" s="59">
        <f t="shared" si="90"/>
        <v>269.61868559913404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2.2290744336531785</v>
      </c>
      <c r="AV119" s="21">
        <f>EXP(-LN(2)/25)*AV118+(1-EXP(-LN(2)/25))/(LN(2)/25)*Calculateur!AQ119*Calculateur!AS119*VLOOKUP('Données projet'!$B$10,Paramètres!$A$1:$I$89,3,0)*0.475*44/12</f>
        <v>6.7709761568910016</v>
      </c>
      <c r="AW119" s="21">
        <f>EXP(-LN(2)/2)*AW118+(1-EXP(-LN(2)/2))/(LN(2)/2)*AQ119*AT119*VLOOKUP('Données projet'!$B$10,Paramètres!$A$1:$I$89,3,0)*0.475*44/12</f>
        <v>2.6163351922952401E-4</v>
      </c>
      <c r="AX119" s="21">
        <f t="shared" si="60"/>
        <v>9.0003122240634106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7.1749999999999998</v>
      </c>
      <c r="BD119" s="12">
        <f>IF('Données projet'!$A$88&gt;35,BD118+BC119-BL118,IF(A119&lt;'Données projet'!$A$88,$BA$205^A119,IF(A119='Données projet'!$A$88,'Données projet'!$B$88,BD118+BC119-BL118)))</f>
        <v>355.35769230769182</v>
      </c>
      <c r="BE119" s="13">
        <f>BD119*VLOOKUP('Données projet'!$B$11,Paramètres!$A$1:$I$89,3,0)*VLOOKUP('Données projet'!$B$11,Paramètres!$A$1:$I$89,5,0)</f>
        <v>321.52763999999956</v>
      </c>
      <c r="BF119" s="13">
        <f t="shared" si="91"/>
        <v>75.67112071782168</v>
      </c>
      <c r="BG119" s="20">
        <f t="shared" si="61"/>
        <v>691.78784158353858</v>
      </c>
      <c r="BH119" s="59">
        <f t="shared" si="62"/>
        <v>985.12117491687195</v>
      </c>
      <c r="BI119" s="59">
        <f ca="1">AVERAGE(OFFSET($BH$3,0,0,'Données projet'!$E$11+1,1))-AVERAGE(OFFSET($H$3,0,0,'Données projet'!$E$11+1,1))</f>
        <v>496.45286557802063</v>
      </c>
      <c r="BJ119" s="59">
        <f t="shared" si="92"/>
        <v>196.37811957788398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55.049095209740081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55.049095209740081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323.17232038705157</v>
      </c>
      <c r="T120" s="59">
        <f t="shared" si="88"/>
        <v>402.34685738619197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236.00000000000009</v>
      </c>
      <c r="AJ120" s="13">
        <f>AI120*VLOOKUP('Données projet'!$B$10,Paramètres!$A$1:$I$89,3,0)*VLOOKUP('Données projet'!$B$10,Paramètres!$A$1:$I$89,5,0)</f>
        <v>154.62720000000004</v>
      </c>
      <c r="AK120" s="13">
        <f t="shared" si="89"/>
        <v>39.62826685000794</v>
      </c>
      <c r="AL120" s="20">
        <f t="shared" si="58"/>
        <v>338.32827143043056</v>
      </c>
      <c r="AM120" s="59">
        <f t="shared" si="59"/>
        <v>631.66160476376388</v>
      </c>
      <c r="AN120" s="59">
        <f ca="1">AVERAGE(OFFSET($AM$3,0,0,'Données projet'!$E$10+1,1))-AVERAGE(OFFSET($H$3,0,0,'Données projet'!$E$10+1,1))</f>
        <v>263.30962868541337</v>
      </c>
      <c r="AO120" s="59">
        <f t="shared" si="90"/>
        <v>269.61868559913404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2.1853636436103949</v>
      </c>
      <c r="AV120" s="21">
        <f>EXP(-LN(2)/25)*AV119+(1-EXP(-LN(2)/25))/(LN(2)/25)*Calculateur!AQ120*Calculateur!AS120*VLOOKUP('Données projet'!$B$10,Paramètres!$A$1:$I$89,3,0)*0.475*44/12</f>
        <v>6.5858234578106565</v>
      </c>
      <c r="AW120" s="21">
        <f>EXP(-LN(2)/2)*AW119+(1-EXP(-LN(2)/2))/(LN(2)/2)*AQ120*AT120*VLOOKUP('Données projet'!$B$10,Paramètres!$A$1:$I$89,3,0)*0.475*44/12</f>
        <v>1.8500283563289741E-4</v>
      </c>
      <c r="AX120" s="21">
        <f t="shared" si="60"/>
        <v>8.7713721042566846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7.1749999999999998</v>
      </c>
      <c r="BD120" s="12">
        <f>IF('Données projet'!$A$88&gt;35,BD119+BC120-BL119,IF(A120&lt;'Données projet'!$A$88,$BA$205^A120,IF(A120='Données projet'!$A$88,'Données projet'!$B$88,BD119+BC120-BL119)))</f>
        <v>362.53269230769183</v>
      </c>
      <c r="BE120" s="13">
        <f>BD120*VLOOKUP('Données projet'!$B$11,Paramètres!$A$1:$I$89,3,0)*VLOOKUP('Données projet'!$B$11,Paramètres!$A$1:$I$89,5,0)</f>
        <v>328.01957999999956</v>
      </c>
      <c r="BF120" s="13">
        <f t="shared" si="91"/>
        <v>77.019571848313717</v>
      </c>
      <c r="BG120" s="20">
        <f t="shared" si="61"/>
        <v>705.44318946914564</v>
      </c>
      <c r="BH120" s="59">
        <f t="shared" si="62"/>
        <v>998.77652280247889</v>
      </c>
      <c r="BI120" s="59">
        <f ca="1">AVERAGE(OFFSET($BH$3,0,0,'Données projet'!$E$11+1,1))-AVERAGE(OFFSET($H$3,0,0,'Données projet'!$E$11+1,1))</f>
        <v>496.45286557802063</v>
      </c>
      <c r="BJ120" s="59">
        <f t="shared" si="92"/>
        <v>196.37811957788398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53.969616029309741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53.969616029309741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323.17232038705157</v>
      </c>
      <c r="T121" s="59">
        <f t="shared" si="88"/>
        <v>402.34685738619197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236.00000000000009</v>
      </c>
      <c r="AJ121" s="13">
        <f>AI121*VLOOKUP('Données projet'!$B$10,Paramètres!$A$1:$I$89,3,0)*VLOOKUP('Données projet'!$B$10,Paramètres!$A$1:$I$89,5,0)</f>
        <v>154.62720000000004</v>
      </c>
      <c r="AK121" s="13">
        <f t="shared" si="89"/>
        <v>39.62826685000794</v>
      </c>
      <c r="AL121" s="20">
        <f t="shared" si="58"/>
        <v>338.32827143043056</v>
      </c>
      <c r="AM121" s="59">
        <f t="shared" si="59"/>
        <v>631.66160476376388</v>
      </c>
      <c r="AN121" s="59">
        <f ca="1">AVERAGE(OFFSET($AM$3,0,0,'Données projet'!$E$10+1,1))-AVERAGE(OFFSET($H$3,0,0,'Données projet'!$E$10+1,1))</f>
        <v>263.30962868541337</v>
      </c>
      <c r="AO121" s="59">
        <f t="shared" si="90"/>
        <v>269.61868559913404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2.1425099954994007</v>
      </c>
      <c r="AV121" s="21">
        <f>EXP(-LN(2)/25)*AV120+(1-EXP(-LN(2)/25))/(LN(2)/25)*Calculateur!AQ121*Calculateur!AS121*VLOOKUP('Données projet'!$B$10,Paramètres!$A$1:$I$89,3,0)*0.475*44/12</f>
        <v>6.4057337690234206</v>
      </c>
      <c r="AW121" s="21">
        <f>EXP(-LN(2)/2)*AW120+(1-EXP(-LN(2)/2))/(LN(2)/2)*AQ121*AT121*VLOOKUP('Données projet'!$B$10,Paramètres!$A$1:$I$89,3,0)*0.475*44/12</f>
        <v>1.30816759614762E-4</v>
      </c>
      <c r="AX121" s="21">
        <f t="shared" si="60"/>
        <v>8.5483745812824363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7.1749999999999998</v>
      </c>
      <c r="BD121" s="12">
        <f>IF('Données projet'!$A$88&gt;35,BD120+BC121-BL120,IF(A121&lt;'Données projet'!$A$88,$BA$205^A121,IF(A121='Données projet'!$A$88,'Données projet'!$B$88,BD120+BC121-BL120)))</f>
        <v>369.70769230769184</v>
      </c>
      <c r="BE121" s="13">
        <f>BD121*VLOOKUP('Données projet'!$B$11,Paramètres!$A$1:$I$89,3,0)*VLOOKUP('Données projet'!$B$11,Paramètres!$A$1:$I$89,5,0)</f>
        <v>334.51151999999956</v>
      </c>
      <c r="BF121" s="13">
        <f t="shared" si="91"/>
        <v>78.364919900433733</v>
      </c>
      <c r="BG121" s="20">
        <f t="shared" si="61"/>
        <v>719.09313282658786</v>
      </c>
      <c r="BH121" s="59">
        <f t="shared" si="62"/>
        <v>1012.4264661599211</v>
      </c>
      <c r="BI121" s="59">
        <f ca="1">AVERAGE(OFFSET($BH$3,0,0,'Données projet'!$E$11+1,1))-AVERAGE(OFFSET($H$3,0,0,'Données projet'!$E$11+1,1))</f>
        <v>496.45286557802063</v>
      </c>
      <c r="BJ121" s="59">
        <f t="shared" si="92"/>
        <v>196.37811957788398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52.911304777190352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52.911304777190352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323.17232038705157</v>
      </c>
      <c r="T122" s="59">
        <f t="shared" si="88"/>
        <v>402.34685738619197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236.00000000000009</v>
      </c>
      <c r="AJ122" s="13">
        <f>AI122*VLOOKUP('Données projet'!$B$10,Paramètres!$A$1:$I$89,3,0)*VLOOKUP('Données projet'!$B$10,Paramètres!$A$1:$I$89,5,0)</f>
        <v>154.62720000000004</v>
      </c>
      <c r="AK122" s="13">
        <f t="shared" si="89"/>
        <v>39.62826685000794</v>
      </c>
      <c r="AL122" s="20">
        <f t="shared" si="58"/>
        <v>338.32827143043056</v>
      </c>
      <c r="AM122" s="59">
        <f t="shared" si="59"/>
        <v>631.66160476376388</v>
      </c>
      <c r="AN122" s="59">
        <f ca="1">AVERAGE(OFFSET($AM$3,0,0,'Données projet'!$E$10+1,1))-AVERAGE(OFFSET($H$3,0,0,'Données projet'!$E$10+1,1))</f>
        <v>263.30962868541337</v>
      </c>
      <c r="AO122" s="59">
        <f t="shared" si="90"/>
        <v>269.61868559913404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2.1004966812897186</v>
      </c>
      <c r="AV122" s="21">
        <f>EXP(-LN(2)/25)*AV121+(1-EXP(-LN(2)/25))/(LN(2)/25)*Calculateur!AQ122*Calculateur!AS122*VLOOKUP('Données projet'!$B$10,Paramètres!$A$1:$I$89,3,0)*0.475*44/12</f>
        <v>6.2305686422465767</v>
      </c>
      <c r="AW122" s="21">
        <f>EXP(-LN(2)/2)*AW121+(1-EXP(-LN(2)/2))/(LN(2)/2)*AQ122*AT122*VLOOKUP('Données projet'!$B$10,Paramètres!$A$1:$I$89,3,0)*0.475*44/12</f>
        <v>9.2501417816448703E-5</v>
      </c>
      <c r="AX122" s="21">
        <f t="shared" si="60"/>
        <v>8.3311578249541114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7.1749999999999998</v>
      </c>
      <c r="BD122" s="12">
        <f>IF('Données projet'!$A$88&gt;35,BD121+BC122-BL121,IF(A122&lt;'Données projet'!$A$88,$BA$205^A122,IF(A122='Données projet'!$A$88,'Données projet'!$B$88,BD121+BC122-BL121)))</f>
        <v>376.88269230769185</v>
      </c>
      <c r="BE122" s="13">
        <f>BD122*VLOOKUP('Données projet'!$B$11,Paramètres!$A$1:$I$89,3,0)*VLOOKUP('Données projet'!$B$11,Paramètres!$A$1:$I$89,5,0)</f>
        <v>341.00345999999956</v>
      </c>
      <c r="BF122" s="13">
        <f t="shared" si="91"/>
        <v>79.707232038800896</v>
      </c>
      <c r="BG122" s="20">
        <f t="shared" si="61"/>
        <v>732.73778863424411</v>
      </c>
      <c r="BH122" s="59">
        <f t="shared" si="62"/>
        <v>1026.0711219675775</v>
      </c>
      <c r="BI122" s="59">
        <f ca="1">AVERAGE(OFFSET($BH$3,0,0,'Données projet'!$E$11+1,1))-AVERAGE(OFFSET($H$3,0,0,'Données projet'!$E$11+1,1))</f>
        <v>496.45286557802063</v>
      </c>
      <c r="BJ122" s="59">
        <f t="shared" si="92"/>
        <v>196.37811957788398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51.873746363218899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51.873746363218899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323.17232038705157</v>
      </c>
      <c r="T123" s="59">
        <f t="shared" si="88"/>
        <v>402.34685738619197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236.00000000000009</v>
      </c>
      <c r="AJ123" s="13">
        <f>AI123*VLOOKUP('Données projet'!$B$10,Paramètres!$A$1:$I$89,3,0)*VLOOKUP('Données projet'!$B$10,Paramètres!$A$1:$I$89,5,0)</f>
        <v>154.62720000000004</v>
      </c>
      <c r="AK123" s="13">
        <f t="shared" si="89"/>
        <v>39.62826685000794</v>
      </c>
      <c r="AL123" s="20">
        <f t="shared" si="58"/>
        <v>338.32827143043056</v>
      </c>
      <c r="AM123" s="59">
        <f t="shared" si="59"/>
        <v>631.66160476376388</v>
      </c>
      <c r="AN123" s="59">
        <f ca="1">AVERAGE(OFFSET($AM$3,0,0,'Données projet'!$E$10+1,1))-AVERAGE(OFFSET($H$3,0,0,'Données projet'!$E$10+1,1))</f>
        <v>263.30962868541337</v>
      </c>
      <c r="AO123" s="59">
        <f t="shared" si="90"/>
        <v>269.61868559913404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2.0593072225460971</v>
      </c>
      <c r="AV123" s="21">
        <f>EXP(-LN(2)/25)*AV122+(1-EXP(-LN(2)/25))/(LN(2)/25)*Calculateur!AQ123*Calculateur!AS123*VLOOKUP('Données projet'!$B$10,Paramètres!$A$1:$I$89,3,0)*0.475*44/12</f>
        <v>6.0601934150729795</v>
      </c>
      <c r="AW123" s="21">
        <f>EXP(-LN(2)/2)*AW122+(1-EXP(-LN(2)/2))/(LN(2)/2)*AQ123*AT123*VLOOKUP('Données projet'!$B$10,Paramètres!$A$1:$I$89,3,0)*0.475*44/12</f>
        <v>6.5408379807381002E-5</v>
      </c>
      <c r="AX123" s="21">
        <f t="shared" si="60"/>
        <v>8.1195660459988837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384.05769230769226</v>
      </c>
      <c r="BB123" s="12">
        <f>VLOOKUP(A123,'Données projet'!$A$87:$I$107,9,0)</f>
        <v>7.1749999999999998</v>
      </c>
      <c r="BC123" s="12">
        <f t="array" ref="BC123">INDEX(BB:BB,MIN(IF(ISNUMBER(BB123:BB319),ROW(BB123:BB319),"")))</f>
        <v>7.1749999999999998</v>
      </c>
      <c r="BD123" s="12">
        <f>IF('Données projet'!$A$88&gt;35,BD122+BC123-BL122,IF(A123&lt;'Données projet'!$A$88,$BA$205^A123,IF(A123='Données projet'!$A$88,'Données projet'!$B$88,BD122+BC123-BL122)))</f>
        <v>384.05769230769187</v>
      </c>
      <c r="BE123" s="13">
        <f>BD123*VLOOKUP('Données projet'!$B$11,Paramètres!$A$1:$I$89,3,0)*VLOOKUP('Données projet'!$B$11,Paramètres!$A$1:$I$89,5,0)</f>
        <v>347.49539999999956</v>
      </c>
      <c r="BF123" s="13">
        <f t="shared" si="91"/>
        <v>81.046572724377867</v>
      </c>
      <c r="BG123" s="20">
        <f t="shared" si="61"/>
        <v>746.3772691616241</v>
      </c>
      <c r="BH123" s="59">
        <f t="shared" si="62"/>
        <v>1039.7106024949574</v>
      </c>
      <c r="BI123" s="59">
        <f ca="1">AVERAGE(OFFSET($BH$3,0,0,'Données projet'!$E$11+1,1))-AVERAGE(OFFSET($H$3,0,0,'Données projet'!$E$11+1,1))</f>
        <v>496.45286557802063</v>
      </c>
      <c r="BJ123" s="59">
        <f t="shared" si="92"/>
        <v>196.37811957788398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44.929487179487182</v>
      </c>
      <c r="BM123" s="16">
        <f>IF(ISNA(VLOOKUP(A123,'Données projet'!$A$87:$I$107,5,0)),0%,VLOOKUP(A123,'Données projet'!$A$87:$I$107,5,0)*VLOOKUP('Données projet'!$B$11,Paramètres!$A$1:$I$89,7,0))</f>
        <v>0.30099999999999999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64.383414528714951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64.383414528714951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323.17232038705157</v>
      </c>
      <c r="T124" s="59">
        <f t="shared" si="88"/>
        <v>402.34685738619197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236.00000000000009</v>
      </c>
      <c r="AJ124" s="13">
        <f>AI124*VLOOKUP('Données projet'!$B$10,Paramètres!$A$1:$I$89,3,0)*VLOOKUP('Données projet'!$B$10,Paramètres!$A$1:$I$89,5,0)</f>
        <v>154.62720000000004</v>
      </c>
      <c r="AK124" s="13">
        <f t="shared" si="89"/>
        <v>39.62826685000794</v>
      </c>
      <c r="AL124" s="20">
        <f t="shared" si="58"/>
        <v>338.32827143043056</v>
      </c>
      <c r="AM124" s="59">
        <f t="shared" si="59"/>
        <v>631.66160476376388</v>
      </c>
      <c r="AN124" s="59">
        <f ca="1">AVERAGE(OFFSET($AM$3,0,0,'Données projet'!$E$10+1,1))-AVERAGE(OFFSET($H$3,0,0,'Données projet'!$E$10+1,1))</f>
        <v>263.30962868541337</v>
      </c>
      <c r="AO124" s="59">
        <f t="shared" si="90"/>
        <v>269.61868559913404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2.0189254639653491</v>
      </c>
      <c r="AV124" s="21">
        <f>EXP(-LN(2)/25)*AV123+(1-EXP(-LN(2)/25))/(LN(2)/25)*Calculateur!AQ124*Calculateur!AS124*VLOOKUP('Données projet'!$B$10,Paramètres!$A$1:$I$89,3,0)*0.475*44/12</f>
        <v>5.8944771074460878</v>
      </c>
      <c r="AW124" s="21">
        <f>EXP(-LN(2)/2)*AW123+(1-EXP(-LN(2)/2))/(LN(2)/2)*AQ124*AT124*VLOOKUP('Données projet'!$B$10,Paramètres!$A$1:$I$89,3,0)*0.475*44/12</f>
        <v>4.6250708908224352E-5</v>
      </c>
      <c r="AX124" s="21">
        <f t="shared" si="60"/>
        <v>7.9134488221203449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7.1730769230769225</v>
      </c>
      <c r="BD124" s="12">
        <f>IF('Données projet'!$A$88&gt;35,BD123+BC124-BL123,IF(A124&lt;'Données projet'!$A$88,$BA$205^A124,IF(A124='Données projet'!$A$88,'Données projet'!$B$88,BD123+BC124-BL123)))</f>
        <v>346.30128205128159</v>
      </c>
      <c r="BE124" s="13">
        <f>BD124*VLOOKUP('Données projet'!$B$11,Paramètres!$A$1:$I$89,3,0)*VLOOKUP('Données projet'!$B$11,Paramètres!$A$1:$I$89,5,0)</f>
        <v>313.33339999999959</v>
      </c>
      <c r="BF124" s="13">
        <f t="shared" si="91"/>
        <v>73.964542836466293</v>
      </c>
      <c r="BG124" s="20">
        <f t="shared" si="61"/>
        <v>674.54391710684479</v>
      </c>
      <c r="BH124" s="59">
        <f t="shared" si="62"/>
        <v>967.87725044017816</v>
      </c>
      <c r="BI124" s="59">
        <f ca="1">AVERAGE(OFFSET($BH$3,0,0,'Données projet'!$E$11+1,1))-AVERAGE(OFFSET($H$3,0,0,'Données projet'!$E$11+1,1))</f>
        <v>496.45286557802063</v>
      </c>
      <c r="BJ124" s="59">
        <f t="shared" si="92"/>
        <v>196.37811957788398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63.120895039812119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63.120895039812119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323.17232038705157</v>
      </c>
      <c r="T125" s="59">
        <f t="shared" si="88"/>
        <v>402.34685738619197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236.00000000000009</v>
      </c>
      <c r="AJ125" s="13">
        <f>AI125*VLOOKUP('Données projet'!$B$10,Paramètres!$A$1:$I$89,3,0)*VLOOKUP('Données projet'!$B$10,Paramètres!$A$1:$I$89,5,0)</f>
        <v>154.62720000000004</v>
      </c>
      <c r="AK125" s="13">
        <f t="shared" si="89"/>
        <v>39.62826685000794</v>
      </c>
      <c r="AL125" s="20">
        <f t="shared" si="58"/>
        <v>338.32827143043056</v>
      </c>
      <c r="AM125" s="59">
        <f t="shared" si="59"/>
        <v>631.66160476376388</v>
      </c>
      <c r="AN125" s="59">
        <f ca="1">AVERAGE(OFFSET($AM$3,0,0,'Données projet'!$E$10+1,1))-AVERAGE(OFFSET($H$3,0,0,'Données projet'!$E$10+1,1))</f>
        <v>263.30962868541337</v>
      </c>
      <c r="AO125" s="59">
        <f t="shared" si="90"/>
        <v>269.61868559913404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1.9793355670399286</v>
      </c>
      <c r="AV125" s="21">
        <f>EXP(-LN(2)/25)*AV124+(1-EXP(-LN(2)/25))/(LN(2)/25)*Calculateur!AQ125*Calculateur!AS125*VLOOKUP('Données projet'!$B$10,Paramètres!$A$1:$I$89,3,0)*0.475*44/12</f>
        <v>5.7332923209658953</v>
      </c>
      <c r="AW125" s="21">
        <f>EXP(-LN(2)/2)*AW124+(1-EXP(-LN(2)/2))/(LN(2)/2)*AQ125*AT125*VLOOKUP('Données projet'!$B$10,Paramètres!$A$1:$I$89,3,0)*0.475*44/12</f>
        <v>3.2704189903690501E-5</v>
      </c>
      <c r="AX125" s="21">
        <f t="shared" si="60"/>
        <v>7.7126605921957276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7.1730769230769225</v>
      </c>
      <c r="BD125" s="12">
        <f>IF('Données projet'!$A$88&gt;35,BD124+BC125-BL124,IF(A125&lt;'Données projet'!$A$88,$BA$205^A125,IF(A125='Données projet'!$A$88,'Données projet'!$B$88,BD124+BC125-BL124)))</f>
        <v>353.47435897435849</v>
      </c>
      <c r="BE125" s="13">
        <f>BD125*VLOOKUP('Données projet'!$B$11,Paramètres!$A$1:$I$89,3,0)*VLOOKUP('Données projet'!$B$11,Paramètres!$A$1:$I$89,5,0)</f>
        <v>319.82359999999954</v>
      </c>
      <c r="BF125" s="13">
        <f t="shared" si="91"/>
        <v>75.316649034447607</v>
      </c>
      <c r="BG125" s="20">
        <f t="shared" si="61"/>
        <v>688.20260040166204</v>
      </c>
      <c r="BH125" s="59">
        <f t="shared" si="62"/>
        <v>981.5359337349953</v>
      </c>
      <c r="BI125" s="59">
        <f ca="1">AVERAGE(OFFSET($BH$3,0,0,'Données projet'!$E$11+1,1))-AVERAGE(OFFSET($H$3,0,0,'Données projet'!$E$11+1,1))</f>
        <v>496.45286557802063</v>
      </c>
      <c r="BJ125" s="59">
        <f t="shared" si="92"/>
        <v>196.37811957788398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61.883132788025826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61.883132788025826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323.17232038705157</v>
      </c>
      <c r="T126" s="59">
        <f t="shared" si="88"/>
        <v>402.34685738619197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236.00000000000009</v>
      </c>
      <c r="AJ126" s="13">
        <f>AI126*VLOOKUP('Données projet'!$B$10,Paramètres!$A$1:$I$89,3,0)*VLOOKUP('Données projet'!$B$10,Paramètres!$A$1:$I$89,5,0)</f>
        <v>154.62720000000004</v>
      </c>
      <c r="AK126" s="13">
        <f t="shared" si="89"/>
        <v>39.62826685000794</v>
      </c>
      <c r="AL126" s="20">
        <f t="shared" si="58"/>
        <v>338.32827143043056</v>
      </c>
      <c r="AM126" s="59">
        <f t="shared" si="59"/>
        <v>631.66160476376388</v>
      </c>
      <c r="AN126" s="59">
        <f ca="1">AVERAGE(OFFSET($AM$3,0,0,'Données projet'!$E$10+1,1))-AVERAGE(OFFSET($H$3,0,0,'Données projet'!$E$10+1,1))</f>
        <v>263.30962868541337</v>
      </c>
      <c r="AO126" s="59">
        <f t="shared" si="90"/>
        <v>269.61868559913404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1.9405220038457629</v>
      </c>
      <c r="AV126" s="21">
        <f>EXP(-LN(2)/25)*AV125+(1-EXP(-LN(2)/25))/(LN(2)/25)*Calculateur!AQ126*Calculateur!AS126*VLOOKUP('Données projet'!$B$10,Paramètres!$A$1:$I$89,3,0)*0.475*44/12</f>
        <v>5.5765151409483433</v>
      </c>
      <c r="AW126" s="21">
        <f>EXP(-LN(2)/2)*AW125+(1-EXP(-LN(2)/2))/(LN(2)/2)*AQ126*AT126*VLOOKUP('Données projet'!$B$10,Paramètres!$A$1:$I$89,3,0)*0.475*44/12</f>
        <v>2.3125354454112176E-5</v>
      </c>
      <c r="AX126" s="21">
        <f t="shared" si="60"/>
        <v>7.5170602701485603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7.1730769230769225</v>
      </c>
      <c r="BD126" s="12">
        <f>IF('Données projet'!$A$88&gt;35,BD125+BC126-BL125,IF(A126&lt;'Données projet'!$A$88,$BA$205^A126,IF(A126='Données projet'!$A$88,'Données projet'!$B$88,BD125+BC126-BL125)))</f>
        <v>360.6474358974354</v>
      </c>
      <c r="BE126" s="13">
        <f>BD126*VLOOKUP('Données projet'!$B$11,Paramètres!$A$1:$I$89,3,0)*VLOOKUP('Données projet'!$B$11,Paramètres!$A$1:$I$89,5,0)</f>
        <v>326.31379999999956</v>
      </c>
      <c r="BF126" s="13">
        <f t="shared" si="91"/>
        <v>76.665564943323318</v>
      </c>
      <c r="BG126" s="20">
        <f t="shared" si="61"/>
        <v>701.85572727628733</v>
      </c>
      <c r="BH126" s="59">
        <f t="shared" si="62"/>
        <v>995.18906060962058</v>
      </c>
      <c r="BI126" s="59">
        <f ca="1">AVERAGE(OFFSET($BH$3,0,0,'Données projet'!$E$11+1,1))-AVERAGE(OFFSET($H$3,0,0,'Données projet'!$E$11+1,1))</f>
        <v>496.45286557802063</v>
      </c>
      <c r="BJ126" s="59">
        <f t="shared" si="92"/>
        <v>196.37811957788398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60.669642299036632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60.669642299036632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323.17232038705157</v>
      </c>
      <c r="T127" s="59">
        <f t="shared" si="88"/>
        <v>402.34685738619197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236.00000000000009</v>
      </c>
      <c r="AJ127" s="13">
        <f>AI127*VLOOKUP('Données projet'!$B$10,Paramètres!$A$1:$I$89,3,0)*VLOOKUP('Données projet'!$B$10,Paramètres!$A$1:$I$89,5,0)</f>
        <v>154.62720000000004</v>
      </c>
      <c r="AK127" s="13">
        <f t="shared" si="89"/>
        <v>39.62826685000794</v>
      </c>
      <c r="AL127" s="20">
        <f t="shared" si="58"/>
        <v>338.32827143043056</v>
      </c>
      <c r="AM127" s="59">
        <f t="shared" si="59"/>
        <v>631.66160476376388</v>
      </c>
      <c r="AN127" s="59">
        <f ca="1">AVERAGE(OFFSET($AM$3,0,0,'Données projet'!$E$10+1,1))-AVERAGE(OFFSET($H$3,0,0,'Données projet'!$E$10+1,1))</f>
        <v>263.30962868541337</v>
      </c>
      <c r="AO127" s="59">
        <f t="shared" si="90"/>
        <v>269.61868559913404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1.902469550951899</v>
      </c>
      <c r="AV127" s="21">
        <f>EXP(-LN(2)/25)*AV126+(1-EXP(-LN(2)/25))/(LN(2)/25)*Calculateur!AQ127*Calculateur!AS127*VLOOKUP('Données projet'!$B$10,Paramètres!$A$1:$I$89,3,0)*0.475*44/12</f>
        <v>5.4240250411629249</v>
      </c>
      <c r="AW127" s="21">
        <f>EXP(-LN(2)/2)*AW126+(1-EXP(-LN(2)/2))/(LN(2)/2)*AQ127*AT127*VLOOKUP('Données projet'!$B$10,Paramètres!$A$1:$I$89,3,0)*0.475*44/12</f>
        <v>1.635209495184525E-5</v>
      </c>
      <c r="AX127" s="21">
        <f t="shared" si="60"/>
        <v>7.326510944209776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7.1730769230769225</v>
      </c>
      <c r="BD127" s="12">
        <f>IF('Données projet'!$A$88&gt;35,BD126+BC127-BL126,IF(A127&lt;'Données projet'!$A$88,$BA$205^A127,IF(A127='Données projet'!$A$88,'Données projet'!$B$88,BD126+BC127-BL126)))</f>
        <v>367.82051282051231</v>
      </c>
      <c r="BE127" s="13">
        <f>BD127*VLOOKUP('Données projet'!$B$11,Paramètres!$A$1:$I$89,3,0)*VLOOKUP('Données projet'!$B$11,Paramètres!$A$1:$I$89,5,0)</f>
        <v>332.80399999999952</v>
      </c>
      <c r="BF127" s="13">
        <f t="shared" si="91"/>
        <v>78.011361329585995</v>
      </c>
      <c r="BG127" s="20">
        <f t="shared" si="61"/>
        <v>715.50342098236149</v>
      </c>
      <c r="BH127" s="59">
        <f t="shared" si="62"/>
        <v>1008.8367543156949</v>
      </c>
      <c r="BI127" s="59">
        <f ca="1">AVERAGE(OFFSET($BH$3,0,0,'Données projet'!$E$11+1,1))-AVERAGE(OFFSET($H$3,0,0,'Données projet'!$E$11+1,1))</f>
        <v>496.45286557802063</v>
      </c>
      <c r="BJ127" s="59">
        <f t="shared" si="92"/>
        <v>196.37811957788398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59.4799476183804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59.4799476183804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323.17232038705157</v>
      </c>
      <c r="T128" s="59">
        <f t="shared" si="88"/>
        <v>402.34685738619197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236.00000000000009</v>
      </c>
      <c r="AJ128" s="13">
        <f>AI128*VLOOKUP('Données projet'!$B$10,Paramètres!$A$1:$I$89,3,0)*VLOOKUP('Données projet'!$B$10,Paramètres!$A$1:$I$89,5,0)</f>
        <v>154.62720000000004</v>
      </c>
      <c r="AK128" s="13">
        <f t="shared" si="89"/>
        <v>39.62826685000794</v>
      </c>
      <c r="AL128" s="20">
        <f t="shared" si="58"/>
        <v>338.32827143043056</v>
      </c>
      <c r="AM128" s="59">
        <f t="shared" si="59"/>
        <v>631.66160476376388</v>
      </c>
      <c r="AN128" s="59">
        <f ca="1">AVERAGE(OFFSET($AM$3,0,0,'Données projet'!$E$10+1,1))-AVERAGE(OFFSET($H$3,0,0,'Données projet'!$E$10+1,1))</f>
        <v>263.30962868541337</v>
      </c>
      <c r="AO128" s="59">
        <f t="shared" si="90"/>
        <v>269.61868559913404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1.865163283449579</v>
      </c>
      <c r="AV128" s="21">
        <f>EXP(-LN(2)/25)*AV127+(1-EXP(-LN(2)/25))/(LN(2)/25)*Calculateur!AQ128*Calculateur!AS128*VLOOKUP('Données projet'!$B$10,Paramètres!$A$1:$I$89,3,0)*0.475*44/12</f>
        <v>5.2757047911752446</v>
      </c>
      <c r="AW128" s="21">
        <f>EXP(-LN(2)/2)*AW127+(1-EXP(-LN(2)/2))/(LN(2)/2)*AQ128*AT128*VLOOKUP('Données projet'!$B$10,Paramètres!$A$1:$I$89,3,0)*0.475*44/12</f>
        <v>1.1562677227056088E-5</v>
      </c>
      <c r="AX128" s="21">
        <f t="shared" si="60"/>
        <v>7.1408796373020511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7.1730769230769225</v>
      </c>
      <c r="BD128" s="12">
        <f>IF('Données projet'!$A$88&gt;35,BD127+BC128-BL127,IF(A128&lt;'Données projet'!$A$88,$BA$205^A128,IF(A128='Données projet'!$A$88,'Données projet'!$B$88,BD127+BC128-BL127)))</f>
        <v>374.99358974358921</v>
      </c>
      <c r="BE128" s="13">
        <f>BD128*VLOOKUP('Données projet'!$B$11,Paramètres!$A$1:$I$89,3,0)*VLOOKUP('Données projet'!$B$11,Paramètres!$A$1:$I$89,5,0)</f>
        <v>339.29419999999948</v>
      </c>
      <c r="BF128" s="13">
        <f t="shared" si="91"/>
        <v>79.354106041732479</v>
      </c>
      <c r="BG128" s="20">
        <f t="shared" si="61"/>
        <v>729.14579968934993</v>
      </c>
      <c r="BH128" s="59">
        <f t="shared" si="62"/>
        <v>1022.4791330226833</v>
      </c>
      <c r="BI128" s="59">
        <f ca="1">AVERAGE(OFFSET($BH$3,0,0,'Données projet'!$E$11+1,1))-AVERAGE(OFFSET($H$3,0,0,'Données projet'!$E$11+1,1))</f>
        <v>496.45286557802063</v>
      </c>
      <c r="BJ128" s="59">
        <f t="shared" si="92"/>
        <v>196.37811957788398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58.313582124769738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58.313582124769738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323.17232038705157</v>
      </c>
      <c r="T129" s="59">
        <f t="shared" si="88"/>
        <v>402.34685738619197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236.00000000000009</v>
      </c>
      <c r="AJ129" s="13">
        <f>AI129*VLOOKUP('Données projet'!$B$10,Paramètres!$A$1:$I$89,3,0)*VLOOKUP('Données projet'!$B$10,Paramètres!$A$1:$I$89,5,0)</f>
        <v>154.62720000000004</v>
      </c>
      <c r="AK129" s="13">
        <f t="shared" si="89"/>
        <v>39.62826685000794</v>
      </c>
      <c r="AL129" s="20">
        <f t="shared" si="58"/>
        <v>338.32827143043056</v>
      </c>
      <c r="AM129" s="59">
        <f t="shared" si="59"/>
        <v>631.66160476376388</v>
      </c>
      <c r="AN129" s="59">
        <f ca="1">AVERAGE(OFFSET($AM$3,0,0,'Données projet'!$E$10+1,1))-AVERAGE(OFFSET($H$3,0,0,'Données projet'!$E$10+1,1))</f>
        <v>263.30962868541337</v>
      </c>
      <c r="AO129" s="59">
        <f t="shared" si="90"/>
        <v>269.61868559913404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1.8285885690984034</v>
      </c>
      <c r="AV129" s="21">
        <f>EXP(-LN(2)/25)*AV128+(1-EXP(-LN(2)/25))/(LN(2)/25)*Calculateur!AQ129*Calculateur!AS129*VLOOKUP('Données projet'!$B$10,Paramètres!$A$1:$I$89,3,0)*0.475*44/12</f>
        <v>5.1314403662233001</v>
      </c>
      <c r="AW129" s="21">
        <f>EXP(-LN(2)/2)*AW128+(1-EXP(-LN(2)/2))/(LN(2)/2)*AQ129*AT129*VLOOKUP('Données projet'!$B$10,Paramètres!$A$1:$I$89,3,0)*0.475*44/12</f>
        <v>8.1760474759226252E-6</v>
      </c>
      <c r="AX129" s="21">
        <f t="shared" si="60"/>
        <v>6.9600371113691795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7.1730769230769225</v>
      </c>
      <c r="BD129" s="12">
        <f>IF('Données projet'!$A$88&gt;35,BD128+BC129-BL128,IF(A129&lt;'Données projet'!$A$88,$BA$205^A129,IF(A129='Données projet'!$A$88,'Données projet'!$B$88,BD128+BC129-BL128)))</f>
        <v>382.16666666666612</v>
      </c>
      <c r="BE129" s="13">
        <f>BD129*VLOOKUP('Données projet'!$B$11,Paramètres!$A$1:$I$89,3,0)*VLOOKUP('Données projet'!$B$11,Paramètres!$A$1:$I$89,5,0)</f>
        <v>345.78439999999949</v>
      </c>
      <c r="BF129" s="13">
        <f t="shared" si="91"/>
        <v>80.69386418406053</v>
      </c>
      <c r="BG129" s="20">
        <f t="shared" si="61"/>
        <v>742.782976787238</v>
      </c>
      <c r="BH129" s="59">
        <f t="shared" si="62"/>
        <v>1036.1163101205714</v>
      </c>
      <c r="BI129" s="59">
        <f ca="1">AVERAGE(OFFSET($BH$3,0,0,'Données projet'!$E$11+1,1))-AVERAGE(OFFSET($H$3,0,0,'Données projet'!$E$11+1,1))</f>
        <v>496.45286557802063</v>
      </c>
      <c r="BJ129" s="59">
        <f t="shared" si="92"/>
        <v>196.37811957788398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57.170088347076074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57.170088347076074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323.17232038705157</v>
      </c>
      <c r="T130" s="59">
        <f t="shared" si="88"/>
        <v>402.34685738619197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236.00000000000009</v>
      </c>
      <c r="AJ130" s="13">
        <f>AI130*VLOOKUP('Données projet'!$B$10,Paramètres!$A$1:$I$89,3,0)*VLOOKUP('Données projet'!$B$10,Paramètres!$A$1:$I$89,5,0)</f>
        <v>154.62720000000004</v>
      </c>
      <c r="AK130" s="13">
        <f t="shared" si="89"/>
        <v>39.62826685000794</v>
      </c>
      <c r="AL130" s="20">
        <f t="shared" si="58"/>
        <v>338.32827143043056</v>
      </c>
      <c r="AM130" s="59">
        <f t="shared" si="59"/>
        <v>631.66160476376388</v>
      </c>
      <c r="AN130" s="59">
        <f ca="1">AVERAGE(OFFSET($AM$3,0,0,'Données projet'!$E$10+1,1))-AVERAGE(OFFSET($H$3,0,0,'Données projet'!$E$10+1,1))</f>
        <v>263.30962868541337</v>
      </c>
      <c r="AO130" s="59">
        <f t="shared" si="90"/>
        <v>269.61868559913404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1.7927310625872812</v>
      </c>
      <c r="AV130" s="21">
        <f>EXP(-LN(2)/25)*AV129+(1-EXP(-LN(2)/25))/(LN(2)/25)*Calculateur!AQ130*Calculateur!AS130*VLOOKUP('Données projet'!$B$10,Paramètres!$A$1:$I$89,3,0)*0.475*44/12</f>
        <v>4.9911208595582028</v>
      </c>
      <c r="AW130" s="21">
        <f>EXP(-LN(2)/2)*AW129+(1-EXP(-LN(2)/2))/(LN(2)/2)*AQ130*AT130*VLOOKUP('Données projet'!$B$10,Paramètres!$A$1:$I$89,3,0)*0.475*44/12</f>
        <v>5.781338613528044E-6</v>
      </c>
      <c r="AX130" s="21">
        <f t="shared" si="60"/>
        <v>6.783857703484097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7.1730769230769225</v>
      </c>
      <c r="BD130" s="12">
        <f>IF('Données projet'!$A$88&gt;35,BD129+BC130-BL129,IF(A130&lt;'Données projet'!$A$88,$BA$205^A130,IF(A130='Données projet'!$A$88,'Données projet'!$B$88,BD129+BC130-BL129)))</f>
        <v>389.33974358974302</v>
      </c>
      <c r="BE130" s="13">
        <f>BD130*VLOOKUP('Données projet'!$B$11,Paramètres!$A$1:$I$89,3,0)*VLOOKUP('Données projet'!$B$11,Paramètres!$A$1:$I$89,5,0)</f>
        <v>352.27459999999945</v>
      </c>
      <c r="BF130" s="13">
        <f t="shared" si="91"/>
        <v>82.030698277048387</v>
      </c>
      <c r="BG130" s="20">
        <f t="shared" si="61"/>
        <v>756.41506116585822</v>
      </c>
      <c r="BH130" s="59">
        <f t="shared" si="62"/>
        <v>1049.7483944991916</v>
      </c>
      <c r="BI130" s="59">
        <f ca="1">AVERAGE(OFFSET($BH$3,0,0,'Données projet'!$E$11+1,1))-AVERAGE(OFFSET($H$3,0,0,'Données projet'!$E$11+1,1))</f>
        <v>496.45286557802063</v>
      </c>
      <c r="BJ130" s="59">
        <f t="shared" si="92"/>
        <v>196.37811957788398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56.049017784900649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56.049017784900649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323.17232038705157</v>
      </c>
      <c r="T131" s="59">
        <f t="shared" si="88"/>
        <v>402.34685738619197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236.00000000000009</v>
      </c>
      <c r="AJ131" s="13">
        <f>AI131*VLOOKUP('Données projet'!$B$10,Paramètres!$A$1:$I$89,3,0)*VLOOKUP('Données projet'!$B$10,Paramètres!$A$1:$I$89,5,0)</f>
        <v>154.62720000000004</v>
      </c>
      <c r="AK131" s="13">
        <f t="shared" si="89"/>
        <v>39.62826685000794</v>
      </c>
      <c r="AL131" s="20">
        <f t="shared" si="58"/>
        <v>338.32827143043056</v>
      </c>
      <c r="AM131" s="59">
        <f t="shared" si="59"/>
        <v>631.66160476376388</v>
      </c>
      <c r="AN131" s="59">
        <f ca="1">AVERAGE(OFFSET($AM$3,0,0,'Données projet'!$E$10+1,1))-AVERAGE(OFFSET($H$3,0,0,'Données projet'!$E$10+1,1))</f>
        <v>263.30962868541337</v>
      </c>
      <c r="AO131" s="59">
        <f t="shared" si="90"/>
        <v>269.61868559913404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1.7575766999079228</v>
      </c>
      <c r="AV131" s="21">
        <f>EXP(-LN(2)/25)*AV130+(1-EXP(-LN(2)/25))/(LN(2)/25)*Calculateur!AQ131*Calculateur!AS131*VLOOKUP('Données projet'!$B$10,Paramètres!$A$1:$I$89,3,0)*0.475*44/12</f>
        <v>4.8546383971819456</v>
      </c>
      <c r="AW131" s="21">
        <f>EXP(-LN(2)/2)*AW130+(1-EXP(-LN(2)/2))/(LN(2)/2)*AQ131*AT131*VLOOKUP('Données projet'!$B$10,Paramètres!$A$1:$I$89,3,0)*0.475*44/12</f>
        <v>4.0880237379613126E-6</v>
      </c>
      <c r="AX131" s="21">
        <f t="shared" si="60"/>
        <v>6.6122191851136067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7.1730769230769225</v>
      </c>
      <c r="BD131" s="12">
        <f>IF('Données projet'!$A$88&gt;35,BD130+BC131-BL130,IF(A131&lt;'Données projet'!$A$88,$BA$205^A131,IF(A131='Données projet'!$A$88,'Données projet'!$B$88,BD130+BC131-BL130)))</f>
        <v>396.51282051281993</v>
      </c>
      <c r="BE131" s="13">
        <f>BD131*VLOOKUP('Données projet'!$B$11,Paramètres!$A$1:$I$89,3,0)*VLOOKUP('Données projet'!$B$11,Paramètres!$A$1:$I$89,5,0)</f>
        <v>358.76479999999947</v>
      </c>
      <c r="BF131" s="13">
        <f t="shared" si="91"/>
        <v>83.364668405580957</v>
      </c>
      <c r="BG131" s="20">
        <f t="shared" si="61"/>
        <v>770.04215747305261</v>
      </c>
      <c r="BH131" s="59">
        <f t="shared" si="62"/>
        <v>1063.3754908063859</v>
      </c>
      <c r="BI131" s="59">
        <f ca="1">AVERAGE(OFFSET($BH$3,0,0,'Données projet'!$E$11+1,1))-AVERAGE(OFFSET($H$3,0,0,'Données projet'!$E$11+1,1))</f>
        <v>496.45286557802063</v>
      </c>
      <c r="BJ131" s="59">
        <f t="shared" si="92"/>
        <v>196.37811957788398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54.949930732663958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54.949930732663958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323.17232038705157</v>
      </c>
      <c r="T132" s="59">
        <f t="shared" si="88"/>
        <v>402.34685738619197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236.00000000000009</v>
      </c>
      <c r="AJ132" s="13">
        <f>AI132*VLOOKUP('Données projet'!$B$10,Paramètres!$A$1:$I$89,3,0)*VLOOKUP('Données projet'!$B$10,Paramètres!$A$1:$I$89,5,0)</f>
        <v>154.62720000000004</v>
      </c>
      <c r="AK132" s="13">
        <f t="shared" si="89"/>
        <v>39.62826685000794</v>
      </c>
      <c r="AL132" s="20">
        <f t="shared" ref="AL132:AL153" si="112">(AJ132+AK132)*0.475*44/12</f>
        <v>338.32827143043056</v>
      </c>
      <c r="AM132" s="59">
        <f t="shared" ref="AM132:AM195" si="113">AL132+(AD132+AE132)*44/12</f>
        <v>631.66160476376388</v>
      </c>
      <c r="AN132" s="59">
        <f ca="1">AVERAGE(OFFSET($AM$3,0,0,'Données projet'!$E$10+1,1))-AVERAGE(OFFSET($H$3,0,0,'Données projet'!$E$10+1,1))</f>
        <v>263.30962868541337</v>
      </c>
      <c r="AO132" s="59">
        <f t="shared" si="90"/>
        <v>269.61868559913404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1.7231116928386625</v>
      </c>
      <c r="AV132" s="21">
        <f>EXP(-LN(2)/25)*AV131+(1-EXP(-LN(2)/25))/(LN(2)/25)*Calculateur!AQ132*Calculateur!AS132*VLOOKUP('Données projet'!$B$10,Paramètres!$A$1:$I$89,3,0)*0.475*44/12</f>
        <v>4.7218880549166675</v>
      </c>
      <c r="AW132" s="21">
        <f>EXP(-LN(2)/2)*AW131+(1-EXP(-LN(2)/2))/(LN(2)/2)*AQ132*AT132*VLOOKUP('Données projet'!$B$10,Paramètres!$A$1:$I$89,3,0)*0.475*44/12</f>
        <v>2.890669306764022E-6</v>
      </c>
      <c r="AX132" s="21">
        <f t="shared" ref="AX132:AX153" si="114">SUM(AU132:AW132)</f>
        <v>6.4450026384246364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7.1730769230769225</v>
      </c>
      <c r="BD132" s="12">
        <f>IF('Données projet'!$A$88&gt;35,BD131+BC132-BL131,IF(A132&lt;'Données projet'!$A$88,$BA$205^A132,IF(A132='Données projet'!$A$88,'Données projet'!$B$88,BD131+BC132-BL131)))</f>
        <v>403.68589743589683</v>
      </c>
      <c r="BE132" s="13">
        <f>BD132*VLOOKUP('Données projet'!$B$11,Paramètres!$A$1:$I$89,3,0)*VLOOKUP('Données projet'!$B$11,Paramètres!$A$1:$I$89,5,0)</f>
        <v>365.25499999999943</v>
      </c>
      <c r="BF132" s="13">
        <f t="shared" si="91"/>
        <v>84.695832356146539</v>
      </c>
      <c r="BG132" s="20">
        <f t="shared" ref="BG132:BG153" si="115">(BE132+BF132)*0.475*44/12</f>
        <v>783.66436635362095</v>
      </c>
      <c r="BH132" s="59">
        <f t="shared" ref="BH132:BH195" si="116">BG132+(AY132+AZ132)*44/12</f>
        <v>1076.9976996869543</v>
      </c>
      <c r="BI132" s="59">
        <f ca="1">AVERAGE(OFFSET($BH$3,0,0,'Données projet'!$E$11+1,1))-AVERAGE(OFFSET($H$3,0,0,'Données projet'!$E$11+1,1))</f>
        <v>496.45286557802063</v>
      </c>
      <c r="BJ132" s="59">
        <f t="shared" si="92"/>
        <v>196.37811957788398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53.872396107144723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53.872396107144723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323.17232038705157</v>
      </c>
      <c r="T133" s="59">
        <f t="shared" ref="T133:T196" si="142">$T$3</f>
        <v>402.34685738619197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236.00000000000009</v>
      </c>
      <c r="AJ133" s="13">
        <f>AI133*VLOOKUP('Données projet'!$B$10,Paramètres!$A$1:$I$89,3,0)*VLOOKUP('Données projet'!$B$10,Paramètres!$A$1:$I$89,5,0)</f>
        <v>154.62720000000004</v>
      </c>
      <c r="AK133" s="13">
        <f t="shared" ref="AK133:AK153" si="143">EXP(-1.0587+0.8836*LN(AJ133)+0.284)</f>
        <v>39.62826685000794</v>
      </c>
      <c r="AL133" s="20">
        <f t="shared" si="112"/>
        <v>338.32827143043056</v>
      </c>
      <c r="AM133" s="59">
        <f t="shared" si="113"/>
        <v>631.66160476376388</v>
      </c>
      <c r="AN133" s="59">
        <f ca="1">AVERAGE(OFFSET($AM$3,0,0,'Données projet'!$E$10+1,1))-AVERAGE(OFFSET($H$3,0,0,'Données projet'!$E$10+1,1))</f>
        <v>263.30962868541337</v>
      </c>
      <c r="AO133" s="59">
        <f t="shared" ref="AO133:AO196" si="144">$AO$3</f>
        <v>269.61868559913404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1.689322523536452</v>
      </c>
      <c r="AV133" s="21">
        <f>EXP(-LN(2)/25)*AV132+(1-EXP(-LN(2)/25))/(LN(2)/25)*Calculateur!AQ133*Calculateur!AS133*VLOOKUP('Données projet'!$B$10,Paramètres!$A$1:$I$89,3,0)*0.475*44/12</f>
        <v>4.5927677777416704</v>
      </c>
      <c r="AW133" s="21">
        <f>EXP(-LN(2)/2)*AW132+(1-EXP(-LN(2)/2))/(LN(2)/2)*AQ133*AT133*VLOOKUP('Données projet'!$B$10,Paramètres!$A$1:$I$89,3,0)*0.475*44/12</f>
        <v>2.0440118689806563E-6</v>
      </c>
      <c r="AX133" s="21">
        <f t="shared" si="114"/>
        <v>6.2820923452899917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410.85897435897431</v>
      </c>
      <c r="BB133" s="12">
        <f>VLOOKUP(A133,'Données projet'!$A$87:$I$107,9,0)</f>
        <v>7.1730769230769225</v>
      </c>
      <c r="BC133" s="12">
        <f t="array" ref="BC133">INDEX(BB:BB,MIN(IF(ISNUMBER(BB133:BB329),ROW(BB133:BB329),"")))</f>
        <v>7.1730769230769225</v>
      </c>
      <c r="BD133" s="12">
        <f>IF('Données projet'!$A$88&gt;35,BD132+BC133-BL132,IF(A133&lt;'Données projet'!$A$88,$BA$205^A133,IF(A133='Données projet'!$A$88,'Données projet'!$B$88,BD132+BC133-BL132)))</f>
        <v>410.85897435897374</v>
      </c>
      <c r="BE133" s="13">
        <f>BD133*VLOOKUP('Données projet'!$B$11,Paramètres!$A$1:$I$89,3,0)*VLOOKUP('Données projet'!$B$11,Paramètres!$A$1:$I$89,5,0)</f>
        <v>371.74519999999944</v>
      </c>
      <c r="BF133" s="13">
        <f t="shared" ref="BF133:BF153" si="145">EXP(-1.0587+0.8836*LN(BE133)+0.284)</f>
        <v>86.024245744005697</v>
      </c>
      <c r="BG133" s="20">
        <f t="shared" si="115"/>
        <v>797.28178467080886</v>
      </c>
      <c r="BH133" s="59">
        <f t="shared" si="116"/>
        <v>1090.6151180041422</v>
      </c>
      <c r="BI133" s="59">
        <f ca="1">AVERAGE(OFFSET($BH$3,0,0,'Données projet'!$E$11+1,1))-AVERAGE(OFFSET($H$3,0,0,'Données projet'!$E$11+1,1))</f>
        <v>496.45286557802063</v>
      </c>
      <c r="BJ133" s="59">
        <f t="shared" ref="BJ133:BJ196" si="146">$BJ$3</f>
        <v>196.37811957788398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51.378205128205131</v>
      </c>
      <c r="BM133" s="16">
        <f>IF(ISNA(VLOOKUP(A133,'Données projet'!$A$87:$I$107,5,0)),0%,VLOOKUP(A133,'Données projet'!$A$87:$I$107,5,0)*VLOOKUP('Données projet'!$B$11,Paramètres!$A$1:$I$89,7,0))</f>
        <v>0.38700000000000001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72.703921871806472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72.703921871806472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323.17232038705157</v>
      </c>
      <c r="T134" s="59">
        <f t="shared" si="142"/>
        <v>402.34685738619197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236.00000000000009</v>
      </c>
      <c r="AJ134" s="13">
        <f>AI134*VLOOKUP('Données projet'!$B$10,Paramètres!$A$1:$I$89,3,0)*VLOOKUP('Données projet'!$B$10,Paramètres!$A$1:$I$89,5,0)</f>
        <v>154.62720000000004</v>
      </c>
      <c r="AK134" s="13">
        <f t="shared" si="143"/>
        <v>39.62826685000794</v>
      </c>
      <c r="AL134" s="20">
        <f t="shared" si="112"/>
        <v>338.32827143043056</v>
      </c>
      <c r="AM134" s="59">
        <f t="shared" si="113"/>
        <v>631.66160476376388</v>
      </c>
      <c r="AN134" s="59">
        <f ca="1">AVERAGE(OFFSET($AM$3,0,0,'Données projet'!$E$10+1,1))-AVERAGE(OFFSET($H$3,0,0,'Données projet'!$E$10+1,1))</f>
        <v>263.30962868541337</v>
      </c>
      <c r="AO134" s="59">
        <f t="shared" si="144"/>
        <v>269.61868559913404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1.6561959392348995</v>
      </c>
      <c r="AV134" s="21">
        <f>EXP(-LN(2)/25)*AV133+(1-EXP(-LN(2)/25))/(LN(2)/25)*Calculateur!AQ134*Calculateur!AS134*VLOOKUP('Données projet'!$B$10,Paramètres!$A$1:$I$89,3,0)*0.475*44/12</f>
        <v>4.4671783013361637</v>
      </c>
      <c r="AW134" s="21">
        <f>EXP(-LN(2)/2)*AW133+(1-EXP(-LN(2)/2))/(LN(2)/2)*AQ134*AT134*VLOOKUP('Données projet'!$B$10,Paramètres!$A$1:$I$89,3,0)*0.475*44/12</f>
        <v>1.445334653382011E-6</v>
      </c>
      <c r="AX134" s="21">
        <f t="shared" si="114"/>
        <v>6.1233756859057173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7.2230769230769285</v>
      </c>
      <c r="BD134" s="12">
        <f>IF('Données projet'!$A$88&gt;35,BD133+BC134-BL133,IF(A134&lt;'Données projet'!$A$88,$BA$205^A134,IF(A134='Données projet'!$A$88,'Données projet'!$B$88,BD133+BC134-BL133)))</f>
        <v>366.70384615384552</v>
      </c>
      <c r="BE134" s="13">
        <f>BD134*VLOOKUP('Données projet'!$B$11,Paramètres!$A$1:$I$89,3,0)*VLOOKUP('Données projet'!$B$11,Paramètres!$A$1:$I$89,5,0)</f>
        <v>331.79363999999941</v>
      </c>
      <c r="BF134" s="13">
        <f t="shared" si="145"/>
        <v>77.802057109037236</v>
      </c>
      <c r="BG134" s="20">
        <f t="shared" si="115"/>
        <v>713.37917246490554</v>
      </c>
      <c r="BH134" s="59">
        <f t="shared" si="116"/>
        <v>1006.7125057982389</v>
      </c>
      <c r="BI134" s="59">
        <f ca="1">AVERAGE(OFFSET($BH$3,0,0,'Données projet'!$E$11+1,1))-AVERAGE(OFFSET($H$3,0,0,'Données projet'!$E$11+1,1))</f>
        <v>496.45286557802063</v>
      </c>
      <c r="BJ134" s="59">
        <f t="shared" si="146"/>
        <v>196.37811957788398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71.278242308913988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71.278242308913988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323.17232038705157</v>
      </c>
      <c r="T135" s="59">
        <f t="shared" si="142"/>
        <v>402.34685738619197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236.00000000000009</v>
      </c>
      <c r="AJ135" s="13">
        <f>AI135*VLOOKUP('Données projet'!$B$10,Paramètres!$A$1:$I$89,3,0)*VLOOKUP('Données projet'!$B$10,Paramètres!$A$1:$I$89,5,0)</f>
        <v>154.62720000000004</v>
      </c>
      <c r="AK135" s="13">
        <f t="shared" si="143"/>
        <v>39.62826685000794</v>
      </c>
      <c r="AL135" s="20">
        <f t="shared" si="112"/>
        <v>338.32827143043056</v>
      </c>
      <c r="AM135" s="59">
        <f t="shared" si="113"/>
        <v>631.66160476376388</v>
      </c>
      <c r="AN135" s="59">
        <f ca="1">AVERAGE(OFFSET($AM$3,0,0,'Données projet'!$E$10+1,1))-AVERAGE(OFFSET($H$3,0,0,'Données projet'!$E$10+1,1))</f>
        <v>263.30962868541337</v>
      </c>
      <c r="AO135" s="59">
        <f t="shared" si="144"/>
        <v>269.61868559913404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1.6237189470462792</v>
      </c>
      <c r="AV135" s="21">
        <f>EXP(-LN(2)/25)*AV134+(1-EXP(-LN(2)/25))/(LN(2)/25)*Calculateur!AQ135*Calculateur!AS135*VLOOKUP('Données projet'!$B$10,Paramètres!$A$1:$I$89,3,0)*0.475*44/12</f>
        <v>4.3450230757674291</v>
      </c>
      <c r="AW135" s="21">
        <f>EXP(-LN(2)/2)*AW134+(1-EXP(-LN(2)/2))/(LN(2)/2)*AQ135*AT135*VLOOKUP('Données projet'!$B$10,Paramètres!$A$1:$I$89,3,0)*0.475*44/12</f>
        <v>1.0220059344903282E-6</v>
      </c>
      <c r="AX135" s="21">
        <f t="shared" si="114"/>
        <v>5.9687430448196421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7.2230769230769285</v>
      </c>
      <c r="BD135" s="12">
        <f>IF('Données projet'!$A$88&gt;35,BD134+BC135-BL134,IF(A135&lt;'Données projet'!$A$88,$BA$205^A135,IF(A135='Données projet'!$A$88,'Données projet'!$B$88,BD134+BC135-BL134)))</f>
        <v>373.92692307692244</v>
      </c>
      <c r="BE135" s="13">
        <f>BD135*VLOOKUP('Données projet'!$B$11,Paramètres!$A$1:$I$89,3,0)*VLOOKUP('Données projet'!$B$11,Paramètres!$A$1:$I$89,5,0)</f>
        <v>338.32907999999941</v>
      </c>
      <c r="BF135" s="13">
        <f t="shared" si="145"/>
        <v>79.154624848228366</v>
      </c>
      <c r="BG135" s="20">
        <f t="shared" si="115"/>
        <v>727.11745261066335</v>
      </c>
      <c r="BH135" s="59">
        <f t="shared" si="116"/>
        <v>1020.4507859439966</v>
      </c>
      <c r="BI135" s="59">
        <f ca="1">AVERAGE(OFFSET($BH$3,0,0,'Données projet'!$E$11+1,1))-AVERAGE(OFFSET($H$3,0,0,'Données projet'!$E$11+1,1))</f>
        <v>496.45286557802063</v>
      </c>
      <c r="BJ135" s="59">
        <f t="shared" si="146"/>
        <v>196.37811957788398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69.880519452671152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69.880519452671152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323.17232038705157</v>
      </c>
      <c r="T136" s="59">
        <f t="shared" si="142"/>
        <v>402.34685738619197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236.00000000000009</v>
      </c>
      <c r="AJ136" s="13">
        <f>AI136*VLOOKUP('Données projet'!$B$10,Paramètres!$A$1:$I$89,3,0)*VLOOKUP('Données projet'!$B$10,Paramètres!$A$1:$I$89,5,0)</f>
        <v>154.62720000000004</v>
      </c>
      <c r="AK136" s="13">
        <f t="shared" si="143"/>
        <v>39.62826685000794</v>
      </c>
      <c r="AL136" s="20">
        <f t="shared" si="112"/>
        <v>338.32827143043056</v>
      </c>
      <c r="AM136" s="59">
        <f t="shared" si="113"/>
        <v>631.66160476376388</v>
      </c>
      <c r="AN136" s="59">
        <f ca="1">AVERAGE(OFFSET($AM$3,0,0,'Données projet'!$E$10+1,1))-AVERAGE(OFFSET($H$3,0,0,'Données projet'!$E$10+1,1))</f>
        <v>263.30962868541337</v>
      </c>
      <c r="AO136" s="59">
        <f t="shared" si="144"/>
        <v>269.61868559913404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1.5918788088654683</v>
      </c>
      <c r="AV136" s="21">
        <f>EXP(-LN(2)/25)*AV135+(1-EXP(-LN(2)/25))/(LN(2)/25)*Calculateur!AQ136*Calculateur!AS136*VLOOKUP('Données projet'!$B$10,Paramètres!$A$1:$I$89,3,0)*0.475*44/12</f>
        <v>4.2262081912657354</v>
      </c>
      <c r="AW136" s="21">
        <f>EXP(-LN(2)/2)*AW135+(1-EXP(-LN(2)/2))/(LN(2)/2)*AQ136*AT136*VLOOKUP('Données projet'!$B$10,Paramètres!$A$1:$I$89,3,0)*0.475*44/12</f>
        <v>7.2266732669100549E-7</v>
      </c>
      <c r="AX136" s="21">
        <f t="shared" si="114"/>
        <v>5.8180877227985306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7.2230769230769285</v>
      </c>
      <c r="BD136" s="12">
        <f>IF('Données projet'!$A$88&gt;35,BD135+BC136-BL135,IF(A136&lt;'Données projet'!$A$88,$BA$205^A136,IF(A136='Données projet'!$A$88,'Données projet'!$B$88,BD135+BC136-BL135)))</f>
        <v>381.14999999999935</v>
      </c>
      <c r="BE136" s="13">
        <f>BD136*VLOOKUP('Données projet'!$B$11,Paramètres!$A$1:$I$89,3,0)*VLOOKUP('Données projet'!$B$11,Paramètres!$A$1:$I$89,5,0)</f>
        <v>344.8645199999994</v>
      </c>
      <c r="BF136" s="13">
        <f t="shared" si="145"/>
        <v>80.504154586493286</v>
      </c>
      <c r="BG136" s="20">
        <f t="shared" si="115"/>
        <v>740.85044157147479</v>
      </c>
      <c r="BH136" s="59">
        <f t="shared" si="116"/>
        <v>1034.1837749048082</v>
      </c>
      <c r="BI136" s="59">
        <f ca="1">AVERAGE(OFFSET($BH$3,0,0,'Données projet'!$E$11+1,1))-AVERAGE(OFFSET($H$3,0,0,'Données projet'!$E$11+1,1))</f>
        <v>496.45286557802063</v>
      </c>
      <c r="BJ136" s="59">
        <f t="shared" si="146"/>
        <v>196.37811957788398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68.510205089112475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68.510205089112475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323.17232038705157</v>
      </c>
      <c r="T137" s="59">
        <f t="shared" si="142"/>
        <v>402.34685738619197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236.00000000000009</v>
      </c>
      <c r="AJ137" s="13">
        <f>AI137*VLOOKUP('Données projet'!$B$10,Paramètres!$A$1:$I$89,3,0)*VLOOKUP('Données projet'!$B$10,Paramètres!$A$1:$I$89,5,0)</f>
        <v>154.62720000000004</v>
      </c>
      <c r="AK137" s="13">
        <f t="shared" si="143"/>
        <v>39.62826685000794</v>
      </c>
      <c r="AL137" s="20">
        <f t="shared" si="112"/>
        <v>338.32827143043056</v>
      </c>
      <c r="AM137" s="59">
        <f t="shared" si="113"/>
        <v>631.66160476376388</v>
      </c>
      <c r="AN137" s="59">
        <f ca="1">AVERAGE(OFFSET($AM$3,0,0,'Données projet'!$E$10+1,1))-AVERAGE(OFFSET($H$3,0,0,'Données projet'!$E$10+1,1))</f>
        <v>263.30962868541337</v>
      </c>
      <c r="AO137" s="59">
        <f t="shared" si="144"/>
        <v>269.61868559913404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1.5606630363738165</v>
      </c>
      <c r="AV137" s="21">
        <f>EXP(-LN(2)/25)*AV136+(1-EXP(-LN(2)/25))/(LN(2)/25)*Calculateur!AQ137*Calculateur!AS137*VLOOKUP('Données projet'!$B$10,Paramètres!$A$1:$I$89,3,0)*0.475*44/12</f>
        <v>4.1106423060289439</v>
      </c>
      <c r="AW137" s="21">
        <f>EXP(-LN(2)/2)*AW136+(1-EXP(-LN(2)/2))/(LN(2)/2)*AQ137*AT137*VLOOKUP('Données projet'!$B$10,Paramètres!$A$1:$I$89,3,0)*0.475*44/12</f>
        <v>5.1100296724516408E-7</v>
      </c>
      <c r="AX137" s="21">
        <f t="shared" si="114"/>
        <v>5.6713058534057277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7.2230769230769285</v>
      </c>
      <c r="BD137" s="12">
        <f>IF('Données projet'!$A$88&gt;35,BD136+BC137-BL136,IF(A137&lt;'Données projet'!$A$88,$BA$205^A137,IF(A137='Données projet'!$A$88,'Données projet'!$B$88,BD136+BC137-BL136)))</f>
        <v>388.37307692307627</v>
      </c>
      <c r="BE137" s="13">
        <f>BD137*VLOOKUP('Données projet'!$B$11,Paramètres!$A$1:$I$89,3,0)*VLOOKUP('Données projet'!$B$11,Paramètres!$A$1:$I$89,5,0)</f>
        <v>351.3999599999994</v>
      </c>
      <c r="BF137" s="13">
        <f t="shared" si="145"/>
        <v>81.85071053455772</v>
      </c>
      <c r="BG137" s="20">
        <f t="shared" si="115"/>
        <v>754.57825118102028</v>
      </c>
      <c r="BH137" s="59">
        <f t="shared" si="116"/>
        <v>1047.9115845143535</v>
      </c>
      <c r="BI137" s="59">
        <f ca="1">AVERAGE(OFFSET($BH$3,0,0,'Données projet'!$E$11+1,1))-AVERAGE(OFFSET($H$3,0,0,'Données projet'!$E$11+1,1))</f>
        <v>496.45286557802063</v>
      </c>
      <c r="BJ137" s="59">
        <f t="shared" si="146"/>
        <v>196.37811957788398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67.166761754413955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67.166761754413955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323.17232038705157</v>
      </c>
      <c r="T138" s="59">
        <f t="shared" si="142"/>
        <v>402.34685738619197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236.00000000000009</v>
      </c>
      <c r="AJ138" s="13">
        <f>AI138*VLOOKUP('Données projet'!$B$10,Paramètres!$A$1:$I$89,3,0)*VLOOKUP('Données projet'!$B$10,Paramètres!$A$1:$I$89,5,0)</f>
        <v>154.62720000000004</v>
      </c>
      <c r="AK138" s="13">
        <f t="shared" si="143"/>
        <v>39.62826685000794</v>
      </c>
      <c r="AL138" s="20">
        <f t="shared" si="112"/>
        <v>338.32827143043056</v>
      </c>
      <c r="AM138" s="59">
        <f t="shared" si="113"/>
        <v>631.66160476376388</v>
      </c>
      <c r="AN138" s="59">
        <f ca="1">AVERAGE(OFFSET($AM$3,0,0,'Données projet'!$E$10+1,1))-AVERAGE(OFFSET($H$3,0,0,'Données projet'!$E$10+1,1))</f>
        <v>263.30962868541337</v>
      </c>
      <c r="AO138" s="59">
        <f t="shared" si="144"/>
        <v>269.61868559913404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1.5300593861409848</v>
      </c>
      <c r="AV138" s="21">
        <f>EXP(-LN(2)/25)*AV137+(1-EXP(-LN(2)/25))/(LN(2)/25)*Calculateur!AQ138*Calculateur!AS138*VLOOKUP('Données projet'!$B$10,Paramètres!$A$1:$I$89,3,0)*0.475*44/12</f>
        <v>3.9982365760012986</v>
      </c>
      <c r="AW138" s="21">
        <f>EXP(-LN(2)/2)*AW137+(1-EXP(-LN(2)/2))/(LN(2)/2)*AQ138*AT138*VLOOKUP('Données projet'!$B$10,Paramètres!$A$1:$I$89,3,0)*0.475*44/12</f>
        <v>3.6133366334550275E-7</v>
      </c>
      <c r="AX138" s="21">
        <f t="shared" si="114"/>
        <v>5.5282963234759466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7.2230769230769285</v>
      </c>
      <c r="BD138" s="12">
        <f>IF('Données projet'!$A$88&gt;35,BD137+BC138-BL137,IF(A138&lt;'Données projet'!$A$88,$BA$205^A138,IF(A138='Données projet'!$A$88,'Données projet'!$B$88,BD137+BC138-BL137)))</f>
        <v>395.59615384615319</v>
      </c>
      <c r="BE138" s="13">
        <f>BD138*VLOOKUP('Données projet'!$B$11,Paramètres!$A$1:$I$89,3,0)*VLOOKUP('Données projet'!$B$11,Paramètres!$A$1:$I$89,5,0)</f>
        <v>357.93539999999939</v>
      </c>
      <c r="BF138" s="13">
        <f t="shared" si="145"/>
        <v>83.194354378018602</v>
      </c>
      <c r="BG138" s="20">
        <f t="shared" si="115"/>
        <v>768.30098887504789</v>
      </c>
      <c r="BH138" s="59">
        <f t="shared" si="116"/>
        <v>1061.6343222083813</v>
      </c>
      <c r="BI138" s="59">
        <f ca="1">AVERAGE(OFFSET($BH$3,0,0,'Données projet'!$E$11+1,1))-AVERAGE(OFFSET($H$3,0,0,'Données projet'!$E$11+1,1))</f>
        <v>496.45286557802063</v>
      </c>
      <c r="BJ138" s="59">
        <f t="shared" si="146"/>
        <v>196.37811957788398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65.849662524089339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65.849662524089339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323.17232038705157</v>
      </c>
      <c r="T139" s="59">
        <f t="shared" si="142"/>
        <v>402.34685738619197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236.00000000000009</v>
      </c>
      <c r="AJ139" s="13">
        <f>AI139*VLOOKUP('Données projet'!$B$10,Paramètres!$A$1:$I$89,3,0)*VLOOKUP('Données projet'!$B$10,Paramètres!$A$1:$I$89,5,0)</f>
        <v>154.62720000000004</v>
      </c>
      <c r="AK139" s="13">
        <f t="shared" si="143"/>
        <v>39.62826685000794</v>
      </c>
      <c r="AL139" s="20">
        <f t="shared" si="112"/>
        <v>338.32827143043056</v>
      </c>
      <c r="AM139" s="59">
        <f t="shared" si="113"/>
        <v>631.66160476376388</v>
      </c>
      <c r="AN139" s="59">
        <f ca="1">AVERAGE(OFFSET($AM$3,0,0,'Données projet'!$E$10+1,1))-AVERAGE(OFFSET($H$3,0,0,'Données projet'!$E$10+1,1))</f>
        <v>263.30962868541337</v>
      </c>
      <c r="AO139" s="59">
        <f t="shared" si="144"/>
        <v>269.61868559913404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1.5000558548228355</v>
      </c>
      <c r="AV139" s="21">
        <f>EXP(-LN(2)/25)*AV138+(1-EXP(-LN(2)/25))/(LN(2)/25)*Calculateur!AQ139*Calculateur!AS139*VLOOKUP('Données projet'!$B$10,Paramètres!$A$1:$I$89,3,0)*0.475*44/12</f>
        <v>3.8889045865724197</v>
      </c>
      <c r="AW139" s="21">
        <f>EXP(-LN(2)/2)*AW138+(1-EXP(-LN(2)/2))/(LN(2)/2)*AQ139*AT139*VLOOKUP('Données projet'!$B$10,Paramètres!$A$1:$I$89,3,0)*0.475*44/12</f>
        <v>2.5550148362258204E-7</v>
      </c>
      <c r="AX139" s="21">
        <f t="shared" si="114"/>
        <v>5.3889606968967394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7.2230769230769285</v>
      </c>
      <c r="BD139" s="12">
        <f>IF('Données projet'!$A$88&gt;35,BD138+BC139-BL138,IF(A139&lt;'Données projet'!$A$88,$BA$205^A139,IF(A139='Données projet'!$A$88,'Données projet'!$B$88,BD138+BC139-BL138)))</f>
        <v>402.8192307692301</v>
      </c>
      <c r="BE139" s="13">
        <f>BD139*VLOOKUP('Données projet'!$B$11,Paramètres!$A$1:$I$89,3,0)*VLOOKUP('Données projet'!$B$11,Paramètres!$A$1:$I$89,5,0)</f>
        <v>364.47083999999938</v>
      </c>
      <c r="BF139" s="13">
        <f t="shared" si="145"/>
        <v>84.535145420907739</v>
      </c>
      <c r="BG139" s="20">
        <f t="shared" si="115"/>
        <v>782.01875794141324</v>
      </c>
      <c r="BH139" s="59">
        <f t="shared" si="116"/>
        <v>1075.3520912747465</v>
      </c>
      <c r="BI139" s="59">
        <f ca="1">AVERAGE(OFFSET($BH$3,0,0,'Données projet'!$E$11+1,1))-AVERAGE(OFFSET($H$3,0,0,'Données projet'!$E$11+1,1))</f>
        <v>496.45286557802063</v>
      </c>
      <c r="BJ139" s="59">
        <f t="shared" si="146"/>
        <v>196.37811957788398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64.55839080632019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64.55839080632019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323.17232038705157</v>
      </c>
      <c r="T140" s="59">
        <f t="shared" si="142"/>
        <v>402.34685738619197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236.00000000000009</v>
      </c>
      <c r="AJ140" s="13">
        <f>AI140*VLOOKUP('Données projet'!$B$10,Paramètres!$A$1:$I$89,3,0)*VLOOKUP('Données projet'!$B$10,Paramètres!$A$1:$I$89,5,0)</f>
        <v>154.62720000000004</v>
      </c>
      <c r="AK140" s="13">
        <f t="shared" si="143"/>
        <v>39.62826685000794</v>
      </c>
      <c r="AL140" s="20">
        <f t="shared" si="112"/>
        <v>338.32827143043056</v>
      </c>
      <c r="AM140" s="59">
        <f t="shared" si="113"/>
        <v>631.66160476376388</v>
      </c>
      <c r="AN140" s="59">
        <f ca="1">AVERAGE(OFFSET($AM$3,0,0,'Données projet'!$E$10+1,1))-AVERAGE(OFFSET($H$3,0,0,'Données projet'!$E$10+1,1))</f>
        <v>263.30962868541337</v>
      </c>
      <c r="AO140" s="59">
        <f t="shared" si="144"/>
        <v>269.61868559913404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1.4706406744534879</v>
      </c>
      <c r="AV140" s="21">
        <f>EXP(-LN(2)/25)*AV139+(1-EXP(-LN(2)/25))/(LN(2)/25)*Calculateur!AQ140*Calculateur!AS140*VLOOKUP('Données projet'!$B$10,Paramètres!$A$1:$I$89,3,0)*0.475*44/12</f>
        <v>3.7825622861439929</v>
      </c>
      <c r="AW140" s="21">
        <f>EXP(-LN(2)/2)*AW139+(1-EXP(-LN(2)/2))/(LN(2)/2)*AQ140*AT140*VLOOKUP('Données projet'!$B$10,Paramètres!$A$1:$I$89,3,0)*0.475*44/12</f>
        <v>1.8066683167275137E-7</v>
      </c>
      <c r="AX140" s="21">
        <f t="shared" si="114"/>
        <v>5.2532031412643123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7.2230769230769285</v>
      </c>
      <c r="BD140" s="12">
        <f>IF('Données projet'!$A$88&gt;35,BD139+BC140-BL139,IF(A140&lt;'Données projet'!$A$88,$BA$205^A140,IF(A140='Données projet'!$A$88,'Données projet'!$B$88,BD139+BC140-BL139)))</f>
        <v>410.04230769230702</v>
      </c>
      <c r="BE140" s="13">
        <f>BD140*VLOOKUP('Données projet'!$B$11,Paramètres!$A$1:$I$89,3,0)*VLOOKUP('Données projet'!$B$11,Paramètres!$A$1:$I$89,5,0)</f>
        <v>371.00627999999938</v>
      </c>
      <c r="BF140" s="13">
        <f t="shared" si="145"/>
        <v>85.873140718665468</v>
      </c>
      <c r="BG140" s="20">
        <f t="shared" si="115"/>
        <v>795.73165775167456</v>
      </c>
      <c r="BH140" s="59">
        <f t="shared" si="116"/>
        <v>1089.0649910850079</v>
      </c>
      <c r="BI140" s="59">
        <f ca="1">AVERAGE(OFFSET($BH$3,0,0,'Données projet'!$E$11+1,1))-AVERAGE(OFFSET($H$3,0,0,'Données projet'!$E$11+1,1))</f>
        <v>496.45286557802063</v>
      </c>
      <c r="BJ140" s="59">
        <f t="shared" si="146"/>
        <v>196.37811957788398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63.292440139338517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63.292440139338517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323.17232038705157</v>
      </c>
      <c r="T141" s="59">
        <f t="shared" si="142"/>
        <v>402.34685738619197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236.00000000000009</v>
      </c>
      <c r="AJ141" s="13">
        <f>AI141*VLOOKUP('Données projet'!$B$10,Paramètres!$A$1:$I$89,3,0)*VLOOKUP('Données projet'!$B$10,Paramètres!$A$1:$I$89,5,0)</f>
        <v>154.62720000000004</v>
      </c>
      <c r="AK141" s="13">
        <f t="shared" si="143"/>
        <v>39.62826685000794</v>
      </c>
      <c r="AL141" s="20">
        <f t="shared" si="112"/>
        <v>338.32827143043056</v>
      </c>
      <c r="AM141" s="59">
        <f t="shared" si="113"/>
        <v>631.66160476376388</v>
      </c>
      <c r="AN141" s="59">
        <f ca="1">AVERAGE(OFFSET($AM$3,0,0,'Données projet'!$E$10+1,1))-AVERAGE(OFFSET($H$3,0,0,'Données projet'!$E$10+1,1))</f>
        <v>263.30962868541337</v>
      </c>
      <c r="AO141" s="59">
        <f t="shared" si="144"/>
        <v>269.61868559913404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1.4418023078296949</v>
      </c>
      <c r="AV141" s="21">
        <f>EXP(-LN(2)/25)*AV140+(1-EXP(-LN(2)/25))/(LN(2)/25)*Calculateur!AQ141*Calculateur!AS141*VLOOKUP('Données projet'!$B$10,Paramètres!$A$1:$I$89,3,0)*0.475*44/12</f>
        <v>3.6791279215130799</v>
      </c>
      <c r="AW141" s="21">
        <f>EXP(-LN(2)/2)*AW140+(1-EXP(-LN(2)/2))/(LN(2)/2)*AQ141*AT141*VLOOKUP('Données projet'!$B$10,Paramètres!$A$1:$I$89,3,0)*0.475*44/12</f>
        <v>1.2775074181129102E-7</v>
      </c>
      <c r="AX141" s="21">
        <f t="shared" si="114"/>
        <v>5.1209303570935161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7.2230769230769285</v>
      </c>
      <c r="BD141" s="12">
        <f>IF('Données projet'!$A$88&gt;35,BD140+BC141-BL140,IF(A141&lt;'Données projet'!$A$88,$BA$205^A141,IF(A141='Données projet'!$A$88,'Données projet'!$B$88,BD140+BC141-BL140)))</f>
        <v>417.26538461538394</v>
      </c>
      <c r="BE141" s="13">
        <f>BD141*VLOOKUP('Données projet'!$B$11,Paramètres!$A$1:$I$89,3,0)*VLOOKUP('Données projet'!$B$11,Paramètres!$A$1:$I$89,5,0)</f>
        <v>377.54171999999937</v>
      </c>
      <c r="BF141" s="13">
        <f t="shared" si="145"/>
        <v>87.208395201480016</v>
      </c>
      <c r="BG141" s="20">
        <f t="shared" si="115"/>
        <v>809.4397839759099</v>
      </c>
      <c r="BH141" s="59">
        <f t="shared" si="116"/>
        <v>1102.7731173092432</v>
      </c>
      <c r="BI141" s="59">
        <f ca="1">AVERAGE(OFFSET($BH$3,0,0,'Données projet'!$E$11+1,1))-AVERAGE(OFFSET($H$3,0,0,'Données projet'!$E$11+1,1))</f>
        <v>496.45286557802063</v>
      </c>
      <c r="BJ141" s="59">
        <f t="shared" si="146"/>
        <v>196.37811957788398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62.051313992782688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62.051313992782688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323.17232038705157</v>
      </c>
      <c r="T142" s="59">
        <f t="shared" si="142"/>
        <v>402.34685738619197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236.00000000000009</v>
      </c>
      <c r="AJ142" s="13">
        <f>AI142*VLOOKUP('Données projet'!$B$10,Paramètres!$A$1:$I$89,3,0)*VLOOKUP('Données projet'!$B$10,Paramètres!$A$1:$I$89,5,0)</f>
        <v>154.62720000000004</v>
      </c>
      <c r="AK142" s="13">
        <f t="shared" si="143"/>
        <v>39.62826685000794</v>
      </c>
      <c r="AL142" s="20">
        <f t="shared" si="112"/>
        <v>338.32827143043056</v>
      </c>
      <c r="AM142" s="59">
        <f t="shared" si="113"/>
        <v>631.66160476376388</v>
      </c>
      <c r="AN142" s="59">
        <f ca="1">AVERAGE(OFFSET($AM$3,0,0,'Données projet'!$E$10+1,1))-AVERAGE(OFFSET($H$3,0,0,'Données projet'!$E$10+1,1))</f>
        <v>263.30962868541337</v>
      </c>
      <c r="AO142" s="59">
        <f t="shared" si="144"/>
        <v>269.61868559913404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1.4135294439857276</v>
      </c>
      <c r="AV142" s="21">
        <f>EXP(-LN(2)/25)*AV141+(1-EXP(-LN(2)/25))/(LN(2)/25)*Calculateur!AQ142*Calculateur!AS142*VLOOKUP('Données projet'!$B$10,Paramètres!$A$1:$I$89,3,0)*0.475*44/12</f>
        <v>3.578521975022376</v>
      </c>
      <c r="AW142" s="21">
        <f>EXP(-LN(2)/2)*AW141+(1-EXP(-LN(2)/2))/(LN(2)/2)*AQ142*AT142*VLOOKUP('Données projet'!$B$10,Paramètres!$A$1:$I$89,3,0)*0.475*44/12</f>
        <v>9.0333415836375687E-8</v>
      </c>
      <c r="AX142" s="21">
        <f t="shared" si="114"/>
        <v>4.9920515093415192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7.2230769230769285</v>
      </c>
      <c r="BD142" s="12">
        <f>IF('Données projet'!$A$88&gt;35,BD141+BC142-BL141,IF(A142&lt;'Données projet'!$A$88,$BA$205^A142,IF(A142='Données projet'!$A$88,'Données projet'!$B$88,BD141+BC142-BL141)))</f>
        <v>424.48846153846085</v>
      </c>
      <c r="BE142" s="13">
        <f>BD142*VLOOKUP('Données projet'!$B$11,Paramètres!$A$1:$I$89,3,0)*VLOOKUP('Données projet'!$B$11,Paramètres!$A$1:$I$89,5,0)</f>
        <v>384.07715999999937</v>
      </c>
      <c r="BF142" s="13">
        <f t="shared" si="145"/>
        <v>88.540961788845124</v>
      </c>
      <c r="BG142" s="20">
        <f t="shared" si="115"/>
        <v>823.14322878223754</v>
      </c>
      <c r="BH142" s="59">
        <f t="shared" si="116"/>
        <v>1116.4765621155709</v>
      </c>
      <c r="BI142" s="59">
        <f ca="1">AVERAGE(OFFSET($BH$3,0,0,'Données projet'!$E$11+1,1))-AVERAGE(OFFSET($H$3,0,0,'Données projet'!$E$11+1,1))</f>
        <v>496.45286557802063</v>
      </c>
      <c r="BJ142" s="59">
        <f t="shared" si="146"/>
        <v>196.37811957788398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60.834525572948621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60.834525572948621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323.17232038705157</v>
      </c>
      <c r="T143" s="59">
        <f t="shared" si="142"/>
        <v>402.34685738619197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236.00000000000009</v>
      </c>
      <c r="AJ143" s="13">
        <f>AI143*VLOOKUP('Données projet'!$B$10,Paramètres!$A$1:$I$89,3,0)*VLOOKUP('Données projet'!$B$10,Paramètres!$A$1:$I$89,5,0)</f>
        <v>154.62720000000004</v>
      </c>
      <c r="AK143" s="13">
        <f t="shared" si="143"/>
        <v>39.62826685000794</v>
      </c>
      <c r="AL143" s="20">
        <f t="shared" si="112"/>
        <v>338.32827143043056</v>
      </c>
      <c r="AM143" s="59">
        <f t="shared" si="113"/>
        <v>631.66160476376388</v>
      </c>
      <c r="AN143" s="59">
        <f ca="1">AVERAGE(OFFSET($AM$3,0,0,'Données projet'!$E$10+1,1))-AVERAGE(OFFSET($H$3,0,0,'Données projet'!$E$10+1,1))</f>
        <v>263.30962868541337</v>
      </c>
      <c r="AO143" s="59">
        <f t="shared" si="144"/>
        <v>269.61868559913404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1.3858109937569962</v>
      </c>
      <c r="AV143" s="21">
        <f>EXP(-LN(2)/25)*AV142+(1-EXP(-LN(2)/25))/(LN(2)/25)*Calculateur!AQ143*Calculateur!AS143*VLOOKUP('Données projet'!$B$10,Paramètres!$A$1:$I$89,3,0)*0.475*44/12</f>
        <v>3.4806671034290972</v>
      </c>
      <c r="AW143" s="21">
        <f>EXP(-LN(2)/2)*AW142+(1-EXP(-LN(2)/2))/(LN(2)/2)*AQ143*AT143*VLOOKUP('Données projet'!$B$10,Paramètres!$A$1:$I$89,3,0)*0.475*44/12</f>
        <v>6.387537090564551E-8</v>
      </c>
      <c r="AX143" s="21">
        <f t="shared" si="114"/>
        <v>4.8664781610614645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431.71153846153845</v>
      </c>
      <c r="BB143" s="12">
        <f>VLOOKUP(A143,'Données projet'!$A$87:$I$107,9,0)</f>
        <v>7.2230769230769285</v>
      </c>
      <c r="BC143" s="12">
        <f t="array" ref="BC143">INDEX(BB:BB,MIN(IF(ISNUMBER(BB143:BB339),ROW(BB143:BB339),"")))</f>
        <v>7.2230769230769285</v>
      </c>
      <c r="BD143" s="12">
        <f>IF('Données projet'!$A$88&gt;35,BD142+BC143-BL142,IF(A143&lt;'Données projet'!$A$88,$BA$205^A143,IF(A143='Données projet'!$A$88,'Données projet'!$B$88,BD142+BC143-BL142)))</f>
        <v>431.71153846153777</v>
      </c>
      <c r="BE143" s="13">
        <f>BD143*VLOOKUP('Données projet'!$B$11,Paramètres!$A$1:$I$89,3,0)*VLOOKUP('Données projet'!$B$11,Paramètres!$A$1:$I$89,5,0)</f>
        <v>390.61259999999936</v>
      </c>
      <c r="BF143" s="13">
        <f t="shared" si="145"/>
        <v>89.870891496098764</v>
      </c>
      <c r="BG143" s="20">
        <f t="shared" si="115"/>
        <v>836.84208102237073</v>
      </c>
      <c r="BH143" s="59">
        <f t="shared" si="116"/>
        <v>1130.1754143557041</v>
      </c>
      <c r="BI143" s="59">
        <f ca="1">AVERAGE(OFFSET($BH$3,0,0,'Données projet'!$E$11+1,1))-AVERAGE(OFFSET($H$3,0,0,'Données projet'!$E$11+1,1))</f>
        <v>496.45286557802063</v>
      </c>
      <c r="BJ143" s="59">
        <f t="shared" si="146"/>
        <v>196.37811957788398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50.467948717948715</v>
      </c>
      <c r="BM143" s="16">
        <f>IF(ISNA(VLOOKUP(A143,'Données projet'!$A$87:$I$107,5,0)),0%,VLOOKUP(A143,'Données projet'!$A$87:$I$107,5,0)*VLOOKUP('Données projet'!$B$11,Paramètres!$A$1:$I$89,7,0))</f>
        <v>0.38700000000000001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79.177178113691866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79.177178113691866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323.17232038705157</v>
      </c>
      <c r="T144" s="59">
        <f t="shared" si="142"/>
        <v>402.34685738619197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236.00000000000009</v>
      </c>
      <c r="AJ144" s="13">
        <f>AI144*VLOOKUP('Données projet'!$B$10,Paramètres!$A$1:$I$89,3,0)*VLOOKUP('Données projet'!$B$10,Paramètres!$A$1:$I$89,5,0)</f>
        <v>154.62720000000004</v>
      </c>
      <c r="AK144" s="13">
        <f t="shared" si="143"/>
        <v>39.62826685000794</v>
      </c>
      <c r="AL144" s="20">
        <f t="shared" si="112"/>
        <v>338.32827143043056</v>
      </c>
      <c r="AM144" s="59">
        <f t="shared" si="113"/>
        <v>631.66160476376388</v>
      </c>
      <c r="AN144" s="59">
        <f ca="1">AVERAGE(OFFSET($AM$3,0,0,'Données projet'!$E$10+1,1))-AVERAGE(OFFSET($H$3,0,0,'Données projet'!$E$10+1,1))</f>
        <v>263.30962868541337</v>
      </c>
      <c r="AO144" s="59">
        <f t="shared" si="144"/>
        <v>269.61868559913404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1.3586360854306652</v>
      </c>
      <c r="AV144" s="21">
        <f>EXP(-LN(2)/25)*AV143+(1-EXP(-LN(2)/25))/(LN(2)/25)*Calculateur!AQ144*Calculateur!AS144*VLOOKUP('Données projet'!$B$10,Paramètres!$A$1:$I$89,3,0)*0.475*44/12</f>
        <v>3.3854880784455008</v>
      </c>
      <c r="AW144" s="21">
        <f>EXP(-LN(2)/2)*AW143+(1-EXP(-LN(2)/2))/(LN(2)/2)*AQ144*AT144*VLOOKUP('Données projet'!$B$10,Paramètres!$A$1:$I$89,3,0)*0.475*44/12</f>
        <v>4.5166707918187843E-8</v>
      </c>
      <c r="AX144" s="21">
        <f t="shared" si="114"/>
        <v>4.7441242090428739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7.2314102564102543</v>
      </c>
      <c r="BD144" s="12">
        <f>IF('Données projet'!$A$88&gt;35,BD143+BC144-BL143,IF(A144&lt;'Données projet'!$A$88,$BA$205^A144,IF(A144='Données projet'!$A$88,'Données projet'!$B$88,BD143+BC144-BL143)))</f>
        <v>388.47499999999928</v>
      </c>
      <c r="BE144" s="13">
        <f>BD144*VLOOKUP('Données projet'!$B$11,Paramètres!$A$1:$I$89,3,0)*VLOOKUP('Données projet'!$B$11,Paramètres!$A$1:$I$89,5,0)</f>
        <v>351.49217999999934</v>
      </c>
      <c r="BF144" s="13">
        <f t="shared" si="145"/>
        <v>81.869690479070712</v>
      </c>
      <c r="BG144" s="20">
        <f t="shared" si="115"/>
        <v>754.77192441771365</v>
      </c>
      <c r="BH144" s="59">
        <f t="shared" si="116"/>
        <v>1048.105257751047</v>
      </c>
      <c r="BI144" s="59">
        <f ca="1">AVERAGE(OFFSET($BH$3,0,0,'Données projet'!$E$11+1,1))-AVERAGE(OFFSET($H$3,0,0,'Données projet'!$E$11+1,1))</f>
        <v>496.45286557802063</v>
      </c>
      <c r="BJ144" s="59">
        <f t="shared" si="146"/>
        <v>196.37811957788398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77.62456194419245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77.62456194419245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323.17232038705157</v>
      </c>
      <c r="T145" s="59">
        <f t="shared" si="142"/>
        <v>402.34685738619197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236.00000000000009</v>
      </c>
      <c r="AJ145" s="13">
        <f>AI145*VLOOKUP('Données projet'!$B$10,Paramètres!$A$1:$I$89,3,0)*VLOOKUP('Données projet'!$B$10,Paramètres!$A$1:$I$89,5,0)</f>
        <v>154.62720000000004</v>
      </c>
      <c r="AK145" s="13">
        <f t="shared" si="143"/>
        <v>39.62826685000794</v>
      </c>
      <c r="AL145" s="20">
        <f t="shared" si="112"/>
        <v>338.32827143043056</v>
      </c>
      <c r="AM145" s="59">
        <f t="shared" si="113"/>
        <v>631.66160476376388</v>
      </c>
      <c r="AN145" s="59">
        <f ca="1">AVERAGE(OFFSET($AM$3,0,0,'Données projet'!$E$10+1,1))-AVERAGE(OFFSET($H$3,0,0,'Données projet'!$E$10+1,1))</f>
        <v>263.30962868541337</v>
      </c>
      <c r="AO145" s="59">
        <f t="shared" si="144"/>
        <v>269.61868559913404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1.3319940604815559</v>
      </c>
      <c r="AV145" s="21">
        <f>EXP(-LN(2)/25)*AV144+(1-EXP(-LN(2)/25))/(LN(2)/25)*Calculateur!AQ145*Calculateur!AS145*VLOOKUP('Données projet'!$B$10,Paramètres!$A$1:$I$89,3,0)*0.475*44/12</f>
        <v>3.2929117289053282</v>
      </c>
      <c r="AW145" s="21">
        <f>EXP(-LN(2)/2)*AW144+(1-EXP(-LN(2)/2))/(LN(2)/2)*AQ145*AT145*VLOOKUP('Données projet'!$B$10,Paramètres!$A$1:$I$89,3,0)*0.475*44/12</f>
        <v>3.1937685452822755E-8</v>
      </c>
      <c r="AX145" s="21">
        <f t="shared" si="114"/>
        <v>4.6249058213245693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7.2314102564102543</v>
      </c>
      <c r="BD145" s="12">
        <f>IF('Données projet'!$A$88&gt;35,BD144+BC145-BL144,IF(A145&lt;'Données projet'!$A$88,$BA$205^A145,IF(A145='Données projet'!$A$88,'Données projet'!$B$88,BD144+BC145-BL144)))</f>
        <v>395.70641025640953</v>
      </c>
      <c r="BE145" s="13">
        <f>BD145*VLOOKUP('Données projet'!$B$11,Paramètres!$A$1:$I$89,3,0)*VLOOKUP('Données projet'!$B$11,Paramètres!$A$1:$I$89,5,0)</f>
        <v>358.03515999999934</v>
      </c>
      <c r="BF145" s="13">
        <f t="shared" si="145"/>
        <v>83.214842129951279</v>
      </c>
      <c r="BG145" s="20">
        <f t="shared" si="115"/>
        <v>768.51042037633067</v>
      </c>
      <c r="BH145" s="59">
        <f t="shared" si="116"/>
        <v>1061.843753709664</v>
      </c>
      <c r="BI145" s="59">
        <f ca="1">AVERAGE(OFFSET($BH$3,0,0,'Données projet'!$E$11+1,1))-AVERAGE(OFFSET($H$3,0,0,'Données projet'!$E$11+1,1))</f>
        <v>496.45286557802063</v>
      </c>
      <c r="BJ145" s="59">
        <f t="shared" si="146"/>
        <v>196.37811957788398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76.102391630774562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76.102391630774562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323.17232038705157</v>
      </c>
      <c r="T146" s="59">
        <f t="shared" si="142"/>
        <v>402.34685738619197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236.00000000000009</v>
      </c>
      <c r="AJ146" s="13">
        <f>AI146*VLOOKUP('Données projet'!$B$10,Paramètres!$A$1:$I$89,3,0)*VLOOKUP('Données projet'!$B$10,Paramètres!$A$1:$I$89,5,0)</f>
        <v>154.62720000000004</v>
      </c>
      <c r="AK146" s="13">
        <f t="shared" si="143"/>
        <v>39.62826685000794</v>
      </c>
      <c r="AL146" s="20">
        <f t="shared" si="112"/>
        <v>338.32827143043056</v>
      </c>
      <c r="AM146" s="59">
        <f t="shared" si="113"/>
        <v>631.66160476376388</v>
      </c>
      <c r="AN146" s="59">
        <f ca="1">AVERAGE(OFFSET($AM$3,0,0,'Données projet'!$E$10+1,1))-AVERAGE(OFFSET($H$3,0,0,'Données projet'!$E$10+1,1))</f>
        <v>263.30962868541337</v>
      </c>
      <c r="AO146" s="59">
        <f t="shared" si="144"/>
        <v>269.61868559913404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1.305874469391668</v>
      </c>
      <c r="AV146" s="21">
        <f>EXP(-LN(2)/25)*AV145+(1-EXP(-LN(2)/25))/(LN(2)/25)*Calculateur!AQ146*Calculateur!AS146*VLOOKUP('Données projet'!$B$10,Paramètres!$A$1:$I$89,3,0)*0.475*44/12</f>
        <v>3.2028668845117103</v>
      </c>
      <c r="AW146" s="21">
        <f>EXP(-LN(2)/2)*AW145+(1-EXP(-LN(2)/2))/(LN(2)/2)*AQ146*AT146*VLOOKUP('Données projet'!$B$10,Paramètres!$A$1:$I$89,3,0)*0.475*44/12</f>
        <v>2.2583353959093922E-8</v>
      </c>
      <c r="AX146" s="21">
        <f t="shared" si="114"/>
        <v>4.5087413764867321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7.2314102564102543</v>
      </c>
      <c r="BD146" s="12">
        <f>IF('Données projet'!$A$88&gt;35,BD145+BC146-BL145,IF(A146&lt;'Données projet'!$A$88,$BA$205^A146,IF(A146='Données projet'!$A$88,'Données projet'!$B$88,BD145+BC146-BL145)))</f>
        <v>402.93782051281977</v>
      </c>
      <c r="BE146" s="13">
        <f>BD146*VLOOKUP('Données projet'!$B$11,Paramètres!$A$1:$I$89,3,0)*VLOOKUP('Données projet'!$B$11,Paramètres!$A$1:$I$89,5,0)</f>
        <v>364.57813999999934</v>
      </c>
      <c r="BF146" s="13">
        <f t="shared" si="145"/>
        <v>84.557135282967096</v>
      </c>
      <c r="BG146" s="20">
        <f t="shared" si="115"/>
        <v>782.24393778449985</v>
      </c>
      <c r="BH146" s="59">
        <f t="shared" si="116"/>
        <v>1075.5772711178331</v>
      </c>
      <c r="BI146" s="59">
        <f ca="1">AVERAGE(OFFSET($BH$3,0,0,'Données projet'!$E$11+1,1))-AVERAGE(OFFSET($H$3,0,0,'Données projet'!$E$11+1,1))</f>
        <v>496.45286557802063</v>
      </c>
      <c r="BJ146" s="59">
        <f t="shared" si="146"/>
        <v>196.37811957788398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74.610070148770589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74.610070148770589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323.17232038705157</v>
      </c>
      <c r="T147" s="59">
        <f t="shared" si="142"/>
        <v>402.34685738619197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236.00000000000009</v>
      </c>
      <c r="AJ147" s="13">
        <f>AI147*VLOOKUP('Données projet'!$B$10,Paramètres!$A$1:$I$89,3,0)*VLOOKUP('Données projet'!$B$10,Paramètres!$A$1:$I$89,5,0)</f>
        <v>154.62720000000004</v>
      </c>
      <c r="AK147" s="13">
        <f t="shared" si="143"/>
        <v>39.62826685000794</v>
      </c>
      <c r="AL147" s="20">
        <f t="shared" si="112"/>
        <v>338.32827143043056</v>
      </c>
      <c r="AM147" s="59">
        <f t="shared" si="113"/>
        <v>631.66160476376388</v>
      </c>
      <c r="AN147" s="59">
        <f ca="1">AVERAGE(OFFSET($AM$3,0,0,'Données projet'!$E$10+1,1))-AVERAGE(OFFSET($H$3,0,0,'Données projet'!$E$10+1,1))</f>
        <v>263.30962868541337</v>
      </c>
      <c r="AO147" s="59">
        <f t="shared" si="144"/>
        <v>269.61868559913404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1.2802670675516754</v>
      </c>
      <c r="AV147" s="21">
        <f>EXP(-LN(2)/25)*AV146+(1-EXP(-LN(2)/25))/(LN(2)/25)*Calculateur!AQ147*Calculateur!AS147*VLOOKUP('Données projet'!$B$10,Paramètres!$A$1:$I$89,3,0)*0.475*44/12</f>
        <v>3.1152843211232883</v>
      </c>
      <c r="AW147" s="21">
        <f>EXP(-LN(2)/2)*AW146+(1-EXP(-LN(2)/2))/(LN(2)/2)*AQ147*AT147*VLOOKUP('Données projet'!$B$10,Paramètres!$A$1:$I$89,3,0)*0.475*44/12</f>
        <v>1.5968842726411377E-8</v>
      </c>
      <c r="AX147" s="21">
        <f t="shared" si="114"/>
        <v>4.3955514046438067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7.2314102564102543</v>
      </c>
      <c r="BD147" s="12">
        <f>IF('Données projet'!$A$88&gt;35,BD146+BC147-BL146,IF(A147&lt;'Données projet'!$A$88,$BA$205^A147,IF(A147='Données projet'!$A$88,'Données projet'!$B$88,BD146+BC147-BL146)))</f>
        <v>410.16923076923001</v>
      </c>
      <c r="BE147" s="13">
        <f>BD147*VLOOKUP('Données projet'!$B$11,Paramètres!$A$1:$I$89,3,0)*VLOOKUP('Données projet'!$B$11,Paramètres!$A$1:$I$89,5,0)</f>
        <v>371.12111999999928</v>
      </c>
      <c r="BF147" s="13">
        <f t="shared" si="145"/>
        <v>85.896627156574425</v>
      </c>
      <c r="BG147" s="20">
        <f t="shared" si="115"/>
        <v>795.97257629769922</v>
      </c>
      <c r="BH147" s="59">
        <f t="shared" si="116"/>
        <v>1089.3059096310326</v>
      </c>
      <c r="BI147" s="59">
        <f ca="1">AVERAGE(OFFSET($BH$3,0,0,'Données projet'!$E$11+1,1))-AVERAGE(OFFSET($H$3,0,0,'Données projet'!$E$11+1,1))</f>
        <v>496.45286557802063</v>
      </c>
      <c r="BJ147" s="59">
        <f t="shared" si="146"/>
        <v>196.37811957788398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73.147012180802477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73.147012180802477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323.17232038705157</v>
      </c>
      <c r="T148" s="59">
        <f t="shared" si="142"/>
        <v>402.34685738619197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236.00000000000009</v>
      </c>
      <c r="AJ148" s="13">
        <f>AI148*VLOOKUP('Données projet'!$B$10,Paramètres!$A$1:$I$89,3,0)*VLOOKUP('Données projet'!$B$10,Paramètres!$A$1:$I$89,5,0)</f>
        <v>154.62720000000004</v>
      </c>
      <c r="AK148" s="13">
        <f t="shared" si="143"/>
        <v>39.62826685000794</v>
      </c>
      <c r="AL148" s="20">
        <f t="shared" si="112"/>
        <v>338.32827143043056</v>
      </c>
      <c r="AM148" s="59">
        <f t="shared" si="113"/>
        <v>631.66160476376388</v>
      </c>
      <c r="AN148" s="59">
        <f ca="1">AVERAGE(OFFSET($AM$3,0,0,'Données projet'!$E$10+1,1))-AVERAGE(OFFSET($H$3,0,0,'Données projet'!$E$10+1,1))</f>
        <v>263.30962868541337</v>
      </c>
      <c r="AO148" s="59">
        <f t="shared" si="144"/>
        <v>269.61868559913404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1.2551618112427922</v>
      </c>
      <c r="AV148" s="21">
        <f>EXP(-LN(2)/25)*AV147+(1-EXP(-LN(2)/25))/(LN(2)/25)*Calculateur!AQ148*Calculateur!AS148*VLOOKUP('Données projet'!$B$10,Paramètres!$A$1:$I$89,3,0)*0.475*44/12</f>
        <v>3.0300967075364897</v>
      </c>
      <c r="AW148" s="21">
        <f>EXP(-LN(2)/2)*AW147+(1-EXP(-LN(2)/2))/(LN(2)/2)*AQ148*AT148*VLOOKUP('Données projet'!$B$10,Paramètres!$A$1:$I$89,3,0)*0.475*44/12</f>
        <v>1.1291676979546961E-8</v>
      </c>
      <c r="AX148" s="21">
        <f t="shared" si="114"/>
        <v>4.2852585300709585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7.2314102564102543</v>
      </c>
      <c r="BD148" s="12">
        <f>IF('Données projet'!$A$88&gt;35,BD147+BC148-BL147,IF(A148&lt;'Données projet'!$A$88,$BA$205^A148,IF(A148='Données projet'!$A$88,'Données projet'!$B$88,BD147+BC148-BL147)))</f>
        <v>417.40064102564025</v>
      </c>
      <c r="BE148" s="13">
        <f>BD148*VLOOKUP('Données projet'!$B$11,Paramètres!$A$1:$I$89,3,0)*VLOOKUP('Données projet'!$B$11,Paramètres!$A$1:$I$89,5,0)</f>
        <v>377.66409999999928</v>
      </c>
      <c r="BF148" s="13">
        <f t="shared" si="145"/>
        <v>87.233372836107904</v>
      </c>
      <c r="BG148" s="20">
        <f t="shared" si="115"/>
        <v>809.69643185621999</v>
      </c>
      <c r="BH148" s="59">
        <f t="shared" si="116"/>
        <v>1103.0297651895532</v>
      </c>
      <c r="BI148" s="59">
        <f ca="1">AVERAGE(OFFSET($BH$3,0,0,'Données projet'!$E$11+1,1))-AVERAGE(OFFSET($H$3,0,0,'Données projet'!$E$11+1,1))</f>
        <v>496.45286557802063</v>
      </c>
      <c r="BJ148" s="59">
        <f t="shared" si="146"/>
        <v>196.37811957788398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71.712643887208984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71.712643887208984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323.17232038705157</v>
      </c>
      <c r="T149" s="59">
        <f t="shared" si="142"/>
        <v>402.34685738619197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236.00000000000009</v>
      </c>
      <c r="AJ149" s="13">
        <f>AI149*VLOOKUP('Données projet'!$B$10,Paramètres!$A$1:$I$89,3,0)*VLOOKUP('Données projet'!$B$10,Paramètres!$A$1:$I$89,5,0)</f>
        <v>154.62720000000004</v>
      </c>
      <c r="AK149" s="13">
        <f t="shared" si="143"/>
        <v>39.62826685000794</v>
      </c>
      <c r="AL149" s="20">
        <f t="shared" si="112"/>
        <v>338.32827143043056</v>
      </c>
      <c r="AM149" s="59">
        <f t="shared" si="113"/>
        <v>631.66160476376388</v>
      </c>
      <c r="AN149" s="59">
        <f ca="1">AVERAGE(OFFSET($AM$3,0,0,'Données projet'!$E$10+1,1))-AVERAGE(OFFSET($H$3,0,0,'Données projet'!$E$10+1,1))</f>
        <v>263.30962868541337</v>
      </c>
      <c r="AO149" s="59">
        <f t="shared" si="144"/>
        <v>269.61868559913404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1.2305488536974318</v>
      </c>
      <c r="AV149" s="21">
        <f>EXP(-LN(2)/25)*AV148+(1-EXP(-LN(2)/25))/(LN(2)/25)*Calculateur!AQ149*Calculateur!AS149*VLOOKUP('Données projet'!$B$10,Paramètres!$A$1:$I$89,3,0)*0.475*44/12</f>
        <v>2.9472385537230439</v>
      </c>
      <c r="AW149" s="21">
        <f>EXP(-LN(2)/2)*AW148+(1-EXP(-LN(2)/2))/(LN(2)/2)*AQ149*AT149*VLOOKUP('Données projet'!$B$10,Paramètres!$A$1:$I$89,3,0)*0.475*44/12</f>
        <v>7.9844213632056887E-9</v>
      </c>
      <c r="AX149" s="21">
        <f t="shared" si="114"/>
        <v>4.1777874154048966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7.2314102564102543</v>
      </c>
      <c r="BD149" s="12">
        <f>IF('Données projet'!$A$88&gt;35,BD148+BC149-BL148,IF(A149&lt;'Données projet'!$A$88,$BA$205^A149,IF(A149='Données projet'!$A$88,'Données projet'!$B$88,BD148+BC149-BL148)))</f>
        <v>424.6320512820505</v>
      </c>
      <c r="BE149" s="13">
        <f>BD149*VLOOKUP('Données projet'!$B$11,Paramètres!$A$1:$I$89,3,0)*VLOOKUP('Données projet'!$B$11,Paramètres!$A$1:$I$89,5,0)</f>
        <v>384.20707999999928</v>
      </c>
      <c r="BF149" s="13">
        <f t="shared" si="145"/>
        <v>88.567425388857529</v>
      </c>
      <c r="BG149" s="20">
        <f t="shared" si="115"/>
        <v>823.41559688559221</v>
      </c>
      <c r="BH149" s="59">
        <f t="shared" si="116"/>
        <v>1116.7489302189256</v>
      </c>
      <c r="BI149" s="59">
        <f ca="1">AVERAGE(OFFSET($BH$3,0,0,'Données projet'!$E$11+1,1))-AVERAGE(OFFSET($H$3,0,0,'Données projet'!$E$11+1,1))</f>
        <v>496.45286557802063</v>
      </c>
      <c r="BJ149" s="59">
        <f t="shared" si="146"/>
        <v>196.37811957788398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70.306402680974585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70.306402680974585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323.17232038705157</v>
      </c>
      <c r="T150" s="59">
        <f t="shared" si="142"/>
        <v>402.34685738619197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236.00000000000009</v>
      </c>
      <c r="AJ150" s="13">
        <f>AI150*VLOOKUP('Données projet'!$B$10,Paramètres!$A$1:$I$89,3,0)*VLOOKUP('Données projet'!$B$10,Paramètres!$A$1:$I$89,5,0)</f>
        <v>154.62720000000004</v>
      </c>
      <c r="AK150" s="13">
        <f t="shared" si="143"/>
        <v>39.62826685000794</v>
      </c>
      <c r="AL150" s="20">
        <f t="shared" si="112"/>
        <v>338.32827143043056</v>
      </c>
      <c r="AM150" s="59">
        <f t="shared" si="113"/>
        <v>631.66160476376388</v>
      </c>
      <c r="AN150" s="59">
        <f ca="1">AVERAGE(OFFSET($AM$3,0,0,'Données projet'!$E$10+1,1))-AVERAGE(OFFSET($H$3,0,0,'Données projet'!$E$10+1,1))</f>
        <v>263.30962868541337</v>
      </c>
      <c r="AO150" s="59">
        <f t="shared" si="144"/>
        <v>269.61868559913404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1.2064185412371142</v>
      </c>
      <c r="AV150" s="21">
        <f>EXP(-LN(2)/25)*AV149+(1-EXP(-LN(2)/25))/(LN(2)/25)*Calculateur!AQ150*Calculateur!AS150*VLOOKUP('Données projet'!$B$10,Paramètres!$A$1:$I$89,3,0)*0.475*44/12</f>
        <v>2.8666461604829476</v>
      </c>
      <c r="AW150" s="21">
        <f>EXP(-LN(2)/2)*AW149+(1-EXP(-LN(2)/2))/(LN(2)/2)*AQ150*AT150*VLOOKUP('Données projet'!$B$10,Paramètres!$A$1:$I$89,3,0)*0.475*44/12</f>
        <v>5.6458384897734804E-9</v>
      </c>
      <c r="AX150" s="21">
        <f t="shared" si="114"/>
        <v>4.0730647073659005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7.2314102564102543</v>
      </c>
      <c r="BD150" s="12">
        <f>IF('Données projet'!$A$88&gt;35,BD149+BC150-BL149,IF(A150&lt;'Données projet'!$A$88,$BA$205^A150,IF(A150='Données projet'!$A$88,'Données projet'!$B$88,BD149+BC150-BL149)))</f>
        <v>431.86346153846074</v>
      </c>
      <c r="BE150" s="13">
        <f>BD150*VLOOKUP('Données projet'!$B$11,Paramètres!$A$1:$I$89,3,0)*VLOOKUP('Données projet'!$B$11,Paramètres!$A$1:$I$89,5,0)</f>
        <v>390.75005999999928</v>
      </c>
      <c r="BF150" s="13">
        <f t="shared" si="145"/>
        <v>89.898835971083955</v>
      </c>
      <c r="BG150" s="20">
        <f t="shared" si="115"/>
        <v>837.13016048296993</v>
      </c>
      <c r="BH150" s="59">
        <f t="shared" si="116"/>
        <v>1130.4634938163033</v>
      </c>
      <c r="BI150" s="59">
        <f ca="1">AVERAGE(OFFSET($BH$3,0,0,'Données projet'!$E$11+1,1))-AVERAGE(OFFSET($H$3,0,0,'Données projet'!$E$11+1,1))</f>
        <v>496.45286557802063</v>
      </c>
      <c r="BJ150" s="59">
        <f t="shared" si="146"/>
        <v>196.37811957788398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68.927737007071997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68.927737007071997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323.17232038705157</v>
      </c>
      <c r="T151" s="59">
        <f t="shared" si="142"/>
        <v>402.34685738619197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236.00000000000009</v>
      </c>
      <c r="AJ151" s="13">
        <f>AI151*VLOOKUP('Données projet'!$B$10,Paramètres!$A$1:$I$89,3,0)*VLOOKUP('Données projet'!$B$10,Paramètres!$A$1:$I$89,5,0)</f>
        <v>154.62720000000004</v>
      </c>
      <c r="AK151" s="13">
        <f t="shared" si="143"/>
        <v>39.62826685000794</v>
      </c>
      <c r="AL151" s="20">
        <f t="shared" si="112"/>
        <v>338.32827143043056</v>
      </c>
      <c r="AM151" s="59">
        <f t="shared" si="113"/>
        <v>631.66160476376388</v>
      </c>
      <c r="AN151" s="59">
        <f ca="1">AVERAGE(OFFSET($AM$3,0,0,'Données projet'!$E$10+1,1))-AVERAGE(OFFSET($H$3,0,0,'Données projet'!$E$10+1,1))</f>
        <v>263.30962868541337</v>
      </c>
      <c r="AO151" s="59">
        <f t="shared" si="144"/>
        <v>269.61868559913404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1.1827614094861061</v>
      </c>
      <c r="AV151" s="21">
        <f>EXP(-LN(2)/25)*AV150+(1-EXP(-LN(2)/25))/(LN(2)/25)*Calculateur!AQ151*Calculateur!AS151*VLOOKUP('Données projet'!$B$10,Paramètres!$A$1:$I$89,3,0)*0.475*44/12</f>
        <v>2.7882575704741717</v>
      </c>
      <c r="AW151" s="21">
        <f>EXP(-LN(2)/2)*AW150+(1-EXP(-LN(2)/2))/(LN(2)/2)*AQ151*AT151*VLOOKUP('Données projet'!$B$10,Paramètres!$A$1:$I$89,3,0)*0.475*44/12</f>
        <v>3.9922106816028444E-9</v>
      </c>
      <c r="AX151" s="21">
        <f t="shared" si="114"/>
        <v>3.9710189839524883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7.2314102564102543</v>
      </c>
      <c r="BD151" s="12">
        <f>IF('Données projet'!$A$88&gt;35,BD150+BC151-BL150,IF(A151&lt;'Données projet'!$A$88,$BA$205^A151,IF(A151='Données projet'!$A$88,'Données projet'!$B$88,BD150+BC151-BL150)))</f>
        <v>439.09487179487098</v>
      </c>
      <c r="BE151" s="13">
        <f>BD151*VLOOKUP('Données projet'!$B$11,Paramètres!$A$1:$I$89,3,0)*VLOOKUP('Données projet'!$B$11,Paramètres!$A$1:$I$89,5,0)</f>
        <v>397.29303999999922</v>
      </c>
      <c r="BF151" s="13">
        <f t="shared" si="145"/>
        <v>91.227653927663823</v>
      </c>
      <c r="BG151" s="20">
        <f t="shared" si="115"/>
        <v>850.84020859067971</v>
      </c>
      <c r="BH151" s="59">
        <f t="shared" si="116"/>
        <v>1144.1735419240131</v>
      </c>
      <c r="BI151" s="59">
        <f ca="1">AVERAGE(OFFSET($BH$3,0,0,'Données projet'!$E$11+1,1))-AVERAGE(OFFSET($H$3,0,0,'Données projet'!$E$11+1,1))</f>
        <v>496.45286557802063</v>
      </c>
      <c r="BJ151" s="59">
        <f t="shared" si="146"/>
        <v>196.37811957788398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67.576106126131606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67.576106126131606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323.17232038705157</v>
      </c>
      <c r="T152" s="59">
        <f t="shared" si="142"/>
        <v>402.34685738619197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236.00000000000009</v>
      </c>
      <c r="AJ152" s="13">
        <f>AI152*VLOOKUP('Données projet'!$B$10,Paramètres!$A$1:$I$89,3,0)*VLOOKUP('Données projet'!$B$10,Paramètres!$A$1:$I$89,5,0)</f>
        <v>154.62720000000004</v>
      </c>
      <c r="AK152" s="13">
        <f t="shared" si="143"/>
        <v>39.62826685000794</v>
      </c>
      <c r="AL152" s="20">
        <f t="shared" si="112"/>
        <v>338.32827143043056</v>
      </c>
      <c r="AM152" s="59">
        <f t="shared" si="113"/>
        <v>631.66160476376388</v>
      </c>
      <c r="AN152" s="59">
        <f ca="1">AVERAGE(OFFSET($AM$3,0,0,'Données projet'!$E$10+1,1))-AVERAGE(OFFSET($H$3,0,0,'Données projet'!$E$10+1,1))</f>
        <v>263.30962868541337</v>
      </c>
      <c r="AO152" s="59">
        <f t="shared" si="144"/>
        <v>269.61868559913404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1.1595681796593096</v>
      </c>
      <c r="AV152" s="21">
        <f>EXP(-LN(2)/25)*AV151+(1-EXP(-LN(2)/25))/(LN(2)/25)*Calculateur!AQ152*Calculateur!AS152*VLOOKUP('Données projet'!$B$10,Paramètres!$A$1:$I$89,3,0)*0.475*44/12</f>
        <v>2.7120125205814625</v>
      </c>
      <c r="AW152" s="21">
        <f>EXP(-LN(2)/2)*AW151+(1-EXP(-LN(2)/2))/(LN(2)/2)*AQ152*AT152*VLOOKUP('Données projet'!$B$10,Paramètres!$A$1:$I$89,3,0)*0.475*44/12</f>
        <v>2.8229192448867402E-9</v>
      </c>
      <c r="AX152" s="21">
        <f t="shared" si="114"/>
        <v>3.8715807030636911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7.2314102564102543</v>
      </c>
      <c r="BD152" s="12">
        <f>IF('Données projet'!$A$88&gt;35,BD151+BC152-BL151,IF(A152&lt;'Données projet'!$A$88,$BA$205^A152,IF(A152='Données projet'!$A$88,'Données projet'!$B$88,BD151+BC152-BL151)))</f>
        <v>446.32628205128123</v>
      </c>
      <c r="BE152" s="13">
        <f>BD152*VLOOKUP('Données projet'!$B$11,Paramètres!$A$1:$I$89,3,0)*VLOOKUP('Données projet'!$B$11,Paramètres!$A$1:$I$89,5,0)</f>
        <v>403.83601999999928</v>
      </c>
      <c r="BF152" s="13">
        <f t="shared" si="145"/>
        <v>92.553926884983895</v>
      </c>
      <c r="BG152" s="20">
        <f t="shared" si="115"/>
        <v>864.54582415801235</v>
      </c>
      <c r="BH152" s="59">
        <f t="shared" si="116"/>
        <v>1157.8791574913457</v>
      </c>
      <c r="BI152" s="59">
        <f ca="1">AVERAGE(OFFSET($BH$3,0,0,'Données projet'!$E$11+1,1))-AVERAGE(OFFSET($H$3,0,0,'Données projet'!$E$11+1,1))</f>
        <v>496.45286557802063</v>
      </c>
      <c r="BJ152" s="59">
        <f t="shared" si="146"/>
        <v>196.37811957788398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66.250979902353023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66.250979902353023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323.17232038705157</v>
      </c>
      <c r="T153" s="59">
        <f t="shared" si="142"/>
        <v>402.34685738619197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236.00000000000009</v>
      </c>
      <c r="AJ153" s="13">
        <f>AI153*VLOOKUP('Données projet'!$B$10,Paramètres!$A$1:$I$89,3,0)*VLOOKUP('Données projet'!$B$10,Paramètres!$A$1:$I$89,5,0)</f>
        <v>154.62720000000004</v>
      </c>
      <c r="AK153" s="13">
        <f t="shared" si="143"/>
        <v>39.62826685000794</v>
      </c>
      <c r="AL153" s="20">
        <f t="shared" si="112"/>
        <v>338.32827143043056</v>
      </c>
      <c r="AM153" s="59">
        <f t="shared" si="113"/>
        <v>631.66160476376388</v>
      </c>
      <c r="AN153" s="59">
        <f ca="1">AVERAGE(OFFSET($AM$3,0,0,'Données projet'!$E$10+1,1))-AVERAGE(OFFSET($H$3,0,0,'Données projet'!$E$10+1,1))</f>
        <v>263.30962868541337</v>
      </c>
      <c r="AO153" s="59">
        <f t="shared" si="144"/>
        <v>269.61868559913404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1.1368297549229434</v>
      </c>
      <c r="AV153" s="21">
        <f>EXP(-LN(2)/25)*AV152+(1-EXP(-LN(2)/25))/(LN(2)/25)*Calculateur!AQ153*Calculateur!AS153*VLOOKUP('Données projet'!$B$10,Paramètres!$A$1:$I$89,3,0)*0.475*44/12</f>
        <v>2.6378523955876223</v>
      </c>
      <c r="AW153" s="21">
        <f>EXP(-LN(2)/2)*AW152+(1-EXP(-LN(2)/2))/(LN(2)/2)*AQ153*AT153*VLOOKUP('Données projet'!$B$10,Paramètres!$A$1:$I$89,3,0)*0.475*44/12</f>
        <v>1.9961053408014222E-9</v>
      </c>
      <c r="AX153" s="21">
        <f t="shared" si="114"/>
        <v>3.7746821525066712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453.55769230769226</v>
      </c>
      <c r="BB153" s="12">
        <f>VLOOKUP(A153,'Données projet'!$A$87:$I$107,9,0)</f>
        <v>7.2314102564102543</v>
      </c>
      <c r="BC153" s="12">
        <f t="array" ref="BC153">INDEX(BB:BB,MIN(IF(ISNUMBER(BB153:BB349),ROW(BB153:BB349),"")))</f>
        <v>7.2314102564102543</v>
      </c>
      <c r="BD153" s="12">
        <f>IF('Données projet'!$A$88&gt;35,BD152+BC153-BL152,IF(A153&lt;'Données projet'!$A$88,$BA$205^A153,IF(A153='Données projet'!$A$88,'Données projet'!$B$88,BD152+BC153-BL152)))</f>
        <v>453.55769230769147</v>
      </c>
      <c r="BE153" s="13">
        <f>BD153*VLOOKUP('Données projet'!$B$11,Paramètres!$A$1:$I$89,3,0)*VLOOKUP('Données projet'!$B$11,Paramètres!$A$1:$I$89,5,0)</f>
        <v>410.37899999999917</v>
      </c>
      <c r="BF153" s="13">
        <f t="shared" si="145"/>
        <v>93.877700837644795</v>
      </c>
      <c r="BG153" s="20">
        <f t="shared" si="115"/>
        <v>878.24708729222993</v>
      </c>
      <c r="BH153" s="59">
        <f t="shared" si="116"/>
        <v>1171.5804206255632</v>
      </c>
      <c r="BI153" s="59">
        <f ca="1">AVERAGE(OFFSET($BH$3,0,0,'Données projet'!$E$11+1,1))-AVERAGE(OFFSET($H$3,0,0,'Données projet'!$E$11+1,1))</f>
        <v>496.45286557802063</v>
      </c>
      <c r="BJ153" s="59">
        <f t="shared" si="146"/>
        <v>196.37811957788398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174.87820512820511</v>
      </c>
      <c r="BM153" s="16">
        <f>IF(ISNA(VLOOKUP(A153,'Données projet'!$A$87:$I$107,5,0)),0%,VLOOKUP(A153,'Données projet'!$A$87:$I$107,5,0)*VLOOKUP('Données projet'!$B$11,Paramètres!$A$1:$I$89,7,0))</f>
        <v>0.38700000000000001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132.64524277757215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132.64524277757215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323.17232038705157</v>
      </c>
      <c r="T154" s="59">
        <f t="shared" si="142"/>
        <v>402.34685738619197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236.00000000000009</v>
      </c>
      <c r="AJ154" s="13">
        <f>AI154*VLOOKUP('Données projet'!$B$10,Paramètres!$A$1:$I$89,3,0)*VLOOKUP('Données projet'!$B$10,Paramètres!$A$1:$I$89,5,0)</f>
        <v>154.62720000000004</v>
      </c>
      <c r="AK154" s="13">
        <f t="shared" ref="AK154:AK203" si="164">EXP(-1.0587+0.8836*LN(AJ154)+0.284)</f>
        <v>39.62826685000794</v>
      </c>
      <c r="AL154" s="20">
        <f t="shared" ref="AL154:AL203" si="165">(AJ154+AK154)*0.475*44/12</f>
        <v>338.32827143043056</v>
      </c>
      <c r="AM154" s="59">
        <f t="shared" si="113"/>
        <v>631.66160476376388</v>
      </c>
      <c r="AN154" s="59">
        <f ca="1">AVERAGE(OFFSET($AM$3,0,0,'Données projet'!$E$10+1,1))-AVERAGE(OFFSET($H$3,0,0,'Données projet'!$E$10+1,1))</f>
        <v>263.30962868541337</v>
      </c>
      <c r="AO154" s="59">
        <f t="shared" si="144"/>
        <v>269.61868559913404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1.1145372168265877</v>
      </c>
      <c r="AV154" s="21">
        <f>EXP(-LN(2)/25)*AV153+(1-EXP(-LN(2)/25))/(LN(2)/25)*Calculateur!AQ154*Calculateur!AS154*VLOOKUP('Données projet'!$B$10,Paramètres!$A$1:$I$89,3,0)*0.475*44/12</f>
        <v>2.5657201831116501</v>
      </c>
      <c r="AW154" s="21">
        <f>EXP(-LN(2)/2)*AW153+(1-EXP(-LN(2)/2))/(LN(2)/2)*AQ154*AT154*VLOOKUP('Données projet'!$B$10,Paramètres!$A$1:$I$89,3,0)*0.475*44/12</f>
        <v>1.4114596224433701E-9</v>
      </c>
      <c r="AX154" s="21">
        <f t="shared" ref="AX154:AX203" si="166">SUM(AU154:AW154)</f>
        <v>3.6802574013496976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4.7414529914530021</v>
      </c>
      <c r="BD154" s="12">
        <f>IF('Données projet'!$A$88&gt;35,BD153+BC154-BL153,IF(A154&lt;'Données projet'!$A$88,$BA$205^A154,IF(A154='Données projet'!$A$88,'Données projet'!$B$88,BD153+BC154-BL153)))</f>
        <v>283.42094017093939</v>
      </c>
      <c r="BE154" s="13">
        <f>BD154*VLOOKUP('Données projet'!$B$11,Paramètres!$A$1:$I$89,3,0)*VLOOKUP('Données projet'!$B$11,Paramètres!$A$1:$I$89,5,0)</f>
        <v>256.43926666666596</v>
      </c>
      <c r="BF154" s="13">
        <f t="shared" ref="BF154:BF203" si="167">EXP(-1.0587+0.8836*LN(BE154)+0.284)</f>
        <v>61.962765426876054</v>
      </c>
      <c r="BG154" s="20">
        <f t="shared" ref="BG154:BG203" si="168">(BE154+BF154)*0.475*44/12</f>
        <v>554.55020589625235</v>
      </c>
      <c r="BH154" s="59">
        <f t="shared" si="116"/>
        <v>847.88353922958572</v>
      </c>
      <c r="BI154" s="59">
        <f ca="1">AVERAGE(OFFSET($BH$3,0,0,'Données projet'!$E$11+1,1))-AVERAGE(OFFSET($H$3,0,0,'Données projet'!$E$11+1,1))</f>
        <v>496.45286557802063</v>
      </c>
      <c r="BJ154" s="59">
        <f t="shared" si="146"/>
        <v>196.37811957788398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130.04415047231328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130.04415047231328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323.17232038705157</v>
      </c>
      <c r="T155" s="59">
        <f t="shared" si="142"/>
        <v>402.34685738619197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236.00000000000009</v>
      </c>
      <c r="AJ155" s="13">
        <f>AI155*VLOOKUP('Données projet'!$B$10,Paramètres!$A$1:$I$89,3,0)*VLOOKUP('Données projet'!$B$10,Paramètres!$A$1:$I$89,5,0)</f>
        <v>154.62720000000004</v>
      </c>
      <c r="AK155" s="13">
        <f t="shared" si="164"/>
        <v>39.62826685000794</v>
      </c>
      <c r="AL155" s="20">
        <f t="shared" si="165"/>
        <v>338.32827143043056</v>
      </c>
      <c r="AM155" s="59">
        <f t="shared" si="113"/>
        <v>631.66160476376388</v>
      </c>
      <c r="AN155" s="59">
        <f ca="1">AVERAGE(OFFSET($AM$3,0,0,'Données projet'!$E$10+1,1))-AVERAGE(OFFSET($H$3,0,0,'Données projet'!$E$10+1,1))</f>
        <v>263.30962868541337</v>
      </c>
      <c r="AO155" s="59">
        <f t="shared" si="144"/>
        <v>269.61868559913404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1.0926818218051959</v>
      </c>
      <c r="AV155" s="21">
        <f>EXP(-LN(2)/25)*AV154+(1-EXP(-LN(2)/25))/(LN(2)/25)*Calculateur!AQ155*Calculateur!AS155*VLOOKUP('Données projet'!$B$10,Paramètres!$A$1:$I$89,3,0)*0.475*44/12</f>
        <v>2.4955604297791014</v>
      </c>
      <c r="AW155" s="21">
        <f>EXP(-LN(2)/2)*AW154+(1-EXP(-LN(2)/2))/(LN(2)/2)*AQ155*AT155*VLOOKUP('Données projet'!$B$10,Paramètres!$A$1:$I$89,3,0)*0.475*44/12</f>
        <v>9.9805267040071109E-10</v>
      </c>
      <c r="AX155" s="21">
        <f t="shared" si="166"/>
        <v>3.5882422525823503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4.7414529914530021</v>
      </c>
      <c r="BD155" s="12">
        <f>IF('Données projet'!$A$88&gt;35,BD154+BC155-BL154,IF(A155&lt;'Données projet'!$A$88,$BA$205^A155,IF(A155='Données projet'!$A$88,'Données projet'!$B$88,BD154+BC155-BL154)))</f>
        <v>288.16239316239239</v>
      </c>
      <c r="BE155" s="13">
        <f>BD155*VLOOKUP('Données projet'!$B$11,Paramètres!$A$1:$I$89,3,0)*VLOOKUP('Données projet'!$B$11,Paramètres!$A$1:$I$89,5,0)</f>
        <v>260.72933333333265</v>
      </c>
      <c r="BF155" s="13">
        <f t="shared" si="167"/>
        <v>62.877816995379447</v>
      </c>
      <c r="BG155" s="20">
        <f t="shared" si="168"/>
        <v>563.61578682250695</v>
      </c>
      <c r="BH155" s="59">
        <f t="shared" si="116"/>
        <v>856.94912015584032</v>
      </c>
      <c r="BI155" s="59">
        <f ca="1">AVERAGE(OFFSET($BH$3,0,0,'Données projet'!$E$11+1,1))-AVERAGE(OFFSET($H$3,0,0,'Données projet'!$E$11+1,1))</f>
        <v>496.45286557802063</v>
      </c>
      <c r="BJ155" s="59">
        <f t="shared" si="146"/>
        <v>196.37811957788398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127.49406400065089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127.49406400065089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323.17232038705157</v>
      </c>
      <c r="T156" s="59">
        <f t="shared" si="142"/>
        <v>402.34685738619197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236.00000000000009</v>
      </c>
      <c r="AJ156" s="13">
        <f>AI156*VLOOKUP('Données projet'!$B$10,Paramètres!$A$1:$I$89,3,0)*VLOOKUP('Données projet'!$B$10,Paramètres!$A$1:$I$89,5,0)</f>
        <v>154.62720000000004</v>
      </c>
      <c r="AK156" s="13">
        <f t="shared" si="164"/>
        <v>39.62826685000794</v>
      </c>
      <c r="AL156" s="20">
        <f t="shared" si="165"/>
        <v>338.32827143043056</v>
      </c>
      <c r="AM156" s="59">
        <f t="shared" si="113"/>
        <v>631.66160476376388</v>
      </c>
      <c r="AN156" s="59">
        <f ca="1">AVERAGE(OFFSET($AM$3,0,0,'Données projet'!$E$10+1,1))-AVERAGE(OFFSET($H$3,0,0,'Données projet'!$E$10+1,1))</f>
        <v>263.30962868541337</v>
      </c>
      <c r="AO156" s="59">
        <f t="shared" si="144"/>
        <v>269.61868559913404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1.0712549977496988</v>
      </c>
      <c r="AV156" s="21">
        <f>EXP(-LN(2)/25)*AV155+(1-EXP(-LN(2)/25))/(LN(2)/25)*Calculateur!AQ156*Calculateur!AS156*VLOOKUP('Données projet'!$B$10,Paramètres!$A$1:$I$89,3,0)*0.475*44/12</f>
        <v>2.4273191985909728</v>
      </c>
      <c r="AW156" s="21">
        <f>EXP(-LN(2)/2)*AW155+(1-EXP(-LN(2)/2))/(LN(2)/2)*AQ156*AT156*VLOOKUP('Données projet'!$B$10,Paramètres!$A$1:$I$89,3,0)*0.475*44/12</f>
        <v>7.0572981122168505E-10</v>
      </c>
      <c r="AX156" s="21">
        <f t="shared" si="166"/>
        <v>3.498574197046401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292.90384615384619</v>
      </c>
      <c r="BB156" s="12">
        <f>VLOOKUP(A156,'Données projet'!$A$87:$I$107,9,0)</f>
        <v>4.7414529914530021</v>
      </c>
      <c r="BC156" s="12">
        <f t="array" ref="BC156">INDEX(BB:BB,MIN(IF(ISNUMBER(BB156:BB352),ROW(BB156:BB352),"")))</f>
        <v>4.7414529914530021</v>
      </c>
      <c r="BD156" s="12">
        <f>IF('Données projet'!$A$88&gt;35,BD155+BC156-BL155,IF(A156&lt;'Données projet'!$A$88,$BA$205^A156,IF(A156='Données projet'!$A$88,'Données projet'!$B$88,BD155+BC156-BL155)))</f>
        <v>292.90384615384539</v>
      </c>
      <c r="BE156" s="13">
        <f>BD156*VLOOKUP('Données projet'!$B$11,Paramètres!$A$1:$I$89,3,0)*VLOOKUP('Données projet'!$B$11,Paramètres!$A$1:$I$89,5,0)</f>
        <v>265.01939999999934</v>
      </c>
      <c r="BF156" s="13">
        <f t="shared" si="167"/>
        <v>63.791117598380389</v>
      </c>
      <c r="BG156" s="20">
        <f t="shared" si="168"/>
        <v>572.67831815051125</v>
      </c>
      <c r="BH156" s="59">
        <f t="shared" si="116"/>
        <v>866.01165148384462</v>
      </c>
      <c r="BI156" s="59">
        <f ca="1">AVERAGE(OFFSET($BH$3,0,0,'Données projet'!$E$11+1,1))-AVERAGE(OFFSET($H$3,0,0,'Données projet'!$E$11+1,1))</f>
        <v>496.45286557802063</v>
      </c>
      <c r="BJ156" s="59">
        <f t="shared" si="146"/>
        <v>196.37811957788398</v>
      </c>
      <c r="BK156" s="15">
        <f>IF(ISNA(VLOOKUP(A156,'Données projet'!$A$87:$I$107,3,0)),0,VLOOKUP(A156,'Données projet'!$A$87:$I$107,3,0))</f>
        <v>15</v>
      </c>
      <c r="BL156" s="15">
        <f>IF(ISNA(VLOOKUP(A156,'Données projet'!$A$87:$I$107,4,0)),0,VLOOKUP(A156,'Données projet'!$A$87:$I$107,4,0))</f>
        <v>105.26282051282051</v>
      </c>
      <c r="BM156" s="16">
        <f>IF(ISNA(VLOOKUP(A156,'Données projet'!$A$87:$I$107,5,0)),0%,VLOOKUP(A156,'Données projet'!$A$87:$I$107,5,0)*VLOOKUP('Données projet'!$B$11,Paramètres!$A$1:$I$89,7,0))</f>
        <v>0.38700000000000001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165.74004783234494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165.74004783234494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323.17232038705157</v>
      </c>
      <c r="T157" s="59">
        <f t="shared" si="142"/>
        <v>402.34685738619197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236.00000000000009</v>
      </c>
      <c r="AJ157" s="13">
        <f>AI157*VLOOKUP('Données projet'!$B$10,Paramètres!$A$1:$I$89,3,0)*VLOOKUP('Données projet'!$B$10,Paramètres!$A$1:$I$89,5,0)</f>
        <v>154.62720000000004</v>
      </c>
      <c r="AK157" s="13">
        <f t="shared" si="164"/>
        <v>39.62826685000794</v>
      </c>
      <c r="AL157" s="20">
        <f t="shared" si="165"/>
        <v>338.32827143043056</v>
      </c>
      <c r="AM157" s="59">
        <f t="shared" si="113"/>
        <v>631.66160476376388</v>
      </c>
      <c r="AN157" s="59">
        <f ca="1">AVERAGE(OFFSET($AM$3,0,0,'Données projet'!$E$10+1,1))-AVERAGE(OFFSET($H$3,0,0,'Données projet'!$E$10+1,1))</f>
        <v>263.30962868541337</v>
      </c>
      <c r="AO157" s="59">
        <f t="shared" si="144"/>
        <v>269.61868559913404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1.0502483406448577</v>
      </c>
      <c r="AV157" s="21">
        <f>EXP(-LN(2)/25)*AV156+(1-EXP(-LN(2)/25))/(LN(2)/25)*Calculateur!AQ157*Calculateur!AS157*VLOOKUP('Données projet'!$B$10,Paramètres!$A$1:$I$89,3,0)*0.475*44/12</f>
        <v>2.3609440274583338</v>
      </c>
      <c r="AW157" s="21">
        <f>EXP(-LN(2)/2)*AW156+(1-EXP(-LN(2)/2))/(LN(2)/2)*AQ157*AT157*VLOOKUP('Données projet'!$B$10,Paramètres!$A$1:$I$89,3,0)*0.475*44/12</f>
        <v>4.9902633520035554E-10</v>
      </c>
      <c r="AX157" s="21">
        <f t="shared" si="166"/>
        <v>3.4111923686022174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2.7243589743589589</v>
      </c>
      <c r="BD157" s="12">
        <f>IF('Données projet'!$A$88&gt;35,BD156+BC157-BL156,IF(A157&lt;'Données projet'!$A$88,$BA$205^A157,IF(A157='Données projet'!$A$88,'Données projet'!$B$88,BD156+BC157-BL156)))</f>
        <v>190.36538461538385</v>
      </c>
      <c r="BE157" s="13">
        <f>BD157*VLOOKUP('Données projet'!$B$11,Paramètres!$A$1:$I$89,3,0)*VLOOKUP('Données projet'!$B$11,Paramètres!$A$1:$I$89,5,0)</f>
        <v>172.2425999999993</v>
      </c>
      <c r="BF157" s="13">
        <f t="shared" si="167"/>
        <v>43.591907642239391</v>
      </c>
      <c r="BG157" s="20">
        <f t="shared" si="168"/>
        <v>375.91176747689906</v>
      </c>
      <c r="BH157" s="59">
        <f t="shared" si="116"/>
        <v>669.24510081023232</v>
      </c>
      <c r="BI157" s="59">
        <f ca="1">AVERAGE(OFFSET($BH$3,0,0,'Données projet'!$E$11+1,1))-AVERAGE(OFFSET($H$3,0,0,'Données projet'!$E$11+1,1))</f>
        <v>496.45286557802063</v>
      </c>
      <c r="BJ157" s="59">
        <f t="shared" si="146"/>
        <v>196.37811957788398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162.4899865857999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162.4899865857999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323.17232038705157</v>
      </c>
      <c r="T158" s="59">
        <f t="shared" si="142"/>
        <v>402.34685738619197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236.00000000000009</v>
      </c>
      <c r="AJ158" s="13">
        <f>AI158*VLOOKUP('Données projet'!$B$10,Paramètres!$A$1:$I$89,3,0)*VLOOKUP('Données projet'!$B$10,Paramètres!$A$1:$I$89,5,0)</f>
        <v>154.62720000000004</v>
      </c>
      <c r="AK158" s="13">
        <f t="shared" si="164"/>
        <v>39.62826685000794</v>
      </c>
      <c r="AL158" s="20">
        <f t="shared" si="165"/>
        <v>338.32827143043056</v>
      </c>
      <c r="AM158" s="59">
        <f t="shared" si="113"/>
        <v>631.66160476376388</v>
      </c>
      <c r="AN158" s="59">
        <f ca="1">AVERAGE(OFFSET($AM$3,0,0,'Données projet'!$E$10+1,1))-AVERAGE(OFFSET($H$3,0,0,'Données projet'!$E$10+1,1))</f>
        <v>263.30962868541337</v>
      </c>
      <c r="AO158" s="59">
        <f t="shared" si="144"/>
        <v>269.61868559913404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1.029653611273047</v>
      </c>
      <c r="AV158" s="21">
        <f>EXP(-LN(2)/25)*AV157+(1-EXP(-LN(2)/25))/(LN(2)/25)*Calculateur!AQ158*Calculateur!AS158*VLOOKUP('Données projet'!$B$10,Paramètres!$A$1:$I$89,3,0)*0.475*44/12</f>
        <v>2.2963838888708352</v>
      </c>
      <c r="AW158" s="21">
        <f>EXP(-LN(2)/2)*AW157+(1-EXP(-LN(2)/2))/(LN(2)/2)*AQ158*AT158*VLOOKUP('Données projet'!$B$10,Paramètres!$A$1:$I$89,3,0)*0.475*44/12</f>
        <v>3.5286490561084253E-10</v>
      </c>
      <c r="AX158" s="21">
        <f t="shared" si="166"/>
        <v>3.3260375004967471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2.7243589743589589</v>
      </c>
      <c r="BD158" s="12">
        <f>IF('Données projet'!$A$88&gt;35,BD157+BC158-BL157,IF(A158&lt;'Données projet'!$A$88,$BA$205^A158,IF(A158='Données projet'!$A$88,'Données projet'!$B$88,BD157+BC158-BL157)))</f>
        <v>193.0897435897428</v>
      </c>
      <c r="BE158" s="13">
        <f>BD158*VLOOKUP('Données projet'!$B$11,Paramètres!$A$1:$I$89,3,0)*VLOOKUP('Données projet'!$B$11,Paramètres!$A$1:$I$89,5,0)</f>
        <v>174.70759999999927</v>
      </c>
      <c r="BF158" s="13">
        <f t="shared" si="167"/>
        <v>44.142687394836123</v>
      </c>
      <c r="BG158" s="20">
        <f t="shared" si="168"/>
        <v>381.16425054600495</v>
      </c>
      <c r="BH158" s="59">
        <f t="shared" si="116"/>
        <v>674.49758387933821</v>
      </c>
      <c r="BI158" s="59">
        <f ca="1">AVERAGE(OFFSET($BH$3,0,0,'Données projet'!$E$11+1,1))-AVERAGE(OFFSET($H$3,0,0,'Données projet'!$E$11+1,1))</f>
        <v>496.45286557802063</v>
      </c>
      <c r="BJ158" s="59">
        <f t="shared" si="146"/>
        <v>196.37811957788398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159.30365705795796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159.30365705795796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323.17232038705157</v>
      </c>
      <c r="T159" s="59">
        <f t="shared" si="142"/>
        <v>402.34685738619197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236.00000000000009</v>
      </c>
      <c r="AJ159" s="13">
        <f>AI159*VLOOKUP('Données projet'!$B$10,Paramètres!$A$1:$I$89,3,0)*VLOOKUP('Données projet'!$B$10,Paramètres!$A$1:$I$89,5,0)</f>
        <v>154.62720000000004</v>
      </c>
      <c r="AK159" s="13">
        <f t="shared" si="164"/>
        <v>39.62826685000794</v>
      </c>
      <c r="AL159" s="20">
        <f t="shared" si="165"/>
        <v>338.32827143043056</v>
      </c>
      <c r="AM159" s="59">
        <f t="shared" si="113"/>
        <v>631.66160476376388</v>
      </c>
      <c r="AN159" s="59">
        <f ca="1">AVERAGE(OFFSET($AM$3,0,0,'Données projet'!$E$10+1,1))-AVERAGE(OFFSET($H$3,0,0,'Données projet'!$E$10+1,1))</f>
        <v>263.30962868541337</v>
      </c>
      <c r="AO159" s="59">
        <f t="shared" si="144"/>
        <v>269.61868559913404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1.009462731982673</v>
      </c>
      <c r="AV159" s="21">
        <f>EXP(-LN(2)/25)*AV158+(1-EXP(-LN(2)/25))/(LN(2)/25)*Calculateur!AQ159*Calculateur!AS159*VLOOKUP('Données projet'!$B$10,Paramètres!$A$1:$I$89,3,0)*0.475*44/12</f>
        <v>2.2335891506680818</v>
      </c>
      <c r="AW159" s="21">
        <f>EXP(-LN(2)/2)*AW158+(1-EXP(-LN(2)/2))/(LN(2)/2)*AQ159*AT159*VLOOKUP('Données projet'!$B$10,Paramètres!$A$1:$I$89,3,0)*0.475*44/12</f>
        <v>2.4951316760017777E-10</v>
      </c>
      <c r="AX159" s="21">
        <f t="shared" si="166"/>
        <v>3.2430518829002679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195.81410256410257</v>
      </c>
      <c r="BB159" s="12">
        <f>VLOOKUP(A159,'Données projet'!$A$87:$I$107,9,0)</f>
        <v>2.7243589743589589</v>
      </c>
      <c r="BC159" s="12">
        <f t="array" ref="BC159">INDEX(BB:BB,MIN(IF(ISNUMBER(BB159:BB355),ROW(BB159:BB355),"")))</f>
        <v>2.7243589743589589</v>
      </c>
      <c r="BD159" s="12">
        <f>IF('Données projet'!$A$88&gt;35,BD158+BC159-BL158,IF(A159&lt;'Données projet'!$A$88,$BA$205^A159,IF(A159='Données projet'!$A$88,'Données projet'!$B$88,BD158+BC159-BL158)))</f>
        <v>195.81410256410174</v>
      </c>
      <c r="BE159" s="13">
        <f>BD159*VLOOKUP('Données projet'!$B$11,Paramètres!$A$1:$I$89,3,0)*VLOOKUP('Données projet'!$B$11,Paramètres!$A$1:$I$89,5,0)</f>
        <v>177.17259999999925</v>
      </c>
      <c r="BF159" s="13">
        <f t="shared" si="167"/>
        <v>44.692563300824922</v>
      </c>
      <c r="BG159" s="20">
        <f t="shared" si="168"/>
        <v>386.41515941560209</v>
      </c>
      <c r="BH159" s="59">
        <f t="shared" si="116"/>
        <v>679.7484927489354</v>
      </c>
      <c r="BI159" s="59">
        <f ca="1">AVERAGE(OFFSET($BH$3,0,0,'Données projet'!$E$11+1,1))-AVERAGE(OFFSET($H$3,0,0,'Données projet'!$E$11+1,1))</f>
        <v>496.45286557802063</v>
      </c>
      <c r="BJ159" s="59">
        <f t="shared" si="146"/>
        <v>196.37811957788398</v>
      </c>
      <c r="BK159" s="15">
        <f>IF(ISNA(VLOOKUP(A159,'Données projet'!$A$87:$I$107,3,0)),0,VLOOKUP(A159,'Données projet'!$A$87:$I$107,3,0))</f>
        <v>16</v>
      </c>
      <c r="BL159" s="15">
        <f>IF(ISNA(VLOOKUP(A159,'Données projet'!$A$87:$I$107,4,0)),0,VLOOKUP(A159,'Données projet'!$A$87:$I$107,4,0))</f>
        <v>65.070512820512818</v>
      </c>
      <c r="BM159" s="16">
        <f>IF(ISNA(VLOOKUP(A159,'Données projet'!$A$87:$I$107,5,0)),0%,VLOOKUP(A159,'Données projet'!$A$87:$I$107,5,0)*VLOOKUP('Données projet'!$B$11,Paramètres!$A$1:$I$89,7,0))</f>
        <v>0.38700000000000001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181.36787980858333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181.36787980858333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323.17232038705157</v>
      </c>
      <c r="T160" s="59">
        <f t="shared" si="142"/>
        <v>402.34685738619197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236.00000000000009</v>
      </c>
      <c r="AJ160" s="13">
        <f>AI160*VLOOKUP('Données projet'!$B$10,Paramètres!$A$1:$I$89,3,0)*VLOOKUP('Données projet'!$B$10,Paramètres!$A$1:$I$89,5,0)</f>
        <v>154.62720000000004</v>
      </c>
      <c r="AK160" s="13">
        <f t="shared" si="164"/>
        <v>39.62826685000794</v>
      </c>
      <c r="AL160" s="20">
        <f t="shared" si="165"/>
        <v>338.32827143043056</v>
      </c>
      <c r="AM160" s="59">
        <f t="shared" si="113"/>
        <v>631.66160476376388</v>
      </c>
      <c r="AN160" s="59">
        <f ca="1">AVERAGE(OFFSET($AM$3,0,0,'Données projet'!$E$10+1,1))-AVERAGE(OFFSET($H$3,0,0,'Données projet'!$E$10+1,1))</f>
        <v>263.30962868541337</v>
      </c>
      <c r="AO160" s="59">
        <f t="shared" si="144"/>
        <v>269.61868559913404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0.98966778351996287</v>
      </c>
      <c r="AV160" s="21">
        <f>EXP(-LN(2)/25)*AV159+(1-EXP(-LN(2)/25))/(LN(2)/25)*Calculateur!AQ160*Calculateur!AS160*VLOOKUP('Données projet'!$B$10,Paramètres!$A$1:$I$89,3,0)*0.475*44/12</f>
        <v>2.1725115378837145</v>
      </c>
      <c r="AW160" s="21">
        <f>EXP(-LN(2)/2)*AW159+(1-EXP(-LN(2)/2))/(LN(2)/2)*AQ160*AT160*VLOOKUP('Données projet'!$B$10,Paramètres!$A$1:$I$89,3,0)*0.475*44/12</f>
        <v>1.7643245280542126E-10</v>
      </c>
      <c r="AX160" s="21">
        <f t="shared" si="166"/>
        <v>3.1621793215801102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1.6025641025640975</v>
      </c>
      <c r="BD160" s="12">
        <f>IF('Données projet'!$A$88&gt;35,BD159+BC160-BL159,IF(A160&lt;'Données projet'!$A$88,$BA$205^A160,IF(A160='Données projet'!$A$88,'Données projet'!$B$88,BD159+BC160-BL159)))</f>
        <v>132.34615384615302</v>
      </c>
      <c r="BE160" s="13">
        <f>BD160*VLOOKUP('Données projet'!$B$11,Paramètres!$A$1:$I$89,3,0)*VLOOKUP('Données projet'!$B$11,Paramètres!$A$1:$I$89,5,0)</f>
        <v>119.74679999999924</v>
      </c>
      <c r="BF160" s="13">
        <f t="shared" si="167"/>
        <v>31.615937294397806</v>
      </c>
      <c r="BG160" s="20">
        <f t="shared" si="168"/>
        <v>263.62343412107481</v>
      </c>
      <c r="BH160" s="59">
        <f t="shared" si="116"/>
        <v>556.95676745440812</v>
      </c>
      <c r="BI160" s="59">
        <f ca="1">AVERAGE(OFFSET($BH$3,0,0,'Données projet'!$E$11+1,1))-AVERAGE(OFFSET($H$3,0,0,'Données projet'!$E$11+1,1))</f>
        <v>496.45286557802063</v>
      </c>
      <c r="BJ160" s="59">
        <f t="shared" si="146"/>
        <v>196.37811957788398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177.81136630902051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177.81136630902051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323.17232038705157</v>
      </c>
      <c r="T161" s="59">
        <f t="shared" si="142"/>
        <v>402.34685738619197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236.00000000000009</v>
      </c>
      <c r="AJ161" s="13">
        <f>AI161*VLOOKUP('Données projet'!$B$10,Paramètres!$A$1:$I$89,3,0)*VLOOKUP('Données projet'!$B$10,Paramètres!$A$1:$I$89,5,0)</f>
        <v>154.62720000000004</v>
      </c>
      <c r="AK161" s="13">
        <f t="shared" si="164"/>
        <v>39.62826685000794</v>
      </c>
      <c r="AL161" s="20">
        <f t="shared" si="165"/>
        <v>338.32827143043056</v>
      </c>
      <c r="AM161" s="59">
        <f t="shared" si="113"/>
        <v>631.66160476376388</v>
      </c>
      <c r="AN161" s="59">
        <f ca="1">AVERAGE(OFFSET($AM$3,0,0,'Données projet'!$E$10+1,1))-AVERAGE(OFFSET($H$3,0,0,'Données projet'!$E$10+1,1))</f>
        <v>263.30962868541337</v>
      </c>
      <c r="AO161" s="59">
        <f t="shared" si="144"/>
        <v>269.61868559913404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0.97026100192288012</v>
      </c>
      <c r="AV161" s="21">
        <f>EXP(-LN(2)/25)*AV160+(1-EXP(-LN(2)/25))/(LN(2)/25)*Calculateur!AQ161*Calculateur!AS161*VLOOKUP('Données projet'!$B$10,Paramètres!$A$1:$I$89,3,0)*0.475*44/12</f>
        <v>2.1131040956328677</v>
      </c>
      <c r="AW161" s="21">
        <f>EXP(-LN(2)/2)*AW160+(1-EXP(-LN(2)/2))/(LN(2)/2)*AQ161*AT161*VLOOKUP('Données projet'!$B$10,Paramètres!$A$1:$I$89,3,0)*0.475*44/12</f>
        <v>1.2475658380008889E-10</v>
      </c>
      <c r="AX161" s="21">
        <f t="shared" si="166"/>
        <v>3.0833650976805047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1.6025641025640975</v>
      </c>
      <c r="BD161" s="12">
        <f>IF('Données projet'!$A$88&gt;35,BD160+BC161-BL160,IF(A161&lt;'Données projet'!$A$88,$BA$205^A161,IF(A161='Données projet'!$A$88,'Données projet'!$B$88,BD160+BC161-BL160)))</f>
        <v>133.9487179487171</v>
      </c>
      <c r="BE161" s="13">
        <f>BD161*VLOOKUP('Données projet'!$B$11,Paramètres!$A$1:$I$89,3,0)*VLOOKUP('Données projet'!$B$11,Paramètres!$A$1:$I$89,5,0)</f>
        <v>121.19679999999923</v>
      </c>
      <c r="BF161" s="13">
        <f t="shared" si="167"/>
        <v>31.953971815874063</v>
      </c>
      <c r="BG161" s="20">
        <f t="shared" si="168"/>
        <v>266.73759424597932</v>
      </c>
      <c r="BH161" s="59">
        <f t="shared" si="116"/>
        <v>560.07092757931264</v>
      </c>
      <c r="BI161" s="59">
        <f ca="1">AVERAGE(OFFSET($BH$3,0,0,'Données projet'!$E$11+1,1))-AVERAGE(OFFSET($H$3,0,0,'Données projet'!$E$11+1,1))</f>
        <v>496.45286557802063</v>
      </c>
      <c r="BJ161" s="59">
        <f t="shared" si="146"/>
        <v>196.37811957788398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174.32459386992511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174.32459386992511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323.17232038705157</v>
      </c>
      <c r="T162" s="59">
        <f t="shared" si="142"/>
        <v>402.34685738619197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236.00000000000009</v>
      </c>
      <c r="AJ162" s="13">
        <f>AI162*VLOOKUP('Données projet'!$B$10,Paramètres!$A$1:$I$89,3,0)*VLOOKUP('Données projet'!$B$10,Paramètres!$A$1:$I$89,5,0)</f>
        <v>154.62720000000004</v>
      </c>
      <c r="AK162" s="13">
        <f t="shared" si="164"/>
        <v>39.62826685000794</v>
      </c>
      <c r="AL162" s="20">
        <f t="shared" si="165"/>
        <v>338.32827143043056</v>
      </c>
      <c r="AM162" s="59">
        <f t="shared" si="113"/>
        <v>631.66160476376388</v>
      </c>
      <c r="AN162" s="59">
        <f ca="1">AVERAGE(OFFSET($AM$3,0,0,'Données projet'!$E$10+1,1))-AVERAGE(OFFSET($H$3,0,0,'Données projet'!$E$10+1,1))</f>
        <v>263.30962868541337</v>
      </c>
      <c r="AO162" s="59">
        <f t="shared" si="144"/>
        <v>269.61868559913404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0.95123477547594815</v>
      </c>
      <c r="AV162" s="21">
        <f>EXP(-LN(2)/25)*AV161+(1-EXP(-LN(2)/25))/(LN(2)/25)*Calculateur!AQ162*Calculateur!AS162*VLOOKUP('Données projet'!$B$10,Paramètres!$A$1:$I$89,3,0)*0.475*44/12</f>
        <v>2.0553211530144719</v>
      </c>
      <c r="AW162" s="21">
        <f>EXP(-LN(2)/2)*AW161+(1-EXP(-LN(2)/2))/(LN(2)/2)*AQ162*AT162*VLOOKUP('Données projet'!$B$10,Paramètres!$A$1:$I$89,3,0)*0.475*44/12</f>
        <v>8.8216226402710632E-11</v>
      </c>
      <c r="AX162" s="21">
        <f t="shared" si="166"/>
        <v>3.0065559285786363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>
        <f>VLOOKUP(A162,'Données projet'!$A$87:$I$107,2,0)</f>
        <v>135.55128205128204</v>
      </c>
      <c r="BB162" s="12">
        <f>VLOOKUP(A162,'Données projet'!$A$87:$I$107,9,0)</f>
        <v>1.6025641025640975</v>
      </c>
      <c r="BC162" s="12">
        <f t="array" ref="BC162">INDEX(BB:BB,MIN(IF(ISNUMBER(BB162:BB358),ROW(BB162:BB358),"")))</f>
        <v>1.6025641025640975</v>
      </c>
      <c r="BD162" s="12">
        <f>IF('Données projet'!$A$88&gt;35,BD161+BC162-BL161,IF(A162&lt;'Données projet'!$A$88,$BA$205^A162,IF(A162='Données projet'!$A$88,'Données projet'!$B$88,BD161+BC162-BL161)))</f>
        <v>135.55128205128119</v>
      </c>
      <c r="BE162" s="13">
        <f>BD162*VLOOKUP('Données projet'!$B$11,Paramètres!$A$1:$I$89,3,0)*VLOOKUP('Données projet'!$B$11,Paramètres!$A$1:$I$89,5,0)</f>
        <v>122.6467999999992</v>
      </c>
      <c r="BF162" s="13">
        <f t="shared" si="167"/>
        <v>32.291535902514497</v>
      </c>
      <c r="BG162" s="20">
        <f t="shared" si="168"/>
        <v>269.85093503021136</v>
      </c>
      <c r="BH162" s="59">
        <f t="shared" si="116"/>
        <v>563.18426836354467</v>
      </c>
      <c r="BI162" s="59">
        <f ca="1">AVERAGE(OFFSET($BH$3,0,0,'Données projet'!$E$11+1,1))-AVERAGE(OFFSET($H$3,0,0,'Données projet'!$E$11+1,1))</f>
        <v>496.45286557802063</v>
      </c>
      <c r="BJ162" s="59">
        <f t="shared" si="146"/>
        <v>196.37811957788398</v>
      </c>
      <c r="BK162" s="15">
        <f>IF(ISNA(VLOOKUP(A162,'Données projet'!$A$87:$I$107,3,0)),0,VLOOKUP(A162,'Données projet'!$A$87:$I$107,3,0))</f>
        <v>17</v>
      </c>
      <c r="BL162" s="15">
        <f>IF(ISNA(VLOOKUP(A162,'Données projet'!$A$87:$I$107,4,0)),0,VLOOKUP(A162,'Données projet'!$A$87:$I$107,4,0))</f>
        <v>135.55128205128204</v>
      </c>
      <c r="BM162" s="16">
        <f>IF(ISNA(VLOOKUP(A162,'Données projet'!$A$87:$I$107,5,0)),0%,VLOOKUP(A162,'Données projet'!$A$87:$I$107,5,0)*VLOOKUP('Données projet'!$B$11,Paramètres!$A$1:$I$89,7,0))</f>
        <v>0.38700000000000001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223.37658547036139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223.37658547036139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323.17232038705157</v>
      </c>
      <c r="T163" s="59">
        <f t="shared" si="142"/>
        <v>402.34685738619197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236.00000000000009</v>
      </c>
      <c r="AJ163" s="13">
        <f>AI163*VLOOKUP('Données projet'!$B$10,Paramètres!$A$1:$I$89,3,0)*VLOOKUP('Données projet'!$B$10,Paramètres!$A$1:$I$89,5,0)</f>
        <v>154.62720000000004</v>
      </c>
      <c r="AK163" s="13">
        <f t="shared" si="164"/>
        <v>39.62826685000794</v>
      </c>
      <c r="AL163" s="20">
        <f t="shared" si="165"/>
        <v>338.32827143043056</v>
      </c>
      <c r="AM163" s="59">
        <f t="shared" si="113"/>
        <v>631.66160476376388</v>
      </c>
      <c r="AN163" s="59">
        <f ca="1">AVERAGE(OFFSET($AM$3,0,0,'Données projet'!$E$10+1,1))-AVERAGE(OFFSET($H$3,0,0,'Données projet'!$E$10+1,1))</f>
        <v>263.30962868541337</v>
      </c>
      <c r="AO163" s="59">
        <f t="shared" si="144"/>
        <v>269.61868559913404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0.9325816417247883</v>
      </c>
      <c r="AV163" s="21">
        <f>EXP(-LN(2)/25)*AV162+(1-EXP(-LN(2)/25))/(LN(2)/25)*Calculateur!AQ163*Calculateur!AS163*VLOOKUP('Données projet'!$B$10,Paramètres!$A$1:$I$89,3,0)*0.475*44/12</f>
        <v>1.9991182880006493</v>
      </c>
      <c r="AW163" s="21">
        <f>EXP(-LN(2)/2)*AW162+(1-EXP(-LN(2)/2))/(LN(2)/2)*AQ163*AT163*VLOOKUP('Données projet'!$B$10,Paramètres!$A$1:$I$89,3,0)*0.475*44/12</f>
        <v>6.2378291900044443E-11</v>
      </c>
      <c r="AX163" s="21">
        <f t="shared" si="166"/>
        <v>2.9316999297878157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-8.5265128291212022E-13</v>
      </c>
      <c r="BE163" s="13">
        <f>BD163*VLOOKUP('Données projet'!$B$11,Paramètres!$A$1:$I$89,3,0)*VLOOKUP('Données projet'!$B$11,Paramètres!$A$1:$I$89,5,0)</f>
        <v>-7.7147888077888633E-13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496.45286557802063</v>
      </c>
      <c r="BJ163" s="59">
        <f t="shared" si="146"/>
        <v>196.37811957788398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218.99630687555154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218.99630687555154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323.17232038705157</v>
      </c>
      <c r="T164" s="59">
        <f t="shared" si="142"/>
        <v>402.34685738619197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236.00000000000009</v>
      </c>
      <c r="AJ164" s="13">
        <f>AI164*VLOOKUP('Données projet'!$B$10,Paramètres!$A$1:$I$89,3,0)*VLOOKUP('Données projet'!$B$10,Paramètres!$A$1:$I$89,5,0)</f>
        <v>154.62720000000004</v>
      </c>
      <c r="AK164" s="13">
        <f t="shared" si="164"/>
        <v>39.62826685000794</v>
      </c>
      <c r="AL164" s="20">
        <f t="shared" si="165"/>
        <v>338.32827143043056</v>
      </c>
      <c r="AM164" s="59">
        <f t="shared" si="113"/>
        <v>631.66160476376388</v>
      </c>
      <c r="AN164" s="59">
        <f ca="1">AVERAGE(OFFSET($AM$3,0,0,'Données projet'!$E$10+1,1))-AVERAGE(OFFSET($H$3,0,0,'Données projet'!$E$10+1,1))</f>
        <v>263.30962868541337</v>
      </c>
      <c r="AO164" s="59">
        <f t="shared" si="144"/>
        <v>269.61868559913404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0.91429428454920048</v>
      </c>
      <c r="AV164" s="21">
        <f>EXP(-LN(2)/25)*AV163+(1-EXP(-LN(2)/25))/(LN(2)/25)*Calculateur!AQ164*Calculateur!AS164*VLOOKUP('Données projet'!$B$10,Paramètres!$A$1:$I$89,3,0)*0.475*44/12</f>
        <v>1.9444522932862098</v>
      </c>
      <c r="AW164" s="21">
        <f>EXP(-LN(2)/2)*AW163+(1-EXP(-LN(2)/2))/(LN(2)/2)*AQ164*AT164*VLOOKUP('Données projet'!$B$10,Paramètres!$A$1:$I$89,3,0)*0.475*44/12</f>
        <v>4.4108113201355316E-11</v>
      </c>
      <c r="AX164" s="21">
        <f t="shared" si="166"/>
        <v>2.8587465778795185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-8.5265128291212022E-13</v>
      </c>
      <c r="BE164" s="13">
        <f>BD164*VLOOKUP('Données projet'!$B$11,Paramètres!$A$1:$I$89,3,0)*VLOOKUP('Données projet'!$B$11,Paramètres!$A$1:$I$89,5,0)</f>
        <v>-7.7147888077888633E-13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496.45286557802063</v>
      </c>
      <c r="BJ164" s="59">
        <f t="shared" si="146"/>
        <v>196.37811957788398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214.70192287227977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214.70192287227977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323.17232038705157</v>
      </c>
      <c r="T165" s="59">
        <f t="shared" si="142"/>
        <v>402.34685738619197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236.00000000000009</v>
      </c>
      <c r="AJ165" s="13">
        <f>AI165*VLOOKUP('Données projet'!$B$10,Paramètres!$A$1:$I$89,3,0)*VLOOKUP('Données projet'!$B$10,Paramètres!$A$1:$I$89,5,0)</f>
        <v>154.62720000000004</v>
      </c>
      <c r="AK165" s="13">
        <f t="shared" si="164"/>
        <v>39.62826685000794</v>
      </c>
      <c r="AL165" s="20">
        <f t="shared" si="165"/>
        <v>338.32827143043056</v>
      </c>
      <c r="AM165" s="59">
        <f t="shared" si="113"/>
        <v>631.66160476376388</v>
      </c>
      <c r="AN165" s="59">
        <f ca="1">AVERAGE(OFFSET($AM$3,0,0,'Données projet'!$E$10+1,1))-AVERAGE(OFFSET($H$3,0,0,'Données projet'!$E$10+1,1))</f>
        <v>263.30962868541337</v>
      </c>
      <c r="AO165" s="59">
        <f t="shared" si="144"/>
        <v>269.61868559913404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0.89636553129363938</v>
      </c>
      <c r="AV165" s="21">
        <f>EXP(-LN(2)/25)*AV164+(1-EXP(-LN(2)/25))/(LN(2)/25)*Calculateur!AQ165*Calculateur!AS165*VLOOKUP('Données projet'!$B$10,Paramètres!$A$1:$I$89,3,0)*0.475*44/12</f>
        <v>1.8912811430719965</v>
      </c>
      <c r="AW165" s="21">
        <f>EXP(-LN(2)/2)*AW164+(1-EXP(-LN(2)/2))/(LN(2)/2)*AQ165*AT165*VLOOKUP('Données projet'!$B$10,Paramètres!$A$1:$I$89,3,0)*0.475*44/12</f>
        <v>3.1189145950022222E-11</v>
      </c>
      <c r="AX165" s="21">
        <f t="shared" si="166"/>
        <v>2.7876466743968251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-8.5265128291212022E-13</v>
      </c>
      <c r="BE165" s="13">
        <f>BD165*VLOOKUP('Données projet'!$B$11,Paramètres!$A$1:$I$89,3,0)*VLOOKUP('Données projet'!$B$11,Paramètres!$A$1:$I$89,5,0)</f>
        <v>-7.7147888077888633E-13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496.45286557802063</v>
      </c>
      <c r="BJ165" s="59">
        <f t="shared" si="146"/>
        <v>196.37811957788398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210.49174911999657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210.49174911999657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323.17232038705157</v>
      </c>
      <c r="T166" s="59">
        <f t="shared" si="142"/>
        <v>402.34685738619197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236.00000000000009</v>
      </c>
      <c r="AJ166" s="13">
        <f>AI166*VLOOKUP('Données projet'!$B$10,Paramètres!$A$1:$I$89,3,0)*VLOOKUP('Données projet'!$B$10,Paramètres!$A$1:$I$89,5,0)</f>
        <v>154.62720000000004</v>
      </c>
      <c r="AK166" s="13">
        <f t="shared" si="164"/>
        <v>39.62826685000794</v>
      </c>
      <c r="AL166" s="20">
        <f t="shared" si="165"/>
        <v>338.32827143043056</v>
      </c>
      <c r="AM166" s="59">
        <f t="shared" si="113"/>
        <v>631.66160476376388</v>
      </c>
      <c r="AN166" s="59">
        <f ca="1">AVERAGE(OFFSET($AM$3,0,0,'Données projet'!$E$10+1,1))-AVERAGE(OFFSET($H$3,0,0,'Données projet'!$E$10+1,1))</f>
        <v>263.30962868541337</v>
      </c>
      <c r="AO166" s="59">
        <f t="shared" si="144"/>
        <v>269.61868559913404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0.87878834995396016</v>
      </c>
      <c r="AV166" s="21">
        <f>EXP(-LN(2)/25)*AV165+(1-EXP(-LN(2)/25))/(LN(2)/25)*Calculateur!AQ166*Calculateur!AS166*VLOOKUP('Données projet'!$B$10,Paramètres!$A$1:$I$89,3,0)*0.475*44/12</f>
        <v>1.8395639607565399</v>
      </c>
      <c r="AW166" s="21">
        <f>EXP(-LN(2)/2)*AW165+(1-EXP(-LN(2)/2))/(LN(2)/2)*AQ166*AT166*VLOOKUP('Données projet'!$B$10,Paramètres!$A$1:$I$89,3,0)*0.475*44/12</f>
        <v>2.2054056600677658E-11</v>
      </c>
      <c r="AX166" s="21">
        <f t="shared" si="166"/>
        <v>2.7183523107325542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-8.5265128291212022E-13</v>
      </c>
      <c r="BE166" s="13">
        <f>BD166*VLOOKUP('Données projet'!$B$11,Paramètres!$A$1:$I$89,3,0)*VLOOKUP('Données projet'!$B$11,Paramètres!$A$1:$I$89,5,0)</f>
        <v>-7.7147888077888633E-13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496.45286557802063</v>
      </c>
      <c r="BJ166" s="59">
        <f t="shared" si="146"/>
        <v>196.37811957788398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206.3641343070432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206.3641343070432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323.17232038705157</v>
      </c>
      <c r="T167" s="59">
        <f t="shared" si="142"/>
        <v>402.34685738619197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236.00000000000009</v>
      </c>
      <c r="AJ167" s="13">
        <f>AI167*VLOOKUP('Données projet'!$B$10,Paramètres!$A$1:$I$89,3,0)*VLOOKUP('Données projet'!$B$10,Paramètres!$A$1:$I$89,5,0)</f>
        <v>154.62720000000004</v>
      </c>
      <c r="AK167" s="13">
        <f t="shared" si="164"/>
        <v>39.62826685000794</v>
      </c>
      <c r="AL167" s="20">
        <f t="shared" si="165"/>
        <v>338.32827143043056</v>
      </c>
      <c r="AM167" s="59">
        <f t="shared" si="113"/>
        <v>631.66160476376388</v>
      </c>
      <c r="AN167" s="59">
        <f ca="1">AVERAGE(OFFSET($AM$3,0,0,'Données projet'!$E$10+1,1))-AVERAGE(OFFSET($H$3,0,0,'Données projet'!$E$10+1,1))</f>
        <v>263.30962868541337</v>
      </c>
      <c r="AO167" s="59">
        <f t="shared" si="144"/>
        <v>269.61868559913404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0.86155584641933003</v>
      </c>
      <c r="AV167" s="21">
        <f>EXP(-LN(2)/25)*AV166+(1-EXP(-LN(2)/25))/(LN(2)/25)*Calculateur!AQ167*Calculateur!AS167*VLOOKUP('Données projet'!$B$10,Paramètres!$A$1:$I$89,3,0)*0.475*44/12</f>
        <v>1.789260987511188</v>
      </c>
      <c r="AW167" s="21">
        <f>EXP(-LN(2)/2)*AW166+(1-EXP(-LN(2)/2))/(LN(2)/2)*AQ167*AT167*VLOOKUP('Données projet'!$B$10,Paramètres!$A$1:$I$89,3,0)*0.475*44/12</f>
        <v>1.5594572975011111E-11</v>
      </c>
      <c r="AX167" s="21">
        <f t="shared" si="166"/>
        <v>2.6508168339461129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-8.5265128291212022E-13</v>
      </c>
      <c r="BE167" s="13">
        <f>BD167*VLOOKUP('Données projet'!$B$11,Paramètres!$A$1:$I$89,3,0)*VLOOKUP('Données projet'!$B$11,Paramètres!$A$1:$I$89,5,0)</f>
        <v>-7.7147888077888633E-13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496.45286557802063</v>
      </c>
      <c r="BJ167" s="59">
        <f t="shared" si="146"/>
        <v>196.37811957788398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202.31745950297542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202.31745950297542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323.17232038705157</v>
      </c>
      <c r="T168" s="59">
        <f t="shared" si="142"/>
        <v>402.34685738619197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236.00000000000009</v>
      </c>
      <c r="AJ168" s="13">
        <f>AI168*VLOOKUP('Données projet'!$B$10,Paramètres!$A$1:$I$89,3,0)*VLOOKUP('Données projet'!$B$10,Paramètres!$A$1:$I$89,5,0)</f>
        <v>154.62720000000004</v>
      </c>
      <c r="AK168" s="13">
        <f t="shared" si="164"/>
        <v>39.62826685000794</v>
      </c>
      <c r="AL168" s="20">
        <f t="shared" si="165"/>
        <v>338.32827143043056</v>
      </c>
      <c r="AM168" s="59">
        <f t="shared" si="113"/>
        <v>631.66160476376388</v>
      </c>
      <c r="AN168" s="59">
        <f ca="1">AVERAGE(OFFSET($AM$3,0,0,'Données projet'!$E$10+1,1))-AVERAGE(OFFSET($H$3,0,0,'Données projet'!$E$10+1,1))</f>
        <v>263.30962868541337</v>
      </c>
      <c r="AO168" s="59">
        <f t="shared" si="144"/>
        <v>269.61868559913404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0.84466126176822476</v>
      </c>
      <c r="AV168" s="21">
        <f>EXP(-LN(2)/25)*AV167+(1-EXP(-LN(2)/25))/(LN(2)/25)*Calculateur!AQ168*Calculateur!AS168*VLOOKUP('Données projet'!$B$10,Paramètres!$A$1:$I$89,3,0)*0.475*44/12</f>
        <v>1.7403335517145486</v>
      </c>
      <c r="AW168" s="21">
        <f>EXP(-LN(2)/2)*AW167+(1-EXP(-LN(2)/2))/(LN(2)/2)*AQ168*AT168*VLOOKUP('Données projet'!$B$10,Paramètres!$A$1:$I$89,3,0)*0.475*44/12</f>
        <v>1.1027028300338829E-11</v>
      </c>
      <c r="AX168" s="21">
        <f t="shared" si="166"/>
        <v>2.5849948134938008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-8.5265128291212022E-13</v>
      </c>
      <c r="BE168" s="13">
        <f>BD168*VLOOKUP('Données projet'!$B$11,Paramètres!$A$1:$I$89,3,0)*VLOOKUP('Données projet'!$B$11,Paramètres!$A$1:$I$89,5,0)</f>
        <v>-7.7147888077888633E-13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496.45286557802063</v>
      </c>
      <c r="BJ168" s="59">
        <f t="shared" si="146"/>
        <v>196.37811957788398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198.35013752358748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198.35013752358748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323.17232038705157</v>
      </c>
      <c r="T169" s="59">
        <f t="shared" si="142"/>
        <v>402.34685738619197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236.00000000000009</v>
      </c>
      <c r="AJ169" s="13">
        <f>AI169*VLOOKUP('Données projet'!$B$10,Paramètres!$A$1:$I$89,3,0)*VLOOKUP('Données projet'!$B$10,Paramètres!$A$1:$I$89,5,0)</f>
        <v>154.62720000000004</v>
      </c>
      <c r="AK169" s="13">
        <f t="shared" si="164"/>
        <v>39.62826685000794</v>
      </c>
      <c r="AL169" s="20">
        <f t="shared" si="165"/>
        <v>338.32827143043056</v>
      </c>
      <c r="AM169" s="59">
        <f t="shared" si="113"/>
        <v>631.66160476376388</v>
      </c>
      <c r="AN169" s="59">
        <f ca="1">AVERAGE(OFFSET($AM$3,0,0,'Données projet'!$E$10+1,1))-AVERAGE(OFFSET($H$3,0,0,'Données projet'!$E$10+1,1))</f>
        <v>263.30962868541337</v>
      </c>
      <c r="AO169" s="59">
        <f t="shared" si="144"/>
        <v>269.61868559913404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0.82809796961744853</v>
      </c>
      <c r="AV169" s="21">
        <f>EXP(-LN(2)/25)*AV168+(1-EXP(-LN(2)/25))/(LN(2)/25)*Calculateur!AQ169*Calculateur!AS169*VLOOKUP('Données projet'!$B$10,Paramètres!$A$1:$I$89,3,0)*0.475*44/12</f>
        <v>1.6927440392227504</v>
      </c>
      <c r="AW169" s="21">
        <f>EXP(-LN(2)/2)*AW168+(1-EXP(-LN(2)/2))/(LN(2)/2)*AQ169*AT169*VLOOKUP('Données projet'!$B$10,Paramètres!$A$1:$I$89,3,0)*0.475*44/12</f>
        <v>7.7972864875055554E-12</v>
      </c>
      <c r="AX169" s="21">
        <f t="shared" si="166"/>
        <v>2.5208420088479961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-8.5265128291212022E-13</v>
      </c>
      <c r="BE169" s="13">
        <f>BD169*VLOOKUP('Données projet'!$B$11,Paramètres!$A$1:$I$89,3,0)*VLOOKUP('Données projet'!$B$11,Paramètres!$A$1:$I$89,5,0)</f>
        <v>-7.7147888077888633E-13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496.45286557802063</v>
      </c>
      <c r="BJ169" s="59">
        <f t="shared" si="146"/>
        <v>196.37811957788398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194.46061230838788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194.46061230838788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323.17232038705157</v>
      </c>
      <c r="T170" s="59">
        <f t="shared" si="142"/>
        <v>402.34685738619197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236.00000000000009</v>
      </c>
      <c r="AJ170" s="13">
        <f>AI170*VLOOKUP('Données projet'!$B$10,Paramètres!$A$1:$I$89,3,0)*VLOOKUP('Données projet'!$B$10,Paramètres!$A$1:$I$89,5,0)</f>
        <v>154.62720000000004</v>
      </c>
      <c r="AK170" s="13">
        <f t="shared" si="164"/>
        <v>39.62826685000794</v>
      </c>
      <c r="AL170" s="20">
        <f t="shared" si="165"/>
        <v>338.32827143043056</v>
      </c>
      <c r="AM170" s="59">
        <f t="shared" si="113"/>
        <v>631.66160476376388</v>
      </c>
      <c r="AN170" s="59">
        <f ca="1">AVERAGE(OFFSET($AM$3,0,0,'Données projet'!$E$10+1,1))-AVERAGE(OFFSET($H$3,0,0,'Données projet'!$E$10+1,1))</f>
        <v>263.30962868541337</v>
      </c>
      <c r="AO170" s="59">
        <f t="shared" si="144"/>
        <v>269.61868559913404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0.81185947352313836</v>
      </c>
      <c r="AV170" s="21">
        <f>EXP(-LN(2)/25)*AV169+(1-EXP(-LN(2)/25))/(LN(2)/25)*Calculateur!AQ170*Calculateur!AS170*VLOOKUP('Données projet'!$B$10,Paramètres!$A$1:$I$89,3,0)*0.475*44/12</f>
        <v>1.6464558644526641</v>
      </c>
      <c r="AW170" s="21">
        <f>EXP(-LN(2)/2)*AW169+(1-EXP(-LN(2)/2))/(LN(2)/2)*AQ170*AT170*VLOOKUP('Données projet'!$B$10,Paramètres!$A$1:$I$89,3,0)*0.475*44/12</f>
        <v>5.5135141501694145E-12</v>
      </c>
      <c r="AX170" s="21">
        <f t="shared" si="166"/>
        <v>2.4583153379813161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-8.5265128291212022E-13</v>
      </c>
      <c r="BE170" s="13">
        <f>BD170*VLOOKUP('Données projet'!$B$11,Paramètres!$A$1:$I$89,3,0)*VLOOKUP('Données projet'!$B$11,Paramètres!$A$1:$I$89,5,0)</f>
        <v>-7.7147888077888633E-13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496.45286557802063</v>
      </c>
      <c r="BJ170" s="59">
        <f t="shared" si="146"/>
        <v>196.37811957788398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190.64735831028221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190.64735831028221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323.17232038705157</v>
      </c>
      <c r="T171" s="59">
        <f t="shared" si="142"/>
        <v>402.34685738619197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236.00000000000009</v>
      </c>
      <c r="AJ171" s="13">
        <f>AI171*VLOOKUP('Données projet'!$B$10,Paramètres!$A$1:$I$89,3,0)*VLOOKUP('Données projet'!$B$10,Paramètres!$A$1:$I$89,5,0)</f>
        <v>154.62720000000004</v>
      </c>
      <c r="AK171" s="13">
        <f t="shared" si="164"/>
        <v>39.62826685000794</v>
      </c>
      <c r="AL171" s="20">
        <f t="shared" si="165"/>
        <v>338.32827143043056</v>
      </c>
      <c r="AM171" s="59">
        <f t="shared" si="113"/>
        <v>631.66160476376388</v>
      </c>
      <c r="AN171" s="59">
        <f ca="1">AVERAGE(OFFSET($AM$3,0,0,'Données projet'!$E$10+1,1))-AVERAGE(OFFSET($H$3,0,0,'Données projet'!$E$10+1,1))</f>
        <v>263.30962868541337</v>
      </c>
      <c r="AO171" s="59">
        <f t="shared" si="144"/>
        <v>269.61868559913404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0.79593940443273292</v>
      </c>
      <c r="AV171" s="21">
        <f>EXP(-LN(2)/25)*AV170+(1-EXP(-LN(2)/25))/(LN(2)/25)*Calculateur!AQ171*Calculateur!AS171*VLOOKUP('Données projet'!$B$10,Paramètres!$A$1:$I$89,3,0)*0.475*44/12</f>
        <v>1.6014334422558552</v>
      </c>
      <c r="AW171" s="21">
        <f>EXP(-LN(2)/2)*AW170+(1-EXP(-LN(2)/2))/(LN(2)/2)*AQ171*AT171*VLOOKUP('Données projet'!$B$10,Paramètres!$A$1:$I$89,3,0)*0.475*44/12</f>
        <v>3.8986432437527777E-12</v>
      </c>
      <c r="AX171" s="21">
        <f t="shared" si="166"/>
        <v>2.3973728466924866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-8.5265128291212022E-13</v>
      </c>
      <c r="BE171" s="13">
        <f>BD171*VLOOKUP('Données projet'!$B$11,Paramètres!$A$1:$I$89,3,0)*VLOOKUP('Données projet'!$B$11,Paramètres!$A$1:$I$89,5,0)</f>
        <v>-7.7147888077888633E-13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496.45286557802063</v>
      </c>
      <c r="BJ171" s="59">
        <f t="shared" si="146"/>
        <v>196.37811957788398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186.90887989722412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186.90887989722412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323.17232038705157</v>
      </c>
      <c r="T172" s="59">
        <f t="shared" si="142"/>
        <v>402.34685738619197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236.00000000000009</v>
      </c>
      <c r="AJ172" s="13">
        <f>AI172*VLOOKUP('Données projet'!$B$10,Paramètres!$A$1:$I$89,3,0)*VLOOKUP('Données projet'!$B$10,Paramètres!$A$1:$I$89,5,0)</f>
        <v>154.62720000000004</v>
      </c>
      <c r="AK172" s="13">
        <f t="shared" si="164"/>
        <v>39.62826685000794</v>
      </c>
      <c r="AL172" s="20">
        <f t="shared" si="165"/>
        <v>338.32827143043056</v>
      </c>
      <c r="AM172" s="59">
        <f t="shared" si="113"/>
        <v>631.66160476376388</v>
      </c>
      <c r="AN172" s="59">
        <f ca="1">AVERAGE(OFFSET($AM$3,0,0,'Données projet'!$E$10+1,1))-AVERAGE(OFFSET($H$3,0,0,'Données projet'!$E$10+1,1))</f>
        <v>263.30962868541337</v>
      </c>
      <c r="AO172" s="59">
        <f t="shared" si="144"/>
        <v>269.61868559913404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0.78033151818690705</v>
      </c>
      <c r="AV172" s="21">
        <f>EXP(-LN(2)/25)*AV171+(1-EXP(-LN(2)/25))/(LN(2)/25)*Calculateur!AQ172*Calculateur!AS172*VLOOKUP('Données projet'!$B$10,Paramètres!$A$1:$I$89,3,0)*0.475*44/12</f>
        <v>1.5576421605616442</v>
      </c>
      <c r="AW172" s="21">
        <f>EXP(-LN(2)/2)*AW171+(1-EXP(-LN(2)/2))/(LN(2)/2)*AQ172*AT172*VLOOKUP('Données projet'!$B$10,Paramètres!$A$1:$I$89,3,0)*0.475*44/12</f>
        <v>2.7567570750847072E-12</v>
      </c>
      <c r="AX172" s="21">
        <f t="shared" si="166"/>
        <v>2.3379736787513083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-8.5265128291212022E-13</v>
      </c>
      <c r="BE172" s="13">
        <f>BD172*VLOOKUP('Données projet'!$B$11,Paramètres!$A$1:$I$89,3,0)*VLOOKUP('Données projet'!$B$11,Paramètres!$A$1:$I$89,5,0)</f>
        <v>-7.7147888077888633E-13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496.45286557802063</v>
      </c>
      <c r="BJ172" s="59">
        <f t="shared" si="146"/>
        <v>196.37811957788398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183.24371076559942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183.24371076559942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323.17232038705157</v>
      </c>
      <c r="T173" s="59">
        <f t="shared" si="142"/>
        <v>402.34685738619197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236.00000000000009</v>
      </c>
      <c r="AJ173" s="13">
        <f>AI173*VLOOKUP('Données projet'!$B$10,Paramètres!$A$1:$I$89,3,0)*VLOOKUP('Données projet'!$B$10,Paramètres!$A$1:$I$89,5,0)</f>
        <v>154.62720000000004</v>
      </c>
      <c r="AK173" s="13">
        <f t="shared" si="164"/>
        <v>39.62826685000794</v>
      </c>
      <c r="AL173" s="20">
        <f t="shared" si="165"/>
        <v>338.32827143043056</v>
      </c>
      <c r="AM173" s="59">
        <f t="shared" si="113"/>
        <v>631.66160476376388</v>
      </c>
      <c r="AN173" s="59">
        <f ca="1">AVERAGE(OFFSET($AM$3,0,0,'Données projet'!$E$10+1,1))-AVERAGE(OFFSET($H$3,0,0,'Données projet'!$E$10+1,1))</f>
        <v>263.30962868541337</v>
      </c>
      <c r="AO173" s="59">
        <f t="shared" si="144"/>
        <v>269.61868559913404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0.76502969307049118</v>
      </c>
      <c r="AV173" s="21">
        <f>EXP(-LN(2)/25)*AV172+(1-EXP(-LN(2)/25))/(LN(2)/25)*Calculateur!AQ173*Calculateur!AS173*VLOOKUP('Données projet'!$B$10,Paramètres!$A$1:$I$89,3,0)*0.475*44/12</f>
        <v>1.5150483537682449</v>
      </c>
      <c r="AW173" s="21">
        <f>EXP(-LN(2)/2)*AW172+(1-EXP(-LN(2)/2))/(LN(2)/2)*AQ173*AT173*VLOOKUP('Données projet'!$B$10,Paramètres!$A$1:$I$89,3,0)*0.475*44/12</f>
        <v>1.9493216218763888E-12</v>
      </c>
      <c r="AX173" s="21">
        <f t="shared" si="166"/>
        <v>2.2800780468406852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-8.5265128291212022E-13</v>
      </c>
      <c r="BE173" s="13">
        <f>BD173*VLOOKUP('Données projet'!$B$11,Paramètres!$A$1:$I$89,3,0)*VLOOKUP('Données projet'!$B$11,Paramètres!$A$1:$I$89,5,0)</f>
        <v>-7.7147888077888633E-13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496.45286557802063</v>
      </c>
      <c r="BJ173" s="59">
        <f t="shared" si="146"/>
        <v>196.37811957788398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179.65041336511345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179.65041336511345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323.17232038705157</v>
      </c>
      <c r="T174" s="59">
        <f t="shared" si="142"/>
        <v>402.34685738619197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236.00000000000009</v>
      </c>
      <c r="AJ174" s="13">
        <f>AI174*VLOOKUP('Données projet'!$B$10,Paramètres!$A$1:$I$89,3,0)*VLOOKUP('Données projet'!$B$10,Paramètres!$A$1:$I$89,5,0)</f>
        <v>154.62720000000004</v>
      </c>
      <c r="AK174" s="13">
        <f t="shared" si="164"/>
        <v>39.62826685000794</v>
      </c>
      <c r="AL174" s="20">
        <f t="shared" si="165"/>
        <v>338.32827143043056</v>
      </c>
      <c r="AM174" s="59">
        <f t="shared" si="113"/>
        <v>631.66160476376388</v>
      </c>
      <c r="AN174" s="59">
        <f ca="1">AVERAGE(OFFSET($AM$3,0,0,'Données projet'!$E$10+1,1))-AVERAGE(OFFSET($H$3,0,0,'Données projet'!$E$10+1,1))</f>
        <v>263.30962868541337</v>
      </c>
      <c r="AO174" s="59">
        <f t="shared" si="144"/>
        <v>269.61868559913404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0.75002792741141655</v>
      </c>
      <c r="AV174" s="21">
        <f>EXP(-LN(2)/25)*AV173+(1-EXP(-LN(2)/25))/(LN(2)/25)*Calculateur!AQ174*Calculateur!AS174*VLOOKUP('Données projet'!$B$10,Paramètres!$A$1:$I$89,3,0)*0.475*44/12</f>
        <v>1.4736192768615219</v>
      </c>
      <c r="AW174" s="21">
        <f>EXP(-LN(2)/2)*AW173+(1-EXP(-LN(2)/2))/(LN(2)/2)*AQ174*AT174*VLOOKUP('Données projet'!$B$10,Paramètres!$A$1:$I$89,3,0)*0.475*44/12</f>
        <v>1.3783785375423536E-12</v>
      </c>
      <c r="AX174" s="21">
        <f t="shared" si="166"/>
        <v>2.2236472042743172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-8.5265128291212022E-13</v>
      </c>
      <c r="BE174" s="13">
        <f>BD174*VLOOKUP('Données projet'!$B$11,Paramètres!$A$1:$I$89,3,0)*VLOOKUP('Données projet'!$B$11,Paramètres!$A$1:$I$89,5,0)</f>
        <v>-7.7147888077888633E-13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496.45286557802063</v>
      </c>
      <c r="BJ174" s="59">
        <f t="shared" si="146"/>
        <v>196.37811957788398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176.12757833495601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176.12757833495601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323.17232038705157</v>
      </c>
      <c r="T175" s="59">
        <f t="shared" si="142"/>
        <v>402.34685738619197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236.00000000000009</v>
      </c>
      <c r="AJ175" s="13">
        <f>AI175*VLOOKUP('Données projet'!$B$10,Paramètres!$A$1:$I$89,3,0)*VLOOKUP('Données projet'!$B$10,Paramètres!$A$1:$I$89,5,0)</f>
        <v>154.62720000000004</v>
      </c>
      <c r="AK175" s="13">
        <f t="shared" si="164"/>
        <v>39.62826685000794</v>
      </c>
      <c r="AL175" s="20">
        <f t="shared" si="165"/>
        <v>338.32827143043056</v>
      </c>
      <c r="AM175" s="59">
        <f t="shared" si="113"/>
        <v>631.66160476376388</v>
      </c>
      <c r="AN175" s="59">
        <f ca="1">AVERAGE(OFFSET($AM$3,0,0,'Données projet'!$E$10+1,1))-AVERAGE(OFFSET($H$3,0,0,'Données projet'!$E$10+1,1))</f>
        <v>263.30962868541337</v>
      </c>
      <c r="AO175" s="59">
        <f t="shared" si="144"/>
        <v>269.61868559913404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0.73532033722674284</v>
      </c>
      <c r="AV175" s="21">
        <f>EXP(-LN(2)/25)*AV174+(1-EXP(-LN(2)/25))/(LN(2)/25)*Calculateur!AQ175*Calculateur!AS175*VLOOKUP('Données projet'!$B$10,Paramètres!$A$1:$I$89,3,0)*0.475*44/12</f>
        <v>1.4333230802414738</v>
      </c>
      <c r="AW175" s="21">
        <f>EXP(-LN(2)/2)*AW174+(1-EXP(-LN(2)/2))/(LN(2)/2)*AQ175*AT175*VLOOKUP('Données projet'!$B$10,Paramètres!$A$1:$I$89,3,0)*0.475*44/12</f>
        <v>9.7466081093819442E-13</v>
      </c>
      <c r="AX175" s="21">
        <f t="shared" si="166"/>
        <v>2.1686434174691915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-8.5265128291212022E-13</v>
      </c>
      <c r="BE175" s="13">
        <f>BD175*VLOOKUP('Données projet'!$B$11,Paramètres!$A$1:$I$89,3,0)*VLOOKUP('Données projet'!$B$11,Paramètres!$A$1:$I$89,5,0)</f>
        <v>-7.7147888077888633E-13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496.45286557802063</v>
      </c>
      <c r="BJ175" s="59">
        <f t="shared" si="146"/>
        <v>196.37811957788398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172.67382395102274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172.67382395102274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323.17232038705157</v>
      </c>
      <c r="T176" s="59">
        <f t="shared" si="142"/>
        <v>402.34685738619197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236.00000000000009</v>
      </c>
      <c r="AJ176" s="13">
        <f>AI176*VLOOKUP('Données projet'!$B$10,Paramètres!$A$1:$I$89,3,0)*VLOOKUP('Données projet'!$B$10,Paramètres!$A$1:$I$89,5,0)</f>
        <v>154.62720000000004</v>
      </c>
      <c r="AK176" s="13">
        <f t="shared" si="164"/>
        <v>39.62826685000794</v>
      </c>
      <c r="AL176" s="20">
        <f t="shared" si="165"/>
        <v>338.32827143043056</v>
      </c>
      <c r="AM176" s="59">
        <f t="shared" si="113"/>
        <v>631.66160476376388</v>
      </c>
      <c r="AN176" s="59">
        <f ca="1">AVERAGE(OFFSET($AM$3,0,0,'Données projet'!$E$10+1,1))-AVERAGE(OFFSET($H$3,0,0,'Données projet'!$E$10+1,1))</f>
        <v>263.30962868541337</v>
      </c>
      <c r="AO176" s="59">
        <f t="shared" si="144"/>
        <v>269.61868559913404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0.72090115391484633</v>
      </c>
      <c r="AV176" s="21">
        <f>EXP(-LN(2)/25)*AV175+(1-EXP(-LN(2)/25))/(LN(2)/25)*Calculateur!AQ176*Calculateur!AS176*VLOOKUP('Données projet'!$B$10,Paramètres!$A$1:$I$89,3,0)*0.475*44/12</f>
        <v>1.3941287852370858</v>
      </c>
      <c r="AW176" s="21">
        <f>EXP(-LN(2)/2)*AW175+(1-EXP(-LN(2)/2))/(LN(2)/2)*AQ176*AT176*VLOOKUP('Données projet'!$B$10,Paramètres!$A$1:$I$89,3,0)*0.475*44/12</f>
        <v>6.8918926877117681E-13</v>
      </c>
      <c r="AX176" s="21">
        <f t="shared" si="166"/>
        <v>2.1150299391526213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-8.5265128291212022E-13</v>
      </c>
      <c r="BE176" s="13">
        <f>BD176*VLOOKUP('Données projet'!$B$11,Paramètres!$A$1:$I$89,3,0)*VLOOKUP('Données projet'!$B$11,Paramètres!$A$1:$I$89,5,0)</f>
        <v>-7.7147888077888633E-13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496.45286557802063</v>
      </c>
      <c r="BJ176" s="59">
        <f t="shared" si="146"/>
        <v>196.37811957788398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169.28779558397625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169.28779558397625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323.17232038705157</v>
      </c>
      <c r="T177" s="59">
        <f t="shared" si="142"/>
        <v>402.34685738619197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236.00000000000009</v>
      </c>
      <c r="AJ177" s="13">
        <f>AI177*VLOOKUP('Données projet'!$B$10,Paramètres!$A$1:$I$89,3,0)*VLOOKUP('Données projet'!$B$10,Paramètres!$A$1:$I$89,5,0)</f>
        <v>154.62720000000004</v>
      </c>
      <c r="AK177" s="13">
        <f t="shared" si="164"/>
        <v>39.62826685000794</v>
      </c>
      <c r="AL177" s="20">
        <f t="shared" si="165"/>
        <v>338.32827143043056</v>
      </c>
      <c r="AM177" s="59">
        <f t="shared" si="113"/>
        <v>631.66160476376388</v>
      </c>
      <c r="AN177" s="59">
        <f ca="1">AVERAGE(OFFSET($AM$3,0,0,'Données projet'!$E$10+1,1))-AVERAGE(OFFSET($H$3,0,0,'Données projet'!$E$10+1,1))</f>
        <v>263.30962868541337</v>
      </c>
      <c r="AO177" s="59">
        <f t="shared" si="144"/>
        <v>269.61868559913404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0.70676472199286267</v>
      </c>
      <c r="AV177" s="21">
        <f>EXP(-LN(2)/25)*AV176+(1-EXP(-LN(2)/25))/(LN(2)/25)*Calculateur!AQ177*Calculateur!AS177*VLOOKUP('Données projet'!$B$10,Paramètres!$A$1:$I$89,3,0)*0.475*44/12</f>
        <v>1.3560062602907312</v>
      </c>
      <c r="AW177" s="21">
        <f>EXP(-LN(2)/2)*AW176+(1-EXP(-LN(2)/2))/(LN(2)/2)*AQ177*AT177*VLOOKUP('Données projet'!$B$10,Paramètres!$A$1:$I$89,3,0)*0.475*44/12</f>
        <v>4.8733040546909721E-13</v>
      </c>
      <c r="AX177" s="21">
        <f t="shared" si="166"/>
        <v>2.0627709822840812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-8.5265128291212022E-13</v>
      </c>
      <c r="BE177" s="13">
        <f>BD177*VLOOKUP('Données projet'!$B$11,Paramètres!$A$1:$I$89,3,0)*VLOOKUP('Données projet'!$B$11,Paramètres!$A$1:$I$89,5,0)</f>
        <v>-7.7147888077888633E-13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496.45286557802063</v>
      </c>
      <c r="BJ177" s="59">
        <f t="shared" si="146"/>
        <v>196.37811957788398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165.96816516793416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165.96816516793416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323.17232038705157</v>
      </c>
      <c r="T178" s="59">
        <f t="shared" si="142"/>
        <v>402.34685738619197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236.00000000000009</v>
      </c>
      <c r="AJ178" s="13">
        <f>AI178*VLOOKUP('Données projet'!$B$10,Paramètres!$A$1:$I$89,3,0)*VLOOKUP('Données projet'!$B$10,Paramètres!$A$1:$I$89,5,0)</f>
        <v>154.62720000000004</v>
      </c>
      <c r="AK178" s="13">
        <f t="shared" si="164"/>
        <v>39.62826685000794</v>
      </c>
      <c r="AL178" s="20">
        <f t="shared" si="165"/>
        <v>338.32827143043056</v>
      </c>
      <c r="AM178" s="59">
        <f t="shared" si="113"/>
        <v>631.66160476376388</v>
      </c>
      <c r="AN178" s="59">
        <f ca="1">AVERAGE(OFFSET($AM$3,0,0,'Données projet'!$E$10+1,1))-AVERAGE(OFFSET($H$3,0,0,'Données projet'!$E$10+1,1))</f>
        <v>263.30962868541337</v>
      </c>
      <c r="AO178" s="59">
        <f t="shared" si="144"/>
        <v>269.61868559913404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0.69290549687849701</v>
      </c>
      <c r="AV178" s="21">
        <f>EXP(-LN(2)/25)*AV177+(1-EXP(-LN(2)/25))/(LN(2)/25)*Calculateur!AQ178*Calculateur!AS178*VLOOKUP('Données projet'!$B$10,Paramètres!$A$1:$I$89,3,0)*0.475*44/12</f>
        <v>1.3189261977938112</v>
      </c>
      <c r="AW178" s="21">
        <f>EXP(-LN(2)/2)*AW177+(1-EXP(-LN(2)/2))/(LN(2)/2)*AQ178*AT178*VLOOKUP('Données projet'!$B$10,Paramètres!$A$1:$I$89,3,0)*0.475*44/12</f>
        <v>3.445946343855884E-13</v>
      </c>
      <c r="AX178" s="21">
        <f t="shared" si="166"/>
        <v>2.0118316946726527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-8.5265128291212022E-13</v>
      </c>
      <c r="BE178" s="13">
        <f>BD178*VLOOKUP('Données projet'!$B$11,Paramètres!$A$1:$I$89,3,0)*VLOOKUP('Données projet'!$B$11,Paramètres!$A$1:$I$89,5,0)</f>
        <v>-7.7147888077888633E-13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496.45286557802063</v>
      </c>
      <c r="BJ178" s="59">
        <f t="shared" si="146"/>
        <v>196.37811957788398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162.71363067957603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162.71363067957603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323.17232038705157</v>
      </c>
      <c r="T179" s="59">
        <f t="shared" si="142"/>
        <v>402.34685738619197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236.00000000000009</v>
      </c>
      <c r="AJ179" s="13">
        <f>AI179*VLOOKUP('Données projet'!$B$10,Paramètres!$A$1:$I$89,3,0)*VLOOKUP('Données projet'!$B$10,Paramètres!$A$1:$I$89,5,0)</f>
        <v>154.62720000000004</v>
      </c>
      <c r="AK179" s="13">
        <f t="shared" si="164"/>
        <v>39.62826685000794</v>
      </c>
      <c r="AL179" s="20">
        <f t="shared" si="165"/>
        <v>338.32827143043056</v>
      </c>
      <c r="AM179" s="59">
        <f t="shared" si="113"/>
        <v>631.66160476376388</v>
      </c>
      <c r="AN179" s="59">
        <f ca="1">AVERAGE(OFFSET($AM$3,0,0,'Données projet'!$E$10+1,1))-AVERAGE(OFFSET($H$3,0,0,'Données projet'!$E$10+1,1))</f>
        <v>263.30962868541337</v>
      </c>
      <c r="AO179" s="59">
        <f t="shared" si="144"/>
        <v>269.61868559913404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0.67931804271533147</v>
      </c>
      <c r="AV179" s="21">
        <f>EXP(-LN(2)/25)*AV178+(1-EXP(-LN(2)/25))/(LN(2)/25)*Calculateur!AQ179*Calculateur!AS179*VLOOKUP('Données projet'!$B$10,Paramètres!$A$1:$I$89,3,0)*0.475*44/12</f>
        <v>1.282860091555825</v>
      </c>
      <c r="AW179" s="21">
        <f>EXP(-LN(2)/2)*AW178+(1-EXP(-LN(2)/2))/(LN(2)/2)*AQ179*AT179*VLOOKUP('Données projet'!$B$10,Paramètres!$A$1:$I$89,3,0)*0.475*44/12</f>
        <v>2.4366520273454861E-13</v>
      </c>
      <c r="AX179" s="21">
        <f t="shared" si="166"/>
        <v>1.9621781342714002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-8.5265128291212022E-13</v>
      </c>
      <c r="BE179" s="13">
        <f>BD179*VLOOKUP('Données projet'!$B$11,Paramètres!$A$1:$I$89,3,0)*VLOOKUP('Données projet'!$B$11,Paramètres!$A$1:$I$89,5,0)</f>
        <v>-7.7147888077888633E-13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496.45286557802063</v>
      </c>
      <c r="BJ179" s="59">
        <f t="shared" si="146"/>
        <v>196.37811957788398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159.52291562746458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159.52291562746458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323.17232038705157</v>
      </c>
      <c r="T180" s="59">
        <f t="shared" si="142"/>
        <v>402.34685738619197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236.00000000000009</v>
      </c>
      <c r="AJ180" s="13">
        <f>AI180*VLOOKUP('Données projet'!$B$10,Paramètres!$A$1:$I$89,3,0)*VLOOKUP('Données projet'!$B$10,Paramètres!$A$1:$I$89,5,0)</f>
        <v>154.62720000000004</v>
      </c>
      <c r="AK180" s="13">
        <f t="shared" si="164"/>
        <v>39.62826685000794</v>
      </c>
      <c r="AL180" s="20">
        <f t="shared" si="165"/>
        <v>338.32827143043056</v>
      </c>
      <c r="AM180" s="59">
        <f t="shared" si="113"/>
        <v>631.66160476376388</v>
      </c>
      <c r="AN180" s="59">
        <f ca="1">AVERAGE(OFFSET($AM$3,0,0,'Données projet'!$E$10+1,1))-AVERAGE(OFFSET($H$3,0,0,'Données projet'!$E$10+1,1))</f>
        <v>263.30962868541337</v>
      </c>
      <c r="AO180" s="59">
        <f t="shared" si="144"/>
        <v>269.61868559913404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0.66599703024077694</v>
      </c>
      <c r="AV180" s="21">
        <f>EXP(-LN(2)/25)*AV179+(1-EXP(-LN(2)/25))/(LN(2)/25)*Calculateur!AQ180*Calculateur!AS180*VLOOKUP('Données projet'!$B$10,Paramètres!$A$1:$I$89,3,0)*0.475*44/12</f>
        <v>1.2477802148895507</v>
      </c>
      <c r="AW180" s="21">
        <f>EXP(-LN(2)/2)*AW179+(1-EXP(-LN(2)/2))/(LN(2)/2)*AQ180*AT180*VLOOKUP('Données projet'!$B$10,Paramètres!$A$1:$I$89,3,0)*0.475*44/12</f>
        <v>1.722973171927942E-13</v>
      </c>
      <c r="AX180" s="21">
        <f t="shared" si="166"/>
        <v>1.9137772451305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-8.5265128291212022E-13</v>
      </c>
      <c r="BE180" s="13">
        <f>BD180*VLOOKUP('Données projet'!$B$11,Paramètres!$A$1:$I$89,3,0)*VLOOKUP('Données projet'!$B$11,Paramètres!$A$1:$I$89,5,0)</f>
        <v>-7.7147888077888633E-13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496.45286557802063</v>
      </c>
      <c r="BJ180" s="59">
        <f t="shared" si="146"/>
        <v>196.37811957788398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156.39476855138102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156.39476855138102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323.17232038705157</v>
      </c>
      <c r="T181" s="59">
        <f t="shared" si="142"/>
        <v>402.34685738619197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236.00000000000009</v>
      </c>
      <c r="AJ181" s="13">
        <f>AI181*VLOOKUP('Données projet'!$B$10,Paramètres!$A$1:$I$89,3,0)*VLOOKUP('Données projet'!$B$10,Paramètres!$A$1:$I$89,5,0)</f>
        <v>154.62720000000004</v>
      </c>
      <c r="AK181" s="13">
        <f t="shared" si="164"/>
        <v>39.62826685000794</v>
      </c>
      <c r="AL181" s="20">
        <f t="shared" si="165"/>
        <v>338.32827143043056</v>
      </c>
      <c r="AM181" s="59">
        <f t="shared" si="113"/>
        <v>631.66160476376388</v>
      </c>
      <c r="AN181" s="59">
        <f ca="1">AVERAGE(OFFSET($AM$3,0,0,'Données projet'!$E$10+1,1))-AVERAGE(OFFSET($H$3,0,0,'Données projet'!$E$10+1,1))</f>
        <v>263.30962868541337</v>
      </c>
      <c r="AO181" s="59">
        <f t="shared" si="144"/>
        <v>269.61868559913404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0.65293723469583309</v>
      </c>
      <c r="AV181" s="21">
        <f>EXP(-LN(2)/25)*AV180+(1-EXP(-LN(2)/25))/(LN(2)/25)*Calculateur!AQ181*Calculateur!AS181*VLOOKUP('Données projet'!$B$10,Paramètres!$A$1:$I$89,3,0)*0.475*44/12</f>
        <v>1.2136595992954864</v>
      </c>
      <c r="AW181" s="21">
        <f>EXP(-LN(2)/2)*AW180+(1-EXP(-LN(2)/2))/(LN(2)/2)*AQ181*AT181*VLOOKUP('Données projet'!$B$10,Paramètres!$A$1:$I$89,3,0)*0.475*44/12</f>
        <v>1.218326013672743E-13</v>
      </c>
      <c r="AX181" s="21">
        <f t="shared" si="166"/>
        <v>1.8665968339914414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-8.5265128291212022E-13</v>
      </c>
      <c r="BE181" s="13">
        <f>BD181*VLOOKUP('Données projet'!$B$11,Paramètres!$A$1:$I$89,3,0)*VLOOKUP('Données projet'!$B$11,Paramètres!$A$1:$I$89,5,0)</f>
        <v>-7.7147888077888633E-13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496.45286557802063</v>
      </c>
      <c r="BJ181" s="59">
        <f t="shared" si="146"/>
        <v>196.37811957788398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153.32796253147814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153.32796253147814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323.17232038705157</v>
      </c>
      <c r="T182" s="59">
        <f t="shared" si="142"/>
        <v>402.34685738619197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236.00000000000009</v>
      </c>
      <c r="AJ182" s="13">
        <f>AI182*VLOOKUP('Données projet'!$B$10,Paramètres!$A$1:$I$89,3,0)*VLOOKUP('Données projet'!$B$10,Paramètres!$A$1:$I$89,5,0)</f>
        <v>154.62720000000004</v>
      </c>
      <c r="AK182" s="13">
        <f t="shared" si="164"/>
        <v>39.62826685000794</v>
      </c>
      <c r="AL182" s="20">
        <f t="shared" si="165"/>
        <v>338.32827143043056</v>
      </c>
      <c r="AM182" s="59">
        <f t="shared" si="113"/>
        <v>631.66160476376388</v>
      </c>
      <c r="AN182" s="59">
        <f ca="1">AVERAGE(OFFSET($AM$3,0,0,'Données projet'!$E$10+1,1))-AVERAGE(OFFSET($H$3,0,0,'Données projet'!$E$10+1,1))</f>
        <v>263.30962868541337</v>
      </c>
      <c r="AO182" s="59">
        <f t="shared" si="144"/>
        <v>269.61868559913404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0.64013353377583682</v>
      </c>
      <c r="AV182" s="21">
        <f>EXP(-LN(2)/25)*AV181+(1-EXP(-LN(2)/25))/(LN(2)/25)*Calculateur!AQ182*Calculateur!AS182*VLOOKUP('Données projet'!$B$10,Paramètres!$A$1:$I$89,3,0)*0.475*44/12</f>
        <v>1.1804720137291669</v>
      </c>
      <c r="AW182" s="21">
        <f>EXP(-LN(2)/2)*AW181+(1-EXP(-LN(2)/2))/(LN(2)/2)*AQ182*AT182*VLOOKUP('Données projet'!$B$10,Paramètres!$A$1:$I$89,3,0)*0.475*44/12</f>
        <v>8.6148658596397101E-14</v>
      </c>
      <c r="AX182" s="21">
        <f t="shared" si="166"/>
        <v>1.8206055475050897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-8.5265128291212022E-13</v>
      </c>
      <c r="BE182" s="13">
        <f>BD182*VLOOKUP('Données projet'!$B$11,Paramètres!$A$1:$I$89,3,0)*VLOOKUP('Données projet'!$B$11,Paramètres!$A$1:$I$89,5,0)</f>
        <v>-7.7147888077888633E-13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496.45286557802063</v>
      </c>
      <c r="BJ182" s="59">
        <f t="shared" si="146"/>
        <v>196.37811957788398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150.32129470705857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150.32129470705857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323.17232038705157</v>
      </c>
      <c r="T183" s="59">
        <f t="shared" si="142"/>
        <v>402.34685738619197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236.00000000000009</v>
      </c>
      <c r="AJ183" s="13">
        <f>AI183*VLOOKUP('Données projet'!$B$10,Paramètres!$A$1:$I$89,3,0)*VLOOKUP('Données projet'!$B$10,Paramètres!$A$1:$I$89,5,0)</f>
        <v>154.62720000000004</v>
      </c>
      <c r="AK183" s="13">
        <f t="shared" si="164"/>
        <v>39.62826685000794</v>
      </c>
      <c r="AL183" s="20">
        <f t="shared" si="165"/>
        <v>338.32827143043056</v>
      </c>
      <c r="AM183" s="59">
        <f t="shared" si="113"/>
        <v>631.66160476376388</v>
      </c>
      <c r="AN183" s="59">
        <f ca="1">AVERAGE(OFFSET($AM$3,0,0,'Données projet'!$E$10+1,1))-AVERAGE(OFFSET($H$3,0,0,'Données projet'!$E$10+1,1))</f>
        <v>263.30962868541337</v>
      </c>
      <c r="AO183" s="59">
        <f t="shared" si="144"/>
        <v>269.61868559913404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0.62758090562139524</v>
      </c>
      <c r="AV183" s="21">
        <f>EXP(-LN(2)/25)*AV182+(1-EXP(-LN(2)/25))/(LN(2)/25)*Calculateur!AQ183*Calculateur!AS183*VLOOKUP('Données projet'!$B$10,Paramètres!$A$1:$I$89,3,0)*0.475*44/12</f>
        <v>1.1481919444354176</v>
      </c>
      <c r="AW183" s="21">
        <f>EXP(-LN(2)/2)*AW182+(1-EXP(-LN(2)/2))/(LN(2)/2)*AQ183*AT183*VLOOKUP('Données projet'!$B$10,Paramètres!$A$1:$I$89,3,0)*0.475*44/12</f>
        <v>6.0916300683637151E-14</v>
      </c>
      <c r="AX183" s="21">
        <f t="shared" si="166"/>
        <v>1.7757728500568737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-8.5265128291212022E-13</v>
      </c>
      <c r="BE183" s="13">
        <f>BD183*VLOOKUP('Données projet'!$B$11,Paramètres!$A$1:$I$89,3,0)*VLOOKUP('Données projet'!$B$11,Paramètres!$A$1:$I$89,5,0)</f>
        <v>-7.7147888077888633E-13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496.45286557802063</v>
      </c>
      <c r="BJ183" s="59">
        <f t="shared" si="146"/>
        <v>196.37811957788398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147.3735858047896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147.3735858047896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323.17232038705157</v>
      </c>
      <c r="T184" s="59">
        <f t="shared" si="142"/>
        <v>402.34685738619197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236.00000000000009</v>
      </c>
      <c r="AJ184" s="13">
        <f>AI184*VLOOKUP('Données projet'!$B$10,Paramètres!$A$1:$I$89,3,0)*VLOOKUP('Données projet'!$B$10,Paramètres!$A$1:$I$89,5,0)</f>
        <v>154.62720000000004</v>
      </c>
      <c r="AK184" s="13">
        <f t="shared" si="164"/>
        <v>39.62826685000794</v>
      </c>
      <c r="AL184" s="20">
        <f t="shared" si="165"/>
        <v>338.32827143043056</v>
      </c>
      <c r="AM184" s="59">
        <f t="shared" si="113"/>
        <v>631.66160476376388</v>
      </c>
      <c r="AN184" s="59">
        <f ca="1">AVERAGE(OFFSET($AM$3,0,0,'Données projet'!$E$10+1,1))-AVERAGE(OFFSET($H$3,0,0,'Données projet'!$E$10+1,1))</f>
        <v>263.30962868541337</v>
      </c>
      <c r="AO184" s="59">
        <f t="shared" si="144"/>
        <v>269.61868559913404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0.61527442684871503</v>
      </c>
      <c r="AV184" s="21">
        <f>EXP(-LN(2)/25)*AV183+(1-EXP(-LN(2)/25))/(LN(2)/25)*Calculateur!AQ184*Calculateur!AS184*VLOOKUP('Données projet'!$B$10,Paramètres!$A$1:$I$89,3,0)*0.475*44/12</f>
        <v>1.1167945753340409</v>
      </c>
      <c r="AW184" s="21">
        <f>EXP(-LN(2)/2)*AW183+(1-EXP(-LN(2)/2))/(LN(2)/2)*AQ184*AT184*VLOOKUP('Données projet'!$B$10,Paramètres!$A$1:$I$89,3,0)*0.475*44/12</f>
        <v>4.3074329298198551E-14</v>
      </c>
      <c r="AX184" s="21">
        <f t="shared" si="166"/>
        <v>1.7320690021827989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-8.5265128291212022E-13</v>
      </c>
      <c r="BE184" s="13">
        <f>BD184*VLOOKUP('Données projet'!$B$11,Paramètres!$A$1:$I$89,3,0)*VLOOKUP('Données projet'!$B$11,Paramètres!$A$1:$I$89,5,0)</f>
        <v>-7.7147888077888633E-13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496.45286557802063</v>
      </c>
      <c r="BJ184" s="59">
        <f t="shared" si="146"/>
        <v>196.37811957788398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144.4836796761692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144.4836796761692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323.17232038705157</v>
      </c>
      <c r="T185" s="59">
        <f t="shared" si="142"/>
        <v>402.34685738619197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236.00000000000009</v>
      </c>
      <c r="AJ185" s="13">
        <f>AI185*VLOOKUP('Données projet'!$B$10,Paramètres!$A$1:$I$89,3,0)*VLOOKUP('Données projet'!$B$10,Paramètres!$A$1:$I$89,5,0)</f>
        <v>154.62720000000004</v>
      </c>
      <c r="AK185" s="13">
        <f t="shared" si="164"/>
        <v>39.62826685000794</v>
      </c>
      <c r="AL185" s="20">
        <f t="shared" si="165"/>
        <v>338.32827143043056</v>
      </c>
      <c r="AM185" s="59">
        <f t="shared" si="113"/>
        <v>631.66160476376388</v>
      </c>
      <c r="AN185" s="59">
        <f ca="1">AVERAGE(OFFSET($AM$3,0,0,'Données projet'!$E$10+1,1))-AVERAGE(OFFSET($H$3,0,0,'Données projet'!$E$10+1,1))</f>
        <v>263.30962868541337</v>
      </c>
      <c r="AO185" s="59">
        <f t="shared" si="144"/>
        <v>269.61868559913404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0.60320927061855623</v>
      </c>
      <c r="AV185" s="21">
        <f>EXP(-LN(2)/25)*AV184+(1-EXP(-LN(2)/25))/(LN(2)/25)*Calculateur!AQ185*Calculateur!AS185*VLOOKUP('Données projet'!$B$10,Paramètres!$A$1:$I$89,3,0)*0.475*44/12</f>
        <v>1.0862557689418573</v>
      </c>
      <c r="AW185" s="21">
        <f>EXP(-LN(2)/2)*AW184+(1-EXP(-LN(2)/2))/(LN(2)/2)*AQ185*AT185*VLOOKUP('Données projet'!$B$10,Paramètres!$A$1:$I$89,3,0)*0.475*44/12</f>
        <v>3.0458150341818576E-14</v>
      </c>
      <c r="AX185" s="21">
        <f t="shared" si="166"/>
        <v>1.6894650395604438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-8.5265128291212022E-13</v>
      </c>
      <c r="BE185" s="13">
        <f>BD185*VLOOKUP('Données projet'!$B$11,Paramètres!$A$1:$I$89,3,0)*VLOOKUP('Données projet'!$B$11,Paramètres!$A$1:$I$89,5,0)</f>
        <v>-7.7147888077888633E-13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496.45286557802063</v>
      </c>
      <c r="BJ185" s="59">
        <f t="shared" si="146"/>
        <v>196.37811957788398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141.65044284406238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141.65044284406238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323.17232038705157</v>
      </c>
      <c r="T186" s="59">
        <f t="shared" si="142"/>
        <v>402.34685738619197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236.00000000000009</v>
      </c>
      <c r="AJ186" s="13">
        <f>AI186*VLOOKUP('Données projet'!$B$10,Paramètres!$A$1:$I$89,3,0)*VLOOKUP('Données projet'!$B$10,Paramètres!$A$1:$I$89,5,0)</f>
        <v>154.62720000000004</v>
      </c>
      <c r="AK186" s="13">
        <f t="shared" si="164"/>
        <v>39.62826685000794</v>
      </c>
      <c r="AL186" s="20">
        <f t="shared" si="165"/>
        <v>338.32827143043056</v>
      </c>
      <c r="AM186" s="59">
        <f t="shared" si="113"/>
        <v>631.66160476376388</v>
      </c>
      <c r="AN186" s="59">
        <f ca="1">AVERAGE(OFFSET($AM$3,0,0,'Données projet'!$E$10+1,1))-AVERAGE(OFFSET($H$3,0,0,'Données projet'!$E$10+1,1))</f>
        <v>263.30962868541337</v>
      </c>
      <c r="AO186" s="59">
        <f t="shared" si="144"/>
        <v>269.61868559913404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0.59138070474305215</v>
      </c>
      <c r="AV186" s="21">
        <f>EXP(-LN(2)/25)*AV185+(1-EXP(-LN(2)/25))/(LN(2)/25)*Calculateur!AQ186*Calculateur!AS186*VLOOKUP('Données projet'!$B$10,Paramètres!$A$1:$I$89,3,0)*0.475*44/12</f>
        <v>1.0565520478164339</v>
      </c>
      <c r="AW186" s="21">
        <f>EXP(-LN(2)/2)*AW185+(1-EXP(-LN(2)/2))/(LN(2)/2)*AQ186*AT186*VLOOKUP('Données projet'!$B$10,Paramètres!$A$1:$I$89,3,0)*0.475*44/12</f>
        <v>2.1537164649099275E-14</v>
      </c>
      <c r="AX186" s="21">
        <f t="shared" si="166"/>
        <v>1.6479327525595076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-8.5265128291212022E-13</v>
      </c>
      <c r="BE186" s="13">
        <f>BD186*VLOOKUP('Données projet'!$B$11,Paramètres!$A$1:$I$89,3,0)*VLOOKUP('Données projet'!$B$11,Paramètres!$A$1:$I$89,5,0)</f>
        <v>-7.7147888077888633E-13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496.45286557802063</v>
      </c>
      <c r="BJ186" s="59">
        <f t="shared" si="146"/>
        <v>196.37811957788398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138.87276405812935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138.87276405812935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323.17232038705157</v>
      </c>
      <c r="T187" s="59">
        <f t="shared" si="142"/>
        <v>402.34685738619197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236.00000000000009</v>
      </c>
      <c r="AJ187" s="13">
        <f>AI187*VLOOKUP('Données projet'!$B$10,Paramètres!$A$1:$I$89,3,0)*VLOOKUP('Données projet'!$B$10,Paramètres!$A$1:$I$89,5,0)</f>
        <v>154.62720000000004</v>
      </c>
      <c r="AK187" s="13">
        <f t="shared" si="164"/>
        <v>39.62826685000794</v>
      </c>
      <c r="AL187" s="20">
        <f t="shared" si="165"/>
        <v>338.32827143043056</v>
      </c>
      <c r="AM187" s="59">
        <f t="shared" si="113"/>
        <v>631.66160476376388</v>
      </c>
      <c r="AN187" s="59">
        <f ca="1">AVERAGE(OFFSET($AM$3,0,0,'Données projet'!$E$10+1,1))-AVERAGE(OFFSET($H$3,0,0,'Données projet'!$E$10+1,1))</f>
        <v>263.30962868541337</v>
      </c>
      <c r="AO187" s="59">
        <f t="shared" si="144"/>
        <v>269.61868559913404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0.57978408982965401</v>
      </c>
      <c r="AV187" s="21">
        <f>EXP(-LN(2)/25)*AV186+(1-EXP(-LN(2)/25))/(LN(2)/25)*Calculateur!AQ187*Calculateur!AS187*VLOOKUP('Données projet'!$B$10,Paramètres!$A$1:$I$89,3,0)*0.475*44/12</f>
        <v>1.027660576507236</v>
      </c>
      <c r="AW187" s="21">
        <f>EXP(-LN(2)/2)*AW186+(1-EXP(-LN(2)/2))/(LN(2)/2)*AQ187*AT187*VLOOKUP('Données projet'!$B$10,Paramètres!$A$1:$I$89,3,0)*0.475*44/12</f>
        <v>1.5229075170909288E-14</v>
      </c>
      <c r="AX187" s="21">
        <f t="shared" si="166"/>
        <v>1.6074446663369053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-8.5265128291212022E-13</v>
      </c>
      <c r="BE187" s="13">
        <f>BD187*VLOOKUP('Données projet'!$B$11,Paramètres!$A$1:$I$89,3,0)*VLOOKUP('Données projet'!$B$11,Paramètres!$A$1:$I$89,5,0)</f>
        <v>-7.7147888077888633E-13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496.45286557802063</v>
      </c>
      <c r="BJ187" s="59">
        <f t="shared" si="146"/>
        <v>196.37811957788398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136.14955385897167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136.14955385897167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323.17232038705157</v>
      </c>
      <c r="T188" s="59">
        <f t="shared" si="142"/>
        <v>402.34685738619197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236.00000000000009</v>
      </c>
      <c r="AJ188" s="13">
        <f>AI188*VLOOKUP('Données projet'!$B$10,Paramètres!$A$1:$I$89,3,0)*VLOOKUP('Données projet'!$B$10,Paramètres!$A$1:$I$89,5,0)</f>
        <v>154.62720000000004</v>
      </c>
      <c r="AK188" s="13">
        <f t="shared" si="164"/>
        <v>39.62826685000794</v>
      </c>
      <c r="AL188" s="20">
        <f t="shared" si="165"/>
        <v>338.32827143043056</v>
      </c>
      <c r="AM188" s="59">
        <f t="shared" si="113"/>
        <v>631.66160476376388</v>
      </c>
      <c r="AN188" s="59">
        <f ca="1">AVERAGE(OFFSET($AM$3,0,0,'Données projet'!$E$10+1,1))-AVERAGE(OFFSET($H$3,0,0,'Données projet'!$E$10+1,1))</f>
        <v>263.30962868541337</v>
      </c>
      <c r="AO188" s="59">
        <f t="shared" si="144"/>
        <v>269.61868559913404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0.5684148774614709</v>
      </c>
      <c r="AV188" s="21">
        <f>EXP(-LN(2)/25)*AV187+(1-EXP(-LN(2)/25))/(LN(2)/25)*Calculateur!AQ188*Calculateur!AS188*VLOOKUP('Données projet'!$B$10,Paramètres!$A$1:$I$89,3,0)*0.475*44/12</f>
        <v>0.99955914400032464</v>
      </c>
      <c r="AW188" s="21">
        <f>EXP(-LN(2)/2)*AW187+(1-EXP(-LN(2)/2))/(LN(2)/2)*AQ188*AT188*VLOOKUP('Données projet'!$B$10,Paramètres!$A$1:$I$89,3,0)*0.475*44/12</f>
        <v>1.0768582324549638E-14</v>
      </c>
      <c r="AX188" s="21">
        <f t="shared" si="166"/>
        <v>1.5679740214618061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-8.5265128291212022E-13</v>
      </c>
      <c r="BE188" s="13">
        <f>BD188*VLOOKUP('Données projet'!$B$11,Paramètres!$A$1:$I$89,3,0)*VLOOKUP('Données projet'!$B$11,Paramètres!$A$1:$I$89,5,0)</f>
        <v>-7.7147888077888633E-13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496.45286557802063</v>
      </c>
      <c r="BJ188" s="59">
        <f t="shared" si="146"/>
        <v>196.37811957788398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133.47974415082527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133.47974415082527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323.17232038705157</v>
      </c>
      <c r="T189" s="59">
        <f t="shared" si="142"/>
        <v>402.34685738619197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236.00000000000009</v>
      </c>
      <c r="AJ189" s="13">
        <f>AI189*VLOOKUP('Données projet'!$B$10,Paramètres!$A$1:$I$89,3,0)*VLOOKUP('Données projet'!$B$10,Paramètres!$A$1:$I$89,5,0)</f>
        <v>154.62720000000004</v>
      </c>
      <c r="AK189" s="13">
        <f t="shared" si="164"/>
        <v>39.62826685000794</v>
      </c>
      <c r="AL189" s="20">
        <f t="shared" si="165"/>
        <v>338.32827143043056</v>
      </c>
      <c r="AM189" s="59">
        <f t="shared" si="113"/>
        <v>631.66160476376388</v>
      </c>
      <c r="AN189" s="59">
        <f ca="1">AVERAGE(OFFSET($AM$3,0,0,'Données projet'!$E$10+1,1))-AVERAGE(OFFSET($H$3,0,0,'Données projet'!$E$10+1,1))</f>
        <v>263.30962868541337</v>
      </c>
      <c r="AO189" s="59">
        <f t="shared" si="144"/>
        <v>269.61868559913404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0.55726860841329307</v>
      </c>
      <c r="AV189" s="21">
        <f>EXP(-LN(2)/25)*AV188+(1-EXP(-LN(2)/25))/(LN(2)/25)*Calculateur!AQ189*Calculateur!AS189*VLOOKUP('Données projet'!$B$10,Paramètres!$A$1:$I$89,3,0)*0.475*44/12</f>
        <v>0.97222614664310492</v>
      </c>
      <c r="AW189" s="21">
        <f>EXP(-LN(2)/2)*AW188+(1-EXP(-LN(2)/2))/(LN(2)/2)*AQ189*AT189*VLOOKUP('Données projet'!$B$10,Paramètres!$A$1:$I$89,3,0)*0.475*44/12</f>
        <v>7.6145375854546439E-15</v>
      </c>
      <c r="AX189" s="21">
        <f t="shared" si="166"/>
        <v>1.5294947550564055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-8.5265128291212022E-13</v>
      </c>
      <c r="BE189" s="13">
        <f>BD189*VLOOKUP('Données projet'!$B$11,Paramètres!$A$1:$I$89,3,0)*VLOOKUP('Données projet'!$B$11,Paramètres!$A$1:$I$89,5,0)</f>
        <v>-7.7147888077888633E-13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496.45286557802063</v>
      </c>
      <c r="BJ189" s="59">
        <f t="shared" si="146"/>
        <v>196.37811957788398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130.86228778263251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130.86228778263251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323.17232038705157</v>
      </c>
      <c r="T190" s="59">
        <f t="shared" si="142"/>
        <v>402.34685738619197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236.00000000000009</v>
      </c>
      <c r="AJ190" s="13">
        <f>AI190*VLOOKUP('Données projet'!$B$10,Paramètres!$A$1:$I$89,3,0)*VLOOKUP('Données projet'!$B$10,Paramètres!$A$1:$I$89,5,0)</f>
        <v>154.62720000000004</v>
      </c>
      <c r="AK190" s="13">
        <f t="shared" si="164"/>
        <v>39.62826685000794</v>
      </c>
      <c r="AL190" s="20">
        <f t="shared" si="165"/>
        <v>338.32827143043056</v>
      </c>
      <c r="AM190" s="59">
        <f t="shared" si="113"/>
        <v>631.66160476376388</v>
      </c>
      <c r="AN190" s="59">
        <f ca="1">AVERAGE(OFFSET($AM$3,0,0,'Données projet'!$E$10+1,1))-AVERAGE(OFFSET($H$3,0,0,'Données projet'!$E$10+1,1))</f>
        <v>263.30962868541337</v>
      </c>
      <c r="AO190" s="59">
        <f t="shared" si="144"/>
        <v>269.61868559913404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0.54634091090259718</v>
      </c>
      <c r="AV190" s="21">
        <f>EXP(-LN(2)/25)*AV189+(1-EXP(-LN(2)/25))/(LN(2)/25)*Calculateur!AQ190*Calculateur!AS190*VLOOKUP('Données projet'!$B$10,Paramètres!$A$1:$I$89,3,0)*0.475*44/12</f>
        <v>0.94564057153599823</v>
      </c>
      <c r="AW190" s="21">
        <f>EXP(-LN(2)/2)*AW189+(1-EXP(-LN(2)/2))/(LN(2)/2)*AQ190*AT190*VLOOKUP('Données projet'!$B$10,Paramètres!$A$1:$I$89,3,0)*0.475*44/12</f>
        <v>5.3842911622748188E-15</v>
      </c>
      <c r="AX190" s="21">
        <f t="shared" si="166"/>
        <v>1.4919814824386006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-8.5265128291212022E-13</v>
      </c>
      <c r="BE190" s="13">
        <f>BD190*VLOOKUP('Données projet'!$B$11,Paramètres!$A$1:$I$89,3,0)*VLOOKUP('Données projet'!$B$11,Paramètres!$A$1:$I$89,5,0)</f>
        <v>-7.7147888077888633E-13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496.45286557802063</v>
      </c>
      <c r="BJ190" s="59">
        <f t="shared" si="146"/>
        <v>196.37811957788398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128.29615813732926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128.29615813732926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323.17232038705157</v>
      </c>
      <c r="T191" s="59">
        <f t="shared" si="142"/>
        <v>402.34685738619197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236.00000000000009</v>
      </c>
      <c r="AJ191" s="13">
        <f>AI191*VLOOKUP('Données projet'!$B$10,Paramètres!$A$1:$I$89,3,0)*VLOOKUP('Données projet'!$B$10,Paramètres!$A$1:$I$89,5,0)</f>
        <v>154.62720000000004</v>
      </c>
      <c r="AK191" s="13">
        <f t="shared" si="164"/>
        <v>39.62826685000794</v>
      </c>
      <c r="AL191" s="20">
        <f t="shared" si="165"/>
        <v>338.32827143043056</v>
      </c>
      <c r="AM191" s="59">
        <f t="shared" si="113"/>
        <v>631.66160476376388</v>
      </c>
      <c r="AN191" s="59">
        <f ca="1">AVERAGE(OFFSET($AM$3,0,0,'Données projet'!$E$10+1,1))-AVERAGE(OFFSET($H$3,0,0,'Données projet'!$E$10+1,1))</f>
        <v>263.30962868541337</v>
      </c>
      <c r="AO191" s="59">
        <f t="shared" si="144"/>
        <v>269.61868559913404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0.53562749887484862</v>
      </c>
      <c r="AV191" s="21">
        <f>EXP(-LN(2)/25)*AV190+(1-EXP(-LN(2)/25))/(LN(2)/25)*Calculateur!AQ191*Calculateur!AS191*VLOOKUP('Données projet'!$B$10,Paramètres!$A$1:$I$89,3,0)*0.475*44/12</f>
        <v>0.91978198037826997</v>
      </c>
      <c r="AW191" s="21">
        <f>EXP(-LN(2)/2)*AW190+(1-EXP(-LN(2)/2))/(LN(2)/2)*AQ191*AT191*VLOOKUP('Données projet'!$B$10,Paramètres!$A$1:$I$89,3,0)*0.475*44/12</f>
        <v>3.807268792727322E-15</v>
      </c>
      <c r="AX191" s="21">
        <f t="shared" si="166"/>
        <v>1.4554094792531223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-8.5265128291212022E-13</v>
      </c>
      <c r="BE191" s="13">
        <f>BD191*VLOOKUP('Données projet'!$B$11,Paramètres!$A$1:$I$89,3,0)*VLOOKUP('Données projet'!$B$11,Paramètres!$A$1:$I$89,5,0)</f>
        <v>-7.7147888077888633E-13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496.45286557802063</v>
      </c>
      <c r="BJ191" s="59">
        <f t="shared" si="146"/>
        <v>196.37811957788398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125.78034872918586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125.78034872918586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323.17232038705157</v>
      </c>
      <c r="T192" s="59">
        <f t="shared" si="142"/>
        <v>402.34685738619197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236.00000000000009</v>
      </c>
      <c r="AJ192" s="13">
        <f>AI192*VLOOKUP('Données projet'!$B$10,Paramètres!$A$1:$I$89,3,0)*VLOOKUP('Données projet'!$B$10,Paramètres!$A$1:$I$89,5,0)</f>
        <v>154.62720000000004</v>
      </c>
      <c r="AK192" s="13">
        <f t="shared" si="164"/>
        <v>39.62826685000794</v>
      </c>
      <c r="AL192" s="20">
        <f t="shared" si="165"/>
        <v>338.32827143043056</v>
      </c>
      <c r="AM192" s="59">
        <f t="shared" si="113"/>
        <v>631.66160476376388</v>
      </c>
      <c r="AN192" s="59">
        <f ca="1">AVERAGE(OFFSET($AM$3,0,0,'Données projet'!$E$10+1,1))-AVERAGE(OFFSET($H$3,0,0,'Données projet'!$E$10+1,1))</f>
        <v>263.30962868541337</v>
      </c>
      <c r="AO192" s="59">
        <f t="shared" si="144"/>
        <v>269.61868559913404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0.5251241703224282</v>
      </c>
      <c r="AV192" s="21">
        <f>EXP(-LN(2)/25)*AV191+(1-EXP(-LN(2)/25))/(LN(2)/25)*Calculateur!AQ192*Calculateur!AS192*VLOOKUP('Données projet'!$B$10,Paramètres!$A$1:$I$89,3,0)*0.475*44/12</f>
        <v>0.894630493755594</v>
      </c>
      <c r="AW192" s="21">
        <f>EXP(-LN(2)/2)*AW191+(1-EXP(-LN(2)/2))/(LN(2)/2)*AQ192*AT192*VLOOKUP('Données projet'!$B$10,Paramètres!$A$1:$I$89,3,0)*0.475*44/12</f>
        <v>2.6921455811374094E-15</v>
      </c>
      <c r="AX192" s="21">
        <f t="shared" si="166"/>
        <v>1.4197546640780248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-8.5265128291212022E-13</v>
      </c>
      <c r="BE192" s="13">
        <f>BD192*VLOOKUP('Données projet'!$B$11,Paramètres!$A$1:$I$89,3,0)*VLOOKUP('Données projet'!$B$11,Paramètres!$A$1:$I$89,5,0)</f>
        <v>-7.7147888077888633E-13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496.45286557802063</v>
      </c>
      <c r="BJ192" s="59">
        <f t="shared" si="146"/>
        <v>196.37811957788398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123.31387280904393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123.31387280904393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323.17232038705157</v>
      </c>
      <c r="T193" s="59">
        <f t="shared" si="142"/>
        <v>402.34685738619197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236.00000000000009</v>
      </c>
      <c r="AJ193" s="13">
        <f>AI193*VLOOKUP('Données projet'!$B$10,Paramètres!$A$1:$I$89,3,0)*VLOOKUP('Données projet'!$B$10,Paramètres!$A$1:$I$89,5,0)</f>
        <v>154.62720000000004</v>
      </c>
      <c r="AK193" s="13">
        <f t="shared" si="164"/>
        <v>39.62826685000794</v>
      </c>
      <c r="AL193" s="20">
        <f t="shared" si="165"/>
        <v>338.32827143043056</v>
      </c>
      <c r="AM193" s="59">
        <f t="shared" si="113"/>
        <v>631.66160476376388</v>
      </c>
      <c r="AN193" s="59">
        <f ca="1">AVERAGE(OFFSET($AM$3,0,0,'Données projet'!$E$10+1,1))-AVERAGE(OFFSET($H$3,0,0,'Données projet'!$E$10+1,1))</f>
        <v>263.30962868541337</v>
      </c>
      <c r="AO193" s="59">
        <f t="shared" si="144"/>
        <v>269.61868559913404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0.51482680563652283</v>
      </c>
      <c r="AV193" s="21">
        <f>EXP(-LN(2)/25)*AV192+(1-EXP(-LN(2)/25))/(LN(2)/25)*Calculateur!AQ193*Calculateur!AS193*VLOOKUP('Données projet'!$B$10,Paramètres!$A$1:$I$89,3,0)*0.475*44/12</f>
        <v>0.87016677585727431</v>
      </c>
      <c r="AW193" s="21">
        <f>EXP(-LN(2)/2)*AW192+(1-EXP(-LN(2)/2))/(LN(2)/2)*AQ193*AT193*VLOOKUP('Données projet'!$B$10,Paramètres!$A$1:$I$89,3,0)*0.475*44/12</f>
        <v>1.903634396363661E-15</v>
      </c>
      <c r="AX193" s="21">
        <f t="shared" si="166"/>
        <v>1.3849935814937993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-8.5265128291212022E-13</v>
      </c>
      <c r="BE193" s="13">
        <f>BD193*VLOOKUP('Données projet'!$B$11,Paramètres!$A$1:$I$89,3,0)*VLOOKUP('Données projet'!$B$11,Paramètres!$A$1:$I$89,5,0)</f>
        <v>-7.7147888077888633E-13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496.45286557802063</v>
      </c>
      <c r="BJ193" s="59">
        <f t="shared" si="146"/>
        <v>196.37811957788398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120.89576297729423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120.89576297729423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323.17232038705157</v>
      </c>
      <c r="T194" s="59">
        <f t="shared" si="142"/>
        <v>402.34685738619197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236.00000000000009</v>
      </c>
      <c r="AJ194" s="13">
        <f>AI194*VLOOKUP('Données projet'!$B$10,Paramètres!$A$1:$I$89,3,0)*VLOOKUP('Données projet'!$B$10,Paramètres!$A$1:$I$89,5,0)</f>
        <v>154.62720000000004</v>
      </c>
      <c r="AK194" s="13">
        <f t="shared" si="164"/>
        <v>39.62826685000794</v>
      </c>
      <c r="AL194" s="20">
        <f t="shared" si="165"/>
        <v>338.32827143043056</v>
      </c>
      <c r="AM194" s="59">
        <f t="shared" si="113"/>
        <v>631.66160476376388</v>
      </c>
      <c r="AN194" s="59">
        <f ca="1">AVERAGE(OFFSET($AM$3,0,0,'Données projet'!$E$10+1,1))-AVERAGE(OFFSET($H$3,0,0,'Données projet'!$E$10+1,1))</f>
        <v>263.30962868541337</v>
      </c>
      <c r="AO194" s="59">
        <f t="shared" si="144"/>
        <v>269.61868559913404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0.50473136599133583</v>
      </c>
      <c r="AV194" s="21">
        <f>EXP(-LN(2)/25)*AV193+(1-EXP(-LN(2)/25))/(LN(2)/25)*Calculateur!AQ194*Calculateur!AS194*VLOOKUP('Données projet'!$B$10,Paramètres!$A$1:$I$89,3,0)*0.475*44/12</f>
        <v>0.8463720196113752</v>
      </c>
      <c r="AW194" s="21">
        <f>EXP(-LN(2)/2)*AW193+(1-EXP(-LN(2)/2))/(LN(2)/2)*AQ194*AT194*VLOOKUP('Données projet'!$B$10,Paramètres!$A$1:$I$89,3,0)*0.475*44/12</f>
        <v>1.3460727905687047E-15</v>
      </c>
      <c r="AX194" s="21">
        <f t="shared" si="166"/>
        <v>1.3511033856027124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-8.5265128291212022E-13</v>
      </c>
      <c r="BE194" s="13">
        <f>BD194*VLOOKUP('Données projet'!$B$11,Paramètres!$A$1:$I$89,3,0)*VLOOKUP('Données projet'!$B$11,Paramètres!$A$1:$I$89,5,0)</f>
        <v>-7.7147888077888633E-13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496.45286557802063</v>
      </c>
      <c r="BJ194" s="59">
        <f t="shared" si="146"/>
        <v>196.37811957788398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118.52507080444377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118.52507080444377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323.17232038705157</v>
      </c>
      <c r="T195" s="59">
        <f t="shared" si="142"/>
        <v>402.34685738619197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236.00000000000009</v>
      </c>
      <c r="AJ195" s="13">
        <f>AI195*VLOOKUP('Données projet'!$B$10,Paramètres!$A$1:$I$89,3,0)*VLOOKUP('Données projet'!$B$10,Paramètres!$A$1:$I$89,5,0)</f>
        <v>154.62720000000004</v>
      </c>
      <c r="AK195" s="13">
        <f t="shared" si="164"/>
        <v>39.62826685000794</v>
      </c>
      <c r="AL195" s="20">
        <f t="shared" si="165"/>
        <v>338.32827143043056</v>
      </c>
      <c r="AM195" s="59">
        <f t="shared" si="113"/>
        <v>631.66160476376388</v>
      </c>
      <c r="AN195" s="59">
        <f ca="1">AVERAGE(OFFSET($AM$3,0,0,'Données projet'!$E$10+1,1))-AVERAGE(OFFSET($H$3,0,0,'Données projet'!$E$10+1,1))</f>
        <v>263.30962868541337</v>
      </c>
      <c r="AO195" s="59">
        <f t="shared" si="144"/>
        <v>269.61868559913404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0.49483389175998077</v>
      </c>
      <c r="AV195" s="21">
        <f>EXP(-LN(2)/25)*AV194+(1-EXP(-LN(2)/25))/(LN(2)/25)*Calculateur!AQ195*Calculateur!AS195*VLOOKUP('Données projet'!$B$10,Paramètres!$A$1:$I$89,3,0)*0.475*44/12</f>
        <v>0.82322793222633206</v>
      </c>
      <c r="AW195" s="21">
        <f>EXP(-LN(2)/2)*AW194+(1-EXP(-LN(2)/2))/(LN(2)/2)*AQ195*AT195*VLOOKUP('Données projet'!$B$10,Paramètres!$A$1:$I$89,3,0)*0.475*44/12</f>
        <v>9.5181719818183049E-16</v>
      </c>
      <c r="AX195" s="21">
        <f t="shared" si="166"/>
        <v>1.3180618239863138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-8.5265128291212022E-13</v>
      </c>
      <c r="BE195" s="13">
        <f>BD195*VLOOKUP('Données projet'!$B$11,Paramètres!$A$1:$I$89,3,0)*VLOOKUP('Données projet'!$B$11,Paramètres!$A$1:$I$89,5,0)</f>
        <v>-7.7147888077888633E-13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496.45286557802063</v>
      </c>
      <c r="BJ195" s="59">
        <f t="shared" si="146"/>
        <v>196.37811957788398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116.20086645912346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116.20086645912346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323.17232038705157</v>
      </c>
      <c r="T196" s="59">
        <f t="shared" si="142"/>
        <v>402.34685738619197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236.00000000000009</v>
      </c>
      <c r="AJ196" s="13">
        <f>AI196*VLOOKUP('Données projet'!$B$10,Paramètres!$A$1:$I$89,3,0)*VLOOKUP('Données projet'!$B$10,Paramètres!$A$1:$I$89,5,0)</f>
        <v>154.62720000000004</v>
      </c>
      <c r="AK196" s="13">
        <f t="shared" si="164"/>
        <v>39.62826685000794</v>
      </c>
      <c r="AL196" s="20">
        <f t="shared" si="165"/>
        <v>338.32827143043056</v>
      </c>
      <c r="AM196" s="59">
        <f t="shared" ref="AM196:AM203" si="193">AL196+(AD196+AE196)*44/12</f>
        <v>631.66160476376388</v>
      </c>
      <c r="AN196" s="59">
        <f ca="1">AVERAGE(OFFSET($AM$3,0,0,'Données projet'!$E$10+1,1))-AVERAGE(OFFSET($H$3,0,0,'Données projet'!$E$10+1,1))</f>
        <v>263.30962868541337</v>
      </c>
      <c r="AO196" s="59">
        <f t="shared" si="144"/>
        <v>269.61868559913404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0.48513050096143939</v>
      </c>
      <c r="AV196" s="21">
        <f>EXP(-LN(2)/25)*AV195+(1-EXP(-LN(2)/25))/(LN(2)/25)*Calculateur!AQ196*Calculateur!AS196*VLOOKUP('Données projet'!$B$10,Paramètres!$A$1:$I$89,3,0)*0.475*44/12</f>
        <v>0.80071672112792758</v>
      </c>
      <c r="AW196" s="21">
        <f>EXP(-LN(2)/2)*AW195+(1-EXP(-LN(2)/2))/(LN(2)/2)*AQ196*AT196*VLOOKUP('Données projet'!$B$10,Paramètres!$A$1:$I$89,3,0)*0.475*44/12</f>
        <v>6.7303639528435235E-16</v>
      </c>
      <c r="AX196" s="21">
        <f t="shared" si="166"/>
        <v>1.2858472220893675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-8.5265128291212022E-13</v>
      </c>
      <c r="BE196" s="13">
        <f>BD196*VLOOKUP('Données projet'!$B$11,Paramètres!$A$1:$I$89,3,0)*VLOOKUP('Données projet'!$B$11,Paramètres!$A$1:$I$89,5,0)</f>
        <v>-7.7147888077888633E-13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496.45286557802063</v>
      </c>
      <c r="BJ196" s="59">
        <f t="shared" si="146"/>
        <v>196.37811957788398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113.92223834339021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113.92223834339021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323.17232038705157</v>
      </c>
      <c r="T197" s="59">
        <f t="shared" ref="T197:T203" si="204">$T$3</f>
        <v>402.34685738619197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236.00000000000009</v>
      </c>
      <c r="AJ197" s="13">
        <f>AI197*VLOOKUP('Données projet'!$B$10,Paramètres!$A$1:$I$89,3,0)*VLOOKUP('Données projet'!$B$10,Paramètres!$A$1:$I$89,5,0)</f>
        <v>154.62720000000004</v>
      </c>
      <c r="AK197" s="13">
        <f t="shared" si="164"/>
        <v>39.62826685000794</v>
      </c>
      <c r="AL197" s="20">
        <f t="shared" si="165"/>
        <v>338.32827143043056</v>
      </c>
      <c r="AM197" s="59">
        <f t="shared" si="193"/>
        <v>631.66160476376388</v>
      </c>
      <c r="AN197" s="59">
        <f ca="1">AVERAGE(OFFSET($AM$3,0,0,'Données projet'!$E$10+1,1))-AVERAGE(OFFSET($H$3,0,0,'Données projet'!$E$10+1,1))</f>
        <v>263.30962868541337</v>
      </c>
      <c r="AO197" s="59">
        <f t="shared" ref="AO197:AO203" si="205">$AO$3</f>
        <v>269.61868559913404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0.47561738773797341</v>
      </c>
      <c r="AV197" s="21">
        <f>EXP(-LN(2)/25)*AV196+(1-EXP(-LN(2)/25))/(LN(2)/25)*Calculateur!AQ197*Calculateur!AS197*VLOOKUP('Données projet'!$B$10,Paramètres!$A$1:$I$89,3,0)*0.475*44/12</f>
        <v>0.77882108028082209</v>
      </c>
      <c r="AW197" s="21">
        <f>EXP(-LN(2)/2)*AW196+(1-EXP(-LN(2)/2))/(LN(2)/2)*AQ197*AT197*VLOOKUP('Données projet'!$B$10,Paramètres!$A$1:$I$89,3,0)*0.475*44/12</f>
        <v>4.7590859909091525E-16</v>
      </c>
      <c r="AX197" s="21">
        <f t="shared" si="166"/>
        <v>1.2544384680187959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-8.5265128291212022E-13</v>
      </c>
      <c r="BE197" s="13">
        <f>BD197*VLOOKUP('Données projet'!$B$11,Paramètres!$A$1:$I$89,3,0)*VLOOKUP('Données projet'!$B$11,Paramètres!$A$1:$I$89,5,0)</f>
        <v>-7.7147888077888633E-13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496.45286557802063</v>
      </c>
      <c r="BJ197" s="59">
        <f t="shared" ref="BJ197:BJ203" si="206">$BJ$3</f>
        <v>196.37811957788398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111.68829273518057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111.68829273518057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323.17232038705157</v>
      </c>
      <c r="T198" s="59">
        <f t="shared" si="204"/>
        <v>402.34685738619197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236.00000000000009</v>
      </c>
      <c r="AJ198" s="13">
        <f>AI198*VLOOKUP('Données projet'!$B$10,Paramètres!$A$1:$I$89,3,0)*VLOOKUP('Données projet'!$B$10,Paramètres!$A$1:$I$89,5,0)</f>
        <v>154.62720000000004</v>
      </c>
      <c r="AK198" s="13">
        <f t="shared" si="164"/>
        <v>39.62826685000794</v>
      </c>
      <c r="AL198" s="20">
        <f t="shared" si="165"/>
        <v>338.32827143043056</v>
      </c>
      <c r="AM198" s="59">
        <f t="shared" si="193"/>
        <v>631.66160476376388</v>
      </c>
      <c r="AN198" s="59">
        <f ca="1">AVERAGE(OFFSET($AM$3,0,0,'Données projet'!$E$10+1,1))-AVERAGE(OFFSET($H$3,0,0,'Données projet'!$E$10+1,1))</f>
        <v>263.30962868541337</v>
      </c>
      <c r="AO198" s="59">
        <f t="shared" si="205"/>
        <v>269.61868559913404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0.46629082086239348</v>
      </c>
      <c r="AV198" s="21">
        <f>EXP(-LN(2)/25)*AV197+(1-EXP(-LN(2)/25))/(LN(2)/25)*Calculateur!AQ198*Calculateur!AS198*VLOOKUP('Données projet'!$B$10,Paramètres!$A$1:$I$89,3,0)*0.475*44/12</f>
        <v>0.75752417688412244</v>
      </c>
      <c r="AW198" s="21">
        <f>EXP(-LN(2)/2)*AW197+(1-EXP(-LN(2)/2))/(LN(2)/2)*AQ198*AT198*VLOOKUP('Données projet'!$B$10,Paramètres!$A$1:$I$89,3,0)*0.475*44/12</f>
        <v>3.3651819764217618E-16</v>
      </c>
      <c r="AX198" s="21">
        <f t="shared" si="166"/>
        <v>1.2238149977465165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-8.5265128291212022E-13</v>
      </c>
      <c r="BE198" s="13">
        <f>BD198*VLOOKUP('Données projet'!$B$11,Paramètres!$A$1:$I$89,3,0)*VLOOKUP('Données projet'!$B$11,Paramètres!$A$1:$I$89,5,0)</f>
        <v>-7.7147888077888633E-13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496.45286557802063</v>
      </c>
      <c r="BJ198" s="59">
        <f t="shared" si="206"/>
        <v>196.37811957788398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109.49815343777564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109.49815343777564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323.17232038705157</v>
      </c>
      <c r="T199" s="59">
        <f t="shared" si="204"/>
        <v>402.34685738619197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236.00000000000009</v>
      </c>
      <c r="AJ199" s="13">
        <f>AI199*VLOOKUP('Données projet'!$B$10,Paramètres!$A$1:$I$89,3,0)*VLOOKUP('Données projet'!$B$10,Paramètres!$A$1:$I$89,5,0)</f>
        <v>154.62720000000004</v>
      </c>
      <c r="AK199" s="13">
        <f t="shared" si="164"/>
        <v>39.62826685000794</v>
      </c>
      <c r="AL199" s="20">
        <f t="shared" si="165"/>
        <v>338.32827143043056</v>
      </c>
      <c r="AM199" s="59">
        <f t="shared" si="193"/>
        <v>631.66160476376388</v>
      </c>
      <c r="AN199" s="59">
        <f ca="1">AVERAGE(OFFSET($AM$3,0,0,'Données projet'!$E$10+1,1))-AVERAGE(OFFSET($H$3,0,0,'Données projet'!$E$10+1,1))</f>
        <v>263.30962868541337</v>
      </c>
      <c r="AO199" s="59">
        <f t="shared" si="205"/>
        <v>269.61868559913404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0.45714714227459957</v>
      </c>
      <c r="AV199" s="21">
        <f>EXP(-LN(2)/25)*AV198+(1-EXP(-LN(2)/25))/(LN(2)/25)*Calculateur!AQ199*Calculateur!AS199*VLOOKUP('Données projet'!$B$10,Paramètres!$A$1:$I$89,3,0)*0.475*44/12</f>
        <v>0.73680963843076097</v>
      </c>
      <c r="AW199" s="21">
        <f>EXP(-LN(2)/2)*AW198+(1-EXP(-LN(2)/2))/(LN(2)/2)*AQ199*AT199*VLOOKUP('Données projet'!$B$10,Paramètres!$A$1:$I$89,3,0)*0.475*44/12</f>
        <v>2.3795429954545762E-16</v>
      </c>
      <c r="AX199" s="21">
        <f t="shared" si="166"/>
        <v>1.1939567807053608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-8.5265128291212022E-13</v>
      </c>
      <c r="BE199" s="13">
        <f>BD199*VLOOKUP('Données projet'!$B$11,Paramètres!$A$1:$I$89,3,0)*VLOOKUP('Données projet'!$B$11,Paramètres!$A$1:$I$89,5,0)</f>
        <v>-7.7147888077888633E-13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496.45286557802063</v>
      </c>
      <c r="BJ199" s="59">
        <f t="shared" si="206"/>
        <v>196.37811957788398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107.35096143613977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107.35096143613977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323.17232038705157</v>
      </c>
      <c r="T200" s="59">
        <f t="shared" si="204"/>
        <v>402.34685738619197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236.00000000000009</v>
      </c>
      <c r="AJ200" s="13">
        <f>AI200*VLOOKUP('Données projet'!$B$10,Paramètres!$A$1:$I$89,3,0)*VLOOKUP('Données projet'!$B$10,Paramètres!$A$1:$I$89,5,0)</f>
        <v>154.62720000000004</v>
      </c>
      <c r="AK200" s="13">
        <f t="shared" si="164"/>
        <v>39.62826685000794</v>
      </c>
      <c r="AL200" s="20">
        <f t="shared" si="165"/>
        <v>338.32827143043056</v>
      </c>
      <c r="AM200" s="59">
        <f t="shared" si="193"/>
        <v>631.66160476376388</v>
      </c>
      <c r="AN200" s="59">
        <f ca="1">AVERAGE(OFFSET($AM$3,0,0,'Données projet'!$E$10+1,1))-AVERAGE(OFFSET($H$3,0,0,'Données projet'!$E$10+1,1))</f>
        <v>263.30962868541337</v>
      </c>
      <c r="AO200" s="59">
        <f t="shared" si="205"/>
        <v>269.61868559913404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0.44818276564681908</v>
      </c>
      <c r="AV200" s="21">
        <f>EXP(-LN(2)/25)*AV199+(1-EXP(-LN(2)/25))/(LN(2)/25)*Calculateur!AQ200*Calculateur!AS200*VLOOKUP('Données projet'!$B$10,Paramètres!$A$1:$I$89,3,0)*0.475*44/12</f>
        <v>0.71666154012073691</v>
      </c>
      <c r="AW200" s="21">
        <f>EXP(-LN(2)/2)*AW199+(1-EXP(-LN(2)/2))/(LN(2)/2)*AQ200*AT200*VLOOKUP('Données projet'!$B$10,Paramètres!$A$1:$I$89,3,0)*0.475*44/12</f>
        <v>1.6825909882108809E-16</v>
      </c>
      <c r="AX200" s="21">
        <f t="shared" si="166"/>
        <v>1.1648443057675562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-8.5265128291212022E-13</v>
      </c>
      <c r="BE200" s="13">
        <f>BD200*VLOOKUP('Données projet'!$B$11,Paramètres!$A$1:$I$89,3,0)*VLOOKUP('Données projet'!$B$11,Paramètres!$A$1:$I$89,5,0)</f>
        <v>-7.7147888077888633E-13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496.45286557802063</v>
      </c>
      <c r="BJ200" s="59">
        <f t="shared" si="206"/>
        <v>196.37811957788398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105.24587455999817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105.24587455999817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323.17232038705157</v>
      </c>
      <c r="T201" s="59">
        <f t="shared" si="204"/>
        <v>402.34685738619197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236.00000000000009</v>
      </c>
      <c r="AJ201" s="13">
        <f>AI201*VLOOKUP('Données projet'!$B$10,Paramètres!$A$1:$I$89,3,0)*VLOOKUP('Données projet'!$B$10,Paramètres!$A$1:$I$89,5,0)</f>
        <v>154.62720000000004</v>
      </c>
      <c r="AK201" s="13">
        <f t="shared" si="164"/>
        <v>39.62826685000794</v>
      </c>
      <c r="AL201" s="20">
        <f t="shared" si="165"/>
        <v>338.32827143043056</v>
      </c>
      <c r="AM201" s="59">
        <f t="shared" si="193"/>
        <v>631.66160476376388</v>
      </c>
      <c r="AN201" s="59">
        <f ca="1">AVERAGE(OFFSET($AM$3,0,0,'Données projet'!$E$10+1,1))-AVERAGE(OFFSET($H$3,0,0,'Données projet'!$E$10+1,1))</f>
        <v>263.30962868541337</v>
      </c>
      <c r="AO201" s="59">
        <f t="shared" si="205"/>
        <v>269.61868559913404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0.43939417497697952</v>
      </c>
      <c r="AV201" s="21">
        <f>EXP(-LN(2)/25)*AV200+(1-EXP(-LN(2)/25))/(LN(2)/25)*Calculateur!AQ201*Calculateur!AS201*VLOOKUP('Données projet'!$B$10,Paramètres!$A$1:$I$89,3,0)*0.475*44/12</f>
        <v>0.69706439261854292</v>
      </c>
      <c r="AW201" s="21">
        <f>EXP(-LN(2)/2)*AW200+(1-EXP(-LN(2)/2))/(LN(2)/2)*AQ201*AT201*VLOOKUP('Données projet'!$B$10,Paramètres!$A$1:$I$89,3,0)*0.475*44/12</f>
        <v>1.1897714977272881E-16</v>
      </c>
      <c r="AX201" s="21">
        <f t="shared" si="166"/>
        <v>1.1364585675955226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-8.5265128291212022E-13</v>
      </c>
      <c r="BE201" s="13">
        <f>BD201*VLOOKUP('Données projet'!$B$11,Paramètres!$A$1:$I$89,3,0)*VLOOKUP('Données projet'!$B$11,Paramètres!$A$1:$I$89,5,0)</f>
        <v>-7.7147888077888633E-13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496.45286557802063</v>
      </c>
      <c r="BJ201" s="59">
        <f t="shared" si="206"/>
        <v>196.37811957788398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103.18206715352149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103.18206715352149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323.17232038705157</v>
      </c>
      <c r="T202" s="59">
        <f t="shared" si="204"/>
        <v>402.34685738619197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236.00000000000009</v>
      </c>
      <c r="AJ202" s="13">
        <f>AI202*VLOOKUP('Données projet'!$B$10,Paramètres!$A$1:$I$89,3,0)*VLOOKUP('Données projet'!$B$10,Paramètres!$A$1:$I$89,5,0)</f>
        <v>154.62720000000004</v>
      </c>
      <c r="AK202" s="13">
        <f t="shared" si="164"/>
        <v>39.62826685000794</v>
      </c>
      <c r="AL202" s="20">
        <f t="shared" si="165"/>
        <v>338.32827143043056</v>
      </c>
      <c r="AM202" s="59">
        <f t="shared" si="193"/>
        <v>631.66160476376388</v>
      </c>
      <c r="AN202" s="59">
        <f ca="1">AVERAGE(OFFSET($AM$3,0,0,'Données projet'!$E$10+1,1))-AVERAGE(OFFSET($H$3,0,0,'Données projet'!$E$10+1,1))</f>
        <v>263.30962868541337</v>
      </c>
      <c r="AO202" s="59">
        <f t="shared" si="205"/>
        <v>269.61868559913404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0.43077792320966452</v>
      </c>
      <c r="AV202" s="21">
        <f>EXP(-LN(2)/25)*AV201+(1-EXP(-LN(2)/25))/(LN(2)/25)*Calculateur!AQ202*Calculateur!AS202*VLOOKUP('Données projet'!$B$10,Paramètres!$A$1:$I$89,3,0)*0.475*44/12</f>
        <v>0.67800313014536562</v>
      </c>
      <c r="AW202" s="21">
        <f>EXP(-LN(2)/2)*AW201+(1-EXP(-LN(2)/2))/(LN(2)/2)*AQ202*AT202*VLOOKUP('Données projet'!$B$10,Paramètres!$A$1:$I$89,3,0)*0.475*44/12</f>
        <v>8.4129549410544044E-17</v>
      </c>
      <c r="AX202" s="21">
        <f t="shared" si="166"/>
        <v>1.1087810533550302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-8.5265128291212022E-13</v>
      </c>
      <c r="BE202" s="13">
        <f>BD202*VLOOKUP('Données projet'!$B$11,Paramètres!$A$1:$I$89,3,0)*VLOOKUP('Données projet'!$B$11,Paramètres!$A$1:$I$89,5,0)</f>
        <v>-7.7147888077888633E-13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496.45286557802063</v>
      </c>
      <c r="BJ202" s="59">
        <f t="shared" si="206"/>
        <v>196.37811957788398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101.1587297514876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101.1587297514876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323.17232038705157</v>
      </c>
      <c r="T203" s="59">
        <f t="shared" si="204"/>
        <v>402.34685738619197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236.00000000000009</v>
      </c>
      <c r="AJ203" s="13">
        <f>AI203*VLOOKUP('Données projet'!$B$10,Paramètres!$A$1:$I$89,3,0)*VLOOKUP('Données projet'!$B$10,Paramètres!$A$1:$I$89,5,0)</f>
        <v>154.62720000000004</v>
      </c>
      <c r="AK203" s="13">
        <f t="shared" si="164"/>
        <v>39.62826685000794</v>
      </c>
      <c r="AL203" s="20">
        <f t="shared" si="165"/>
        <v>338.32827143043056</v>
      </c>
      <c r="AM203" s="59">
        <f t="shared" si="193"/>
        <v>631.66160476376388</v>
      </c>
      <c r="AN203" s="59">
        <f ca="1">AVERAGE(OFFSET($AM$3,0,0,'Données projet'!$E$10+1,1))-AVERAGE(OFFSET($H$3,0,0,'Données projet'!$E$10+1,1))</f>
        <v>263.30962868541337</v>
      </c>
      <c r="AO203" s="59">
        <f t="shared" si="205"/>
        <v>269.61868559913404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0.42233063088411188</v>
      </c>
      <c r="AV203" s="21">
        <f>EXP(-LN(2)/25)*AV202+(1-EXP(-LN(2)/25))/(LN(2)/25)*Calculateur!AQ203*Calculateur!AS203*VLOOKUP('Données projet'!$B$10,Paramètres!$A$1:$I$89,3,0)*0.475*44/12</f>
        <v>0.65946309889690558</v>
      </c>
      <c r="AW203" s="21">
        <f>EXP(-LN(2)/2)*AW202+(1-EXP(-LN(2)/2))/(LN(2)/2)*AQ203*AT203*VLOOKUP('Données projet'!$B$10,Paramètres!$A$1:$I$89,3,0)*0.475*44/12</f>
        <v>5.9488574886364406E-17</v>
      </c>
      <c r="AX203" s="21">
        <f t="shared" si="166"/>
        <v>1.0817937297810174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-8.5265128291212022E-13</v>
      </c>
      <c r="BE203" s="13">
        <f>BD203*VLOOKUP('Données projet'!$B$11,Paramètres!$A$1:$I$89,3,0)*VLOOKUP('Données projet'!$B$11,Paramètres!$A$1:$I$89,5,0)</f>
        <v>-7.7147888077888633E-13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496.45286557802063</v>
      </c>
      <c r="BJ203" s="59">
        <f t="shared" si="206"/>
        <v>196.37811957788398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99.175068761793639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99.175068761793639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1.2709816152101407</v>
      </c>
      <c r="BA205" s="82">
        <f>EXP(LN('Données projet'!B88)/'Données projet'!A88)</f>
        <v>1.1568673269382599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19.051680000000001</v>
      </c>
      <c r="C6" s="147">
        <f ca="1">IF(OR('Données projet'!B9="",'Données projet'!C9="",'Données projet'!C9=0%),0,Calculateur!S3)</f>
        <v>323.17232038705157</v>
      </c>
      <c r="D6" s="147">
        <f>IF(OR('Données projet'!B9="",'Données projet'!C9="",'Données projet'!C9=0%),0,Calculateur!T3)</f>
        <v>402.34685738619197</v>
      </c>
      <c r="E6" s="147">
        <f ca="1">MIN(C6,D6)</f>
        <v>323.17232038705157</v>
      </c>
      <c r="F6" s="147">
        <f ca="1">E6*B6</f>
        <v>6156.975632871583</v>
      </c>
      <c r="G6" s="147">
        <f ca="1">F6*(100%-'Données projet'!$C$24)*(100%-'Données projet'!$C$25)*(100%-'Données projet'!$C$26)*(100%-'Données projet'!$C$27)</f>
        <v>4710.0863591467614</v>
      </c>
      <c r="H6" s="148">
        <f>IF(OR('Données projet'!B9="",'Données projet'!C9="",'Données projet'!C9=0%),0,AVERAGE(Calculateur!$AC$3:$AC$33)*B6)</f>
        <v>248.03273800794506</v>
      </c>
      <c r="I6" s="149">
        <f>H6*(100%-'Données projet'!$C$24)*(100%-'Données projet'!$C$25)*(100%-'Données projet'!$C$26)*(100%-'Données projet'!$C$27)</f>
        <v>189.74504457607796</v>
      </c>
      <c r="J6" s="150">
        <f>IF(OR('Données projet'!B9="",'Données projet'!C9="",'Données projet'!C9=0%),0,SUM(Calculateur!$V$3:$V$33)*VLOOKUP('Données projet'!$B$9,Paramètres!$A$1:$I$89,9,0)*B6)</f>
        <v>1635.405004283077</v>
      </c>
      <c r="K6" s="151">
        <f>J6*(100%-'Données projet'!$C$24)*(100%-'Données projet'!$C$25)*(100%-'Données projet'!$C$26)*(100%-'Données projet'!$C$27)</f>
        <v>1251.0848282765539</v>
      </c>
      <c r="L6" s="152">
        <f ca="1">G6+I6+K6</f>
        <v>6150.9162319993929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Aulne glutineux</v>
      </c>
      <c r="B7" s="154">
        <f>'Données projet'!D10</f>
        <v>1.0445</v>
      </c>
      <c r="C7" s="147">
        <f ca="1">IF(OR('Données projet'!B10="",'Données projet'!C10="",'Données projet'!C10=0%),0,Calculateur!AN3)</f>
        <v>263.30962868541337</v>
      </c>
      <c r="D7" s="147">
        <f>IF(OR('Données projet'!B10="",'Données projet'!C10="",'Données projet'!C10=0%),0,Calculateur!AO3)</f>
        <v>269.61868559913404</v>
      </c>
      <c r="E7" s="147">
        <f t="shared" ref="E7:E15" ca="1" si="0">MIN(C7,D7)</f>
        <v>263.30962868541337</v>
      </c>
      <c r="F7" s="147">
        <f t="shared" ref="F7:F15" ca="1" si="1">E7*B7</f>
        <v>275.02690716191427</v>
      </c>
      <c r="G7" s="147">
        <f ca="1">F7*(100%-'Données projet'!$C$24)*(100%-'Données projet'!$C$25)*(100%-'Données projet'!$C$26)*(100%-'Données projet'!$C$27)</f>
        <v>210.39558397886444</v>
      </c>
      <c r="H7" s="155">
        <f>IF(OR('Données projet'!B10="",'Données projet'!C10="",'Données projet'!C10=0%),0,AVERAGE(Calculateur!$AX$3:$AX$33)*B7)</f>
        <v>1.1698991555876377</v>
      </c>
      <c r="I7" s="149">
        <f>H7*(100%-'Données projet'!$C$24)*(100%-'Données projet'!$C$25)*(100%-'Données projet'!$C$26)*(100%-'Données projet'!$C$27)</f>
        <v>0.89497285402454285</v>
      </c>
      <c r="J7" s="150">
        <f>IF(OR('Données projet'!B10="",'Données projet'!C10="",'Données projet'!C10=0%),0,SUM(Calculateur!$AQ$3:$AQ$33)*VLOOKUP('Données projet'!$B$10,Paramètres!$A$1:$I$89,9,0)*B7)</f>
        <v>15.406375000000001</v>
      </c>
      <c r="K7" s="151">
        <f>J7*(100%-'Données projet'!$C$24)*(100%-'Données projet'!$C$25)*(100%-'Données projet'!$C$26)*(100%-'Données projet'!$C$27)</f>
        <v>11.785876875000001</v>
      </c>
      <c r="L7" s="152">
        <f t="shared" ref="L7:L15" ca="1" si="2">G7+I7+K7</f>
        <v>223.07643370788898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sessile</v>
      </c>
      <c r="B8" s="154">
        <f>'Données projet'!D11</f>
        <v>0.79381999999999997</v>
      </c>
      <c r="C8" s="147">
        <f ca="1">IF(OR('Données projet'!B11="",'Données projet'!C11="",'Données projet'!C11=0%),0,Calculateur!BI3)</f>
        <v>496.45286557802063</v>
      </c>
      <c r="D8" s="147">
        <f>IF(OR('Données projet'!B11="",'Données projet'!C11="",'Données projet'!C11=0%),0,Calculateur!BJ3)</f>
        <v>196.37811957788398</v>
      </c>
      <c r="E8" s="147">
        <f t="shared" ca="1" si="0"/>
        <v>196.37811957788398</v>
      </c>
      <c r="F8" s="147">
        <f t="shared" ca="1" si="1"/>
        <v>155.88887888331584</v>
      </c>
      <c r="G8" s="147">
        <f ca="1">F8*(100%-'Données projet'!$C$24)*(100%-'Données projet'!$C$25)*(100%-'Données projet'!$C$26)*(100%-'Données projet'!$C$27)</f>
        <v>119.25499234573661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119.25499234573661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6587.8914189168127</v>
      </c>
      <c r="G16" s="166">
        <f t="shared" ca="1" si="3"/>
        <v>5039.7369354713619</v>
      </c>
      <c r="H16" s="167">
        <f t="shared" si="3"/>
        <v>249.2026371635327</v>
      </c>
      <c r="I16" s="167">
        <f t="shared" si="3"/>
        <v>190.64001743010249</v>
      </c>
      <c r="J16" s="168">
        <f t="shared" si="3"/>
        <v>1650.811379283077</v>
      </c>
      <c r="K16" s="168">
        <f t="shared" si="3"/>
        <v>1262.8707051515539</v>
      </c>
      <c r="L16" s="169">
        <f t="shared" ca="1" si="3"/>
        <v>6493.2476580530183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Aulne glutineux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4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3349.8568350307655</v>
      </c>
      <c r="U10" s="178">
        <f>'Données projet'!D9</f>
        <v>19.051680000000001</v>
      </c>
      <c r="V10" s="177">
        <f>U10*T10</f>
        <v>63820.400466818937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Aulne glutineux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814.87278105336691</v>
      </c>
      <c r="U11" s="178">
        <f>'Données projet'!D10</f>
        <v>1.0445</v>
      </c>
      <c r="V11" s="177">
        <f t="shared" ref="V11" si="0">U11*T11</f>
        <v>851.1346198102417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1329.995707387272</v>
      </c>
      <c r="U12" s="178">
        <f>'Données projet'!D11</f>
        <v>0.79381999999999997</v>
      </c>
      <c r="V12" s="177">
        <f t="shared" ref="V12:V19" si="1">U12*T12</f>
        <v>1055.7771924381641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2724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11273.379264713272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48.723076923076924</v>
      </c>
      <c r="C24" s="193">
        <v>18</v>
      </c>
      <c r="D24" s="182">
        <f t="shared" ref="D24:D42" si="2">B24*C24</f>
        <v>877.01538461538462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89129.416201025582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2"/>
        <v>1174.6153846153845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200</v>
      </c>
      <c r="Q25" s="234"/>
      <c r="R25" s="23"/>
      <c r="S25" s="186" t="s">
        <v>266</v>
      </c>
      <c r="T25" s="299">
        <f ca="1">T23-T24</f>
        <v>-77856.036936312303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64.523076923076914</v>
      </c>
      <c r="C26" s="193">
        <v>25</v>
      </c>
      <c r="D26" s="182">
        <f t="shared" si="2"/>
        <v>1613.0769230769229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92.661538461538456</v>
      </c>
      <c r="C27" s="193">
        <v>35</v>
      </c>
      <c r="D27" s="182">
        <f t="shared" si="2"/>
        <v>3243.1538461538457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2"/>
        <v>2938.9230769230767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2"/>
        <v>15626.692307692305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4266.6068071338241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191.38755980861245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183.14599024747605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175.25932081098188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167.71226871864297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160.49020930013683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153.57914765563336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146.96569153649125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140.63702539377158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134.58088554427903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128.78553640600865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123.23974775694609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Aulne glutineux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117.93277297315417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112.85432820397527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107.99457244399551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103.34408846315358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98.893864558041756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94.635277089035171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90.560073769411659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86.660357674078142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82.92857193691691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10</v>
      </c>
      <c r="B54" s="181">
        <f>'Données projet'!D62</f>
        <v>1</v>
      </c>
      <c r="C54" s="191">
        <v>10</v>
      </c>
      <c r="D54" s="179">
        <f>B54*C54</f>
        <v>10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79.357485107097517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15</v>
      </c>
      <c r="B55" s="181">
        <f>'Données projet'!D63</f>
        <v>4</v>
      </c>
      <c r="C55" s="191">
        <v>10</v>
      </c>
      <c r="D55" s="179">
        <f t="shared" ref="D55:D73" si="4">B55*C55</f>
        <v>40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75.940177135978502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20</v>
      </c>
      <c r="B56" s="181">
        <f>'Données projet'!D64</f>
        <v>10</v>
      </c>
      <c r="C56" s="191">
        <v>10</v>
      </c>
      <c r="D56" s="179">
        <f t="shared" si="4"/>
        <v>100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72.67002596744355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25</v>
      </c>
      <c r="B57" s="181">
        <f>'Données projet'!D65</f>
        <v>21</v>
      </c>
      <c r="C57" s="191">
        <v>15</v>
      </c>
      <c r="D57" s="179">
        <f t="shared" si="4"/>
        <v>315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69.540694705687613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30</v>
      </c>
      <c r="B58" s="181">
        <f>'Données projet'!D66</f>
        <v>23</v>
      </c>
      <c r="C58" s="191">
        <v>15</v>
      </c>
      <c r="D58" s="179">
        <f t="shared" si="4"/>
        <v>345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66.546119335586241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35</v>
      </c>
      <c r="B59" s="181">
        <f>'Données projet'!D67</f>
        <v>25</v>
      </c>
      <c r="C59" s="191">
        <v>15</v>
      </c>
      <c r="D59" s="179">
        <f t="shared" si="4"/>
        <v>375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63.680496971852875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40</v>
      </c>
      <c r="B60" s="181">
        <f>'Données projet'!D68</f>
        <v>25</v>
      </c>
      <c r="C60" s="191">
        <v>50</v>
      </c>
      <c r="D60" s="179">
        <f t="shared" si="4"/>
        <v>1250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60.938274614213277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45</v>
      </c>
      <c r="B61" s="181">
        <f>'Données projet'!D69</f>
        <v>25</v>
      </c>
      <c r="C61" s="191">
        <v>50</v>
      </c>
      <c r="D61" s="179">
        <f t="shared" si="4"/>
        <v>1250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58.314138386806981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50</v>
      </c>
      <c r="B62" s="181">
        <f>'Données projet'!D70</f>
        <v>24</v>
      </c>
      <c r="C62" s="191">
        <v>50</v>
      </c>
      <c r="D62" s="179">
        <f t="shared" si="4"/>
        <v>1200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55.803003240963605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55</v>
      </c>
      <c r="B63" s="181">
        <f>'Données projet'!D71</f>
        <v>23</v>
      </c>
      <c r="C63" s="191">
        <v>50</v>
      </c>
      <c r="D63" s="179">
        <f t="shared" si="4"/>
        <v>1150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53.4000031014006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60</v>
      </c>
      <c r="B64" s="181">
        <f>'Données projet'!D72</f>
        <v>22</v>
      </c>
      <c r="C64" s="191">
        <v>50</v>
      </c>
      <c r="D64" s="179">
        <f t="shared" si="4"/>
        <v>1100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51.100481436746975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65</v>
      </c>
      <c r="B65" s="181">
        <f>'Données projet'!D73</f>
        <v>20</v>
      </c>
      <c r="C65" s="191">
        <v>50</v>
      </c>
      <c r="D65" s="179">
        <f t="shared" si="4"/>
        <v>1000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48.899982236121538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70</v>
      </c>
      <c r="B66" s="181">
        <f>'Données projet'!D74</f>
        <v>19</v>
      </c>
      <c r="C66" s="191">
        <v>50</v>
      </c>
      <c r="D66" s="179">
        <f t="shared" si="4"/>
        <v>950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46.79424137427899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75</v>
      </c>
      <c r="B67" s="181">
        <f>'Données projet'!D75</f>
        <v>18</v>
      </c>
      <c r="C67" s="191">
        <v>50</v>
      </c>
      <c r="D67" s="179">
        <f t="shared" si="4"/>
        <v>900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44.779178348592339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80</v>
      </c>
      <c r="B68" s="181">
        <f>'Données projet'!D76</f>
        <v>16</v>
      </c>
      <c r="C68" s="191">
        <v>50</v>
      </c>
      <c r="D68" s="179">
        <f t="shared" si="4"/>
        <v>800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42.850888371858694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85</v>
      </c>
      <c r="B69" s="181">
        <f>'Données projet'!D77</f>
        <v>15</v>
      </c>
      <c r="C69" s="191">
        <v>50</v>
      </c>
      <c r="D69" s="179">
        <f t="shared" si="4"/>
        <v>750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41.005634805606419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90</v>
      </c>
      <c r="B70" s="181">
        <f>'Données projet'!D78</f>
        <v>14</v>
      </c>
      <c r="C70" s="191">
        <v>50</v>
      </c>
      <c r="D70" s="179">
        <f t="shared" si="4"/>
        <v>700</v>
      </c>
      <c r="E70" s="193">
        <v>150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39.23984191924059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37.550087960995789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35.933098527268697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34.385740217482017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32.905014562183752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31.488052212616033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30.132107380493814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28.834552517218963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27.592873222219101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26.404663370544601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25.267620450281914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24.179541100748253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23.138316842821293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22.141929993130429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21.188449754191801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34</v>
      </c>
      <c r="B85" s="181">
        <f>'Données projet'!D88</f>
        <v>31.615384615384613</v>
      </c>
      <c r="C85" s="191">
        <v>10</v>
      </c>
      <c r="D85" s="179">
        <f>B85*C85</f>
        <v>316.15384615384613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20.276028472910816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42</v>
      </c>
      <c r="B86" s="181">
        <f>'Données projet'!D89</f>
        <v>45.198717948717949</v>
      </c>
      <c r="C86" s="191">
        <v>10</v>
      </c>
      <c r="D86" s="179">
        <f t="shared" ref="D86:D104" si="6">B86*C86</f>
        <v>451.9871794871795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19.402898060201739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50</v>
      </c>
      <c r="B87" s="181">
        <f>'Données projet'!D90</f>
        <v>52.282051282051285</v>
      </c>
      <c r="C87" s="191">
        <v>50</v>
      </c>
      <c r="D87" s="179">
        <f t="shared" si="6"/>
        <v>2614.1025641025644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18.567366564786358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58</v>
      </c>
      <c r="B88" s="181">
        <f>'Données projet'!D91</f>
        <v>47.467948717948715</v>
      </c>
      <c r="C88" s="191">
        <v>50</v>
      </c>
      <c r="D88" s="179">
        <f t="shared" si="6"/>
        <v>2373.3974358974356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17.7678148945324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66</v>
      </c>
      <c r="B89" s="181">
        <f>'Données projet'!D92</f>
        <v>54.141025641025635</v>
      </c>
      <c r="C89" s="191">
        <v>50</v>
      </c>
      <c r="D89" s="179">
        <f t="shared" si="6"/>
        <v>2707.0512820512818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17.002693678978375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74</v>
      </c>
      <c r="B90" s="181">
        <f>'Données projet'!D93</f>
        <v>52.737179487179482</v>
      </c>
      <c r="C90" s="191">
        <v>50</v>
      </c>
      <c r="D90" s="179">
        <f t="shared" si="6"/>
        <v>2636.8589743589741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82</v>
      </c>
      <c r="B91" s="181">
        <f>'Données projet'!D94</f>
        <v>40.371794871794869</v>
      </c>
      <c r="C91" s="191">
        <v>100</v>
      </c>
      <c r="D91" s="179">
        <f t="shared" si="6"/>
        <v>4037.1794871794868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90</v>
      </c>
      <c r="B92" s="181">
        <f>'Données projet'!D95</f>
        <v>47.307692307692307</v>
      </c>
      <c r="C92" s="191">
        <v>100</v>
      </c>
      <c r="D92" s="179">
        <f t="shared" si="6"/>
        <v>4730.7692307692305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100</v>
      </c>
      <c r="B93" s="181">
        <f>'Données projet'!D96</f>
        <v>63.801282051282051</v>
      </c>
      <c r="C93" s="191">
        <v>150</v>
      </c>
      <c r="D93" s="179">
        <f t="shared" si="6"/>
        <v>9570.1923076923085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110</v>
      </c>
      <c r="B94" s="181">
        <f>'Données projet'!D97</f>
        <v>50.051282051282051</v>
      </c>
      <c r="C94" s="191">
        <v>150</v>
      </c>
      <c r="D94" s="179">
        <f t="shared" si="6"/>
        <v>7507.6923076923076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120</v>
      </c>
      <c r="B95" s="181">
        <f>'Données projet'!D98</f>
        <v>44.929487179487182</v>
      </c>
      <c r="C95" s="191">
        <v>150</v>
      </c>
      <c r="D95" s="179">
        <f t="shared" si="6"/>
        <v>6739.4230769230771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130</v>
      </c>
      <c r="B96" s="181">
        <f>'Données projet'!D99</f>
        <v>51.378205128205131</v>
      </c>
      <c r="C96" s="191">
        <v>200</v>
      </c>
      <c r="D96" s="179">
        <f t="shared" si="6"/>
        <v>10275.641025641025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140</v>
      </c>
      <c r="B97" s="181">
        <f>'Données projet'!D100</f>
        <v>50.467948717948715</v>
      </c>
      <c r="C97" s="191">
        <v>200</v>
      </c>
      <c r="D97" s="179">
        <f t="shared" si="6"/>
        <v>10093.589743589742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150</v>
      </c>
      <c r="B98" s="181">
        <f>'Données projet'!D101</f>
        <v>174.87820512820511</v>
      </c>
      <c r="C98" s="191">
        <v>200</v>
      </c>
      <c r="D98" s="179">
        <f t="shared" si="6"/>
        <v>34975.641025641024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153</v>
      </c>
      <c r="B99" s="181">
        <f>'Données projet'!D102</f>
        <v>105.26282051282051</v>
      </c>
      <c r="C99" s="191">
        <v>200</v>
      </c>
      <c r="D99" s="179">
        <f t="shared" si="6"/>
        <v>21052.564102564102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156</v>
      </c>
      <c r="B100" s="181">
        <f>'Données projet'!D103</f>
        <v>65.070512820512818</v>
      </c>
      <c r="C100" s="191">
        <v>200</v>
      </c>
      <c r="D100" s="179">
        <f t="shared" si="6"/>
        <v>13014.102564102563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159</v>
      </c>
      <c r="B101" s="181">
        <f>'Données projet'!D104</f>
        <v>135.55128205128204</v>
      </c>
      <c r="C101" s="191">
        <v>200</v>
      </c>
      <c r="D101" s="179">
        <f t="shared" si="6"/>
        <v>27110.25641025641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30DC64E1-DCAF-4754-9F1A-444C56C6A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8515BD-C243-4201-81C1-EBA53FC18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E7EEF-C7E8-46AF-8F1C-70F26A852346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2024-09-25T12:23:46Z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