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V- ST VINCENT-de-PERTIGNAS (33) - NEUN Josette\Dossier LBC\"/>
    </mc:Choice>
  </mc:AlternateContent>
  <xr:revisionPtr revIDLastSave="0" documentId="13_ncr:1_{AC450DB6-20C6-4498-A200-E7D3FFD1A16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<sst xmlns="http://schemas.openxmlformats.org/spreadsheetml/2006/main" count="1170" uniqueCount="324">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</sst>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1.7608957954798303</c:v>
                </c:pt>
                <c:pt idx="2">
                  <c:v>2.336641014173154</c:v>
                </c:pt>
                <c:pt idx="3">
                  <c:v>3.1014193633906508</c:v>
                </c:pt>
                <c:pt idx="4">
                  <c:v>4.1175393615057319</c:v>
                </c:pt>
                <c:pt idx="5">
                  <c:v>5.4679226560678194</c:v>
                </c:pt>
                <c:pt idx="6">
                  <c:v>7.2629464403175197</c:v>
                </c:pt>
                <c:pt idx="7">
                  <c:v>9.6495642480454578</c:v>
                </c:pt>
                <c:pt idx="8">
                  <c:v>12.823465937182915</c:v>
                </c:pt>
                <c:pt idx="9">
                  <c:v>17.045292383938435</c:v>
                </c:pt>
                <c:pt idx="10">
                  <c:v>22.662260594722383</c:v>
                </c:pt>
                <c:pt idx="11">
                  <c:v>30.137009345496235</c:v>
                </c:pt>
                <c:pt idx="12">
                  <c:v>40.086082504316209</c:v>
                </c:pt>
                <c:pt idx="13">
                  <c:v>53.331278261346561</c:v>
                </c:pt>
                <c:pt idx="14">
                  <c:v>70.968176284594321</c:v>
                </c:pt>
                <c:pt idx="15">
                  <c:v>94.457603217576732</c:v>
                </c:pt>
                <c:pt idx="16">
                  <c:v>125.7477328207638</c:v>
                </c:pt>
                <c:pt idx="17">
                  <c:v>167.43710479946895</c:v>
                </c:pt>
                <c:pt idx="18">
                  <c:v>222.9923058330485</c:v>
                </c:pt>
                <c:pt idx="19">
                  <c:v>297.03868168099717</c:v>
                </c:pt>
                <c:pt idx="20">
                  <c:v>395.74863405798754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10.221654860295478</c:v>
                </c:pt>
                <c:pt idx="2">
                  <c:v>19.998949519771983</c:v>
                </c:pt>
                <c:pt idx="3">
                  <c:v>29.6327381398707</c:v>
                </c:pt>
                <c:pt idx="4">
                  <c:v>39.178066298279745</c:v>
                </c:pt>
                <c:pt idx="5">
                  <c:v>48.659882455320734</c:v>
                </c:pt>
                <c:pt idx="6">
                  <c:v>58.092418254388406</c:v>
                </c:pt>
                <c:pt idx="7">
                  <c:v>67.484848285704871</c:v>
                </c:pt>
                <c:pt idx="8">
                  <c:v>76.843563013572378</c:v>
                </c:pt>
                <c:pt idx="9">
                  <c:v>86.173259510546401</c:v>
                </c:pt>
                <c:pt idx="10">
                  <c:v>95.477529820975846</c:v>
                </c:pt>
                <c:pt idx="11">
                  <c:v>104.7592060079386</c:v>
                </c:pt>
                <c:pt idx="12">
                  <c:v>114.02057567980363</c:v>
                </c:pt>
                <c:pt idx="13">
                  <c:v>123.26352343536469</c:v>
                </c:pt>
                <c:pt idx="14">
                  <c:v>132.48962746478011</c:v>
                </c:pt>
                <c:pt idx="15">
                  <c:v>141.70022772708563</c:v>
                </c:pt>
                <c:pt idx="16">
                  <c:v>150.89647541242331</c:v>
                </c:pt>
                <c:pt idx="17">
                  <c:v>160.07936967898286</c:v>
                </c:pt>
                <c:pt idx="18">
                  <c:v>169.24978549655808</c:v>
                </c:pt>
                <c:pt idx="19">
                  <c:v>178.40849512525776</c:v>
                </c:pt>
                <c:pt idx="20">
                  <c:v>187.55618494338475</c:v>
                </c:pt>
                <c:pt idx="21">
                  <c:v>196.69346881409535</c:v>
                </c:pt>
                <c:pt idx="22">
                  <c:v>205.82089883389031</c:v>
                </c:pt>
                <c:pt idx="23">
                  <c:v>214.9389740715925</c:v>
                </c:pt>
                <c:pt idx="24">
                  <c:v>224.04814774461713</c:v>
                </c:pt>
                <c:pt idx="25">
                  <c:v>233.14883316549523</c:v>
                </c:pt>
                <c:pt idx="26">
                  <c:v>242.24140871017039</c:v>
                </c:pt>
                <c:pt idx="27">
                  <c:v>251.32622200044386</c:v>
                </c:pt>
                <c:pt idx="28">
                  <c:v>260.40359344937906</c:v>
                </c:pt>
                <c:pt idx="29">
                  <c:v>269.47381928598719</c:v>
                </c:pt>
                <c:pt idx="30">
                  <c:v>278.53717415099356</c:v>
                </c:pt>
                <c:pt idx="31">
                  <c:v>287.59391333677951</c:v>
                </c:pt>
                <c:pt idx="32">
                  <c:v>296.64427473018031</c:v>
                </c:pt>
                <c:pt idx="33">
                  <c:v>305.68848050561127</c:v>
                </c:pt>
                <c:pt idx="34">
                  <c:v>314.72673860720062</c:v>
                </c:pt>
                <c:pt idx="35">
                  <c:v>323.75924405165341</c:v>
                </c:pt>
                <c:pt idx="36">
                  <c:v>332.78618007803192</c:v>
                </c:pt>
                <c:pt idx="37">
                  <c:v>341.80771916619102</c:v>
                </c:pt>
                <c:pt idx="38">
                  <c:v>350.82402394201648</c:v>
                </c:pt>
                <c:pt idx="39">
                  <c:v>359.83524798469381</c:v>
                </c:pt>
                <c:pt idx="40">
                  <c:v>368.84153654885125</c:v>
                </c:pt>
                <c:pt idx="41">
                  <c:v>377.8430272124553</c:v>
                </c:pt>
                <c:pt idx="42">
                  <c:v>386.83985045971781</c:v>
                </c:pt>
                <c:pt idx="43">
                  <c:v>297.21717518827523</c:v>
                </c:pt>
                <c:pt idx="44">
                  <c:v>317.58724822366509</c:v>
                </c:pt>
                <c:pt idx="45">
                  <c:v>337.92839403108047</c:v>
                </c:pt>
                <c:pt idx="46">
                  <c:v>358.24259793484299</c:v>
                </c:pt>
                <c:pt idx="47">
                  <c:v>378.53160178526781</c:v>
                </c:pt>
                <c:pt idx="48">
                  <c:v>398.79694553728058</c:v>
                </c:pt>
                <c:pt idx="49">
                  <c:v>341.42696956725382</c:v>
                </c:pt>
                <c:pt idx="50">
                  <c:v>361.90308592785345</c:v>
                </c:pt>
                <c:pt idx="51">
                  <c:v>382.35388351937019</c:v>
                </c:pt>
                <c:pt idx="52">
                  <c:v>402.78090627015791</c:v>
                </c:pt>
                <c:pt idx="53">
                  <c:v>423.18552880120905</c:v>
                </c:pt>
                <c:pt idx="54">
                  <c:v>443.56898242812048</c:v>
                </c:pt>
                <c:pt idx="55">
                  <c:v>377.70056009818182</c:v>
                </c:pt>
                <c:pt idx="56">
                  <c:v>397.46876752677173</c:v>
                </c:pt>
                <c:pt idx="57">
                  <c:v>417.21568777134922</c:v>
                </c:pt>
                <c:pt idx="58">
                  <c:v>436.94246952460384</c:v>
                </c:pt>
                <c:pt idx="59">
                  <c:v>456.65014935173781</c:v>
                </c:pt>
                <c:pt idx="60">
                  <c:v>476.3396671012872</c:v>
                </c:pt>
                <c:pt idx="61">
                  <c:v>411.90761674960089</c:v>
                </c:pt>
                <c:pt idx="62">
                  <c:v>430.97676436350366</c:v>
                </c:pt>
                <c:pt idx="63">
                  <c:v>450.0277904288144</c:v>
                </c:pt>
                <c:pt idx="64">
                  <c:v>469.06156958966</c:v>
                </c:pt>
                <c:pt idx="65">
                  <c:v>488.07889975735389</c:v>
                </c:pt>
                <c:pt idx="66">
                  <c:v>507.08051163078659</c:v>
                </c:pt>
                <c:pt idx="67">
                  <c:v>438.10226396786555</c:v>
                </c:pt>
                <c:pt idx="68">
                  <c:v>456.48461552128629</c:v>
                </c:pt>
                <c:pt idx="69">
                  <c:v>474.85115911139542</c:v>
                </c:pt>
                <c:pt idx="70">
                  <c:v>493.2025918734027</c:v>
                </c:pt>
                <c:pt idx="71">
                  <c:v>511.53955486237896</c:v>
                </c:pt>
                <c:pt idx="72">
                  <c:v>529.86263945423718</c:v>
                </c:pt>
                <c:pt idx="73">
                  <c:v>460.62257788351417</c:v>
                </c:pt>
                <c:pt idx="74">
                  <c:v>477.66270222958747</c:v>
                </c:pt>
                <c:pt idx="75">
                  <c:v>494.68990346234278</c:v>
                </c:pt>
                <c:pt idx="76">
                  <c:v>511.70468879561594</c:v>
                </c:pt>
                <c:pt idx="77">
                  <c:v>528.70752897913144</c:v>
                </c:pt>
                <c:pt idx="78">
                  <c:v>545.69886203239582</c:v>
                </c:pt>
                <c:pt idx="79">
                  <c:v>480.47389339882125</c:v>
                </c:pt>
                <c:pt idx="80">
                  <c:v>496.50760006666104</c:v>
                </c:pt>
                <c:pt idx="81">
                  <c:v>512.53034158476851</c:v>
                </c:pt>
                <c:pt idx="82">
                  <c:v>528.5425088623582</c:v>
                </c:pt>
                <c:pt idx="83">
                  <c:v>544.54446720340138</c:v>
                </c:pt>
                <c:pt idx="84">
                  <c:v>560.53655870248656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16" sqref="E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5.32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0.313</v>
      </c>
      <c r="D9" s="36">
        <f t="shared" ref="D9:D18" si="0">C9*$C$5</f>
        <v>1.6651600000000002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0.68700000000000006</v>
      </c>
      <c r="D10" s="36">
        <f t="shared" si="0"/>
        <v>3.6548400000000005</v>
      </c>
      <c r="E10" s="37">
        <v>84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5.32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357</v>
      </c>
      <c r="C36" s="63">
        <v>1</v>
      </c>
      <c r="D36" s="63">
        <v>357</v>
      </c>
      <c r="E36" s="54">
        <v>1</v>
      </c>
      <c r="F36" s="54"/>
      <c r="G36" s="54"/>
      <c r="H36" s="54"/>
      <c r="I36" s="52">
        <f>IFERROR(B36/A36,"")</f>
        <v>17.850000000000001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42</v>
      </c>
      <c r="B62" s="63">
        <v>379</v>
      </c>
      <c r="C62" s="63">
        <v>1</v>
      </c>
      <c r="D62" s="63">
        <v>110</v>
      </c>
      <c r="E62" s="54"/>
      <c r="F62" s="54"/>
      <c r="G62" s="54"/>
      <c r="H62" s="54"/>
      <c r="I62" s="56">
        <f>IFERROR(B62/A62,"")</f>
        <v>9.0238095238095237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48</v>
      </c>
      <c r="B63" s="63">
        <v>391</v>
      </c>
      <c r="C63" s="63">
        <v>2</v>
      </c>
      <c r="D63" s="63">
        <v>78</v>
      </c>
      <c r="E63" s="54"/>
      <c r="F63" s="54"/>
      <c r="G63" s="54"/>
      <c r="H63" s="54"/>
      <c r="I63" s="52">
        <f>IF(A63&lt;&gt;0,(B63-(B62-D62))/(A63-A62),"")</f>
        <v>20.333333333333332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54</v>
      </c>
      <c r="B64" s="63">
        <v>436</v>
      </c>
      <c r="C64" s="63">
        <v>3</v>
      </c>
      <c r="D64" s="63">
        <v>86</v>
      </c>
      <c r="E64" s="54"/>
      <c r="F64" s="54"/>
      <c r="G64" s="54"/>
      <c r="H64" s="54"/>
      <c r="I64" s="52">
        <f>IF(A64&lt;&gt;0,(B64-(B63-D63))/(A64-A63),"")</f>
        <v>20.5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60</v>
      </c>
      <c r="B65" s="63">
        <v>469</v>
      </c>
      <c r="C65" s="63">
        <v>4</v>
      </c>
      <c r="D65" s="63">
        <v>84</v>
      </c>
      <c r="E65" s="54"/>
      <c r="F65" s="54"/>
      <c r="G65" s="54"/>
      <c r="H65" s="54"/>
      <c r="I65" s="52">
        <f>IF(A65&lt;&gt;0,(B65-(B64-D64))/(A65-A64),"")</f>
        <v>19.833333333333332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66</v>
      </c>
      <c r="B66" s="63">
        <v>500</v>
      </c>
      <c r="C66" s="63">
        <v>5</v>
      </c>
      <c r="D66" s="63">
        <v>88</v>
      </c>
      <c r="E66" s="54"/>
      <c r="F66" s="54"/>
      <c r="G66" s="54"/>
      <c r="H66" s="54"/>
      <c r="I66" s="52">
        <f t="shared" ref="I66:I81" si="2">IF(A66&lt;&gt;0,(B66-(B65-D65))/(A66-A65),"")</f>
        <v>19.166666666666668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72</v>
      </c>
      <c r="B67" s="63">
        <v>523</v>
      </c>
      <c r="C67" s="63">
        <v>6</v>
      </c>
      <c r="D67" s="63">
        <v>87</v>
      </c>
      <c r="E67" s="54"/>
      <c r="F67" s="54"/>
      <c r="G67" s="54"/>
      <c r="H67" s="54"/>
      <c r="I67" s="52">
        <f t="shared" si="2"/>
        <v>18.5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78</v>
      </c>
      <c r="B68" s="63">
        <v>539</v>
      </c>
      <c r="C68" s="63">
        <v>7</v>
      </c>
      <c r="D68" s="63">
        <v>82</v>
      </c>
      <c r="E68" s="54"/>
      <c r="F68" s="54"/>
      <c r="G68" s="54"/>
      <c r="H68" s="54"/>
      <c r="I68" s="52">
        <f t="shared" si="2"/>
        <v>17.166666666666668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84</v>
      </c>
      <c r="B69" s="53">
        <v>554</v>
      </c>
      <c r="C69" s="53">
        <v>8</v>
      </c>
      <c r="D69" s="53">
        <v>554</v>
      </c>
      <c r="E69" s="54"/>
      <c r="F69" s="54"/>
      <c r="G69" s="54"/>
      <c r="H69" s="54"/>
      <c r="I69" s="52">
        <f t="shared" si="2"/>
        <v>16.166666666666668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Cèdre de l'Atlas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91.036856009570386</v>
      </c>
      <c r="T3" s="62">
        <f>IF('Données projet'!E9&gt;30,$R$33-$H$33,LOOKUP('Données projet'!$E$9,$A$3:$A$203,R3:R203)-LOOKUP('Données projet'!$E$9,$A$3:$A$203,$H$3:$H$203))</f>
        <v>443.00653800162456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398.15858227099039</v>
      </c>
      <c r="AO3" s="62">
        <f>IF('Données projet'!E10&gt;30,$AM$33-$H$33,LOOKUP('Données projet'!$E$10,$A$3:$A$203,AM3:AM203)-LOOKUP('Données projet'!$E$10,$A$3:$A$203,$H$3:$H$203))</f>
        <v>353.78046004921737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17.850000000000001</v>
      </c>
      <c r="N4" s="14">
        <f>IF('Données projet'!$A$36&gt;35,N3+M4-V3,IF(A4&lt;'Données projet'!$A$36,$K$205^A4,IF(A4='Données projet'!$A$36,'Données projet'!$B$36,N3+M4-V3)))</f>
        <v>1.3416320076871513</v>
      </c>
      <c r="O4" s="14">
        <f>N4*VLOOKUP('Données projet'!$B$9,Paramètres!$A$1:$I$89,3,0)*VLOOKUP('Données projet'!$B$9,Paramètres!$A$1:$I$89,5,0)</f>
        <v>0.6823003738293778</v>
      </c>
      <c r="P4" s="14">
        <f>EXP(-1.0587+0.8836*LN(O4)+0.284)</f>
        <v>0.32874027429301295</v>
      </c>
      <c r="Q4" s="22">
        <f t="shared" ref="Q4:Q34" si="2">(O4+P4)*0.475*44/12</f>
        <v>1.7608957954798303</v>
      </c>
      <c r="R4" s="62">
        <f t="shared" si="0"/>
        <v>122.73357318170186</v>
      </c>
      <c r="S4" s="62">
        <f ca="1">AVERAGE(OFFSET($R$3,0,0,'Données projet'!$E$9+1,1))-AVERAGE(OFFSET($H$3,0,0,'Données projet'!$E$9+1,1))</f>
        <v>91.036856009570386</v>
      </c>
      <c r="T4" s="62">
        <f>$T$3</f>
        <v>443.00653800162456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9.0238095238095237</v>
      </c>
      <c r="AI4" s="14">
        <f>IF('Données projet'!$A$62&gt;35,AI3+AH4-AQ3,IF(A4&lt;'Données projet'!$A$62,$AF$205^A4,IF(A4='Données projet'!$A$62,'Données projet'!$B$62,AI3+AH4-AQ3)))</f>
        <v>9.0238095238095237</v>
      </c>
      <c r="AJ4" s="14">
        <f>AI4*VLOOKUP('Données projet'!$B$10,Paramètres!$A$1:$I$89,3,0)*VLOOKUP('Données projet'!$B$10,Paramètres!$A$1:$I$89,5,0)</f>
        <v>4.2231428571428564</v>
      </c>
      <c r="AK4" s="14">
        <f>EXP(-1.0587+0.8836*LN(AJ4)+0.284)</f>
        <v>1.645749885610529</v>
      </c>
      <c r="AL4" s="22">
        <f t="shared" ref="AL4:AL67" si="4">(AJ4+AK4)*0.475*44/12</f>
        <v>10.221654860295478</v>
      </c>
      <c r="AM4" s="62">
        <f t="shared" ref="AM4:AM67" si="5">AL4+(AD4+AE4)*44/12</f>
        <v>131.19433224651752</v>
      </c>
      <c r="AN4" s="62">
        <f ca="1">AVERAGE(OFFSET($AM$3,0,0,'Données projet'!$E$10+1,1))-AVERAGE(OFFSET($H$3,0,0,'Données projet'!$E$10+1,1))</f>
        <v>398.15858227099039</v>
      </c>
      <c r="AO4" s="62">
        <f>$AO$3</f>
        <v>353.78046004921737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17.850000000000001</v>
      </c>
      <c r="N5" s="14">
        <f>IF('Données projet'!$A$36&gt;35,N4+M5-V4,IF(A5&lt;'Données projet'!$A$36,$K$205^A5,IF(A5='Données projet'!$A$36,'Données projet'!$B$36,N4+M5-V4)))</f>
        <v>1.7999764440506565</v>
      </c>
      <c r="O5" s="14">
        <f>N5*VLOOKUP('Données projet'!$B$9,Paramètres!$A$1:$I$89,3,0)*VLOOKUP('Données projet'!$B$9,Paramètres!$A$1:$I$89,5,0)</f>
        <v>0.91539602038640189</v>
      </c>
      <c r="P5" s="14">
        <f t="shared" ref="P5:P68" si="33">EXP(-1.0587+0.8836*LN(O5)+0.284)</f>
        <v>0.42621604516756206</v>
      </c>
      <c r="Q5" s="22">
        <f t="shared" si="2"/>
        <v>2.336641014173154</v>
      </c>
      <c r="R5" s="62">
        <f t="shared" si="0"/>
        <v>126.90673079339668</v>
      </c>
      <c r="S5" s="62">
        <f ca="1">AVERAGE(OFFSET($R$3,0,0,'Données projet'!$E$9+1,1))-AVERAGE(OFFSET($H$3,0,0,'Données projet'!$E$9+1,1))</f>
        <v>91.036856009570386</v>
      </c>
      <c r="T5" s="62">
        <f t="shared" ref="T5:T68" si="34">$T$3</f>
        <v>443.00653800162456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9.0238095238095237</v>
      </c>
      <c r="AI5" s="14">
        <f>IF('Données projet'!$A$62&gt;35,AI4+AH5-AQ4,IF(A5&lt;'Données projet'!$A$62,$AF$205^A5,IF(A5='Données projet'!$A$62,'Données projet'!$B$62,AI4+AH5-AQ4)))</f>
        <v>18.047619047619047</v>
      </c>
      <c r="AJ5" s="14">
        <f>AI5*VLOOKUP('Données projet'!$B$10,Paramètres!$A$1:$I$89,3,0)*VLOOKUP('Données projet'!$B$10,Paramètres!$A$1:$I$89,5,0)</f>
        <v>8.4462857142857128</v>
      </c>
      <c r="AK5" s="14">
        <f t="shared" ref="AK5:AK68" si="35">EXP(-1.0587+0.8836*LN(AJ5)+0.284)</f>
        <v>3.0363647276886327</v>
      </c>
      <c r="AL5" s="22">
        <f t="shared" si="4"/>
        <v>19.998949519771983</v>
      </c>
      <c r="AM5" s="62">
        <f t="shared" si="5"/>
        <v>144.56903929899551</v>
      </c>
      <c r="AN5" s="62">
        <f ca="1">AVERAGE(OFFSET($AM$3,0,0,'Données projet'!$E$10+1,1))-AVERAGE(OFFSET($H$3,0,0,'Données projet'!$E$10+1,1))</f>
        <v>398.15858227099039</v>
      </c>
      <c r="AO5" s="62">
        <f t="shared" ref="AO5:AO68" si="36">$AO$3</f>
        <v>353.78046004921737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17.850000000000001</v>
      </c>
      <c r="N6" s="14">
        <f>IF('Données projet'!$A$36&gt;35,N5+M6-V5,IF(A6&lt;'Données projet'!$A$36,$K$205^A6,IF(A6='Données projet'!$A$36,'Données projet'!$B$36,N5+M6-V5)))</f>
        <v>2.4149060104212614</v>
      </c>
      <c r="O6" s="14">
        <f>N6*VLOOKUP('Données projet'!$B$9,Paramètres!$A$1:$I$89,3,0)*VLOOKUP('Données projet'!$B$9,Paramètres!$A$1:$I$89,5,0)</f>
        <v>1.2281246006598368</v>
      </c>
      <c r="P6" s="14">
        <f t="shared" si="33"/>
        <v>0.55259465104771399</v>
      </c>
      <c r="Q6" s="22">
        <f t="shared" si="2"/>
        <v>3.1014193633906508</v>
      </c>
      <c r="R6" s="62">
        <f t="shared" si="0"/>
        <v>131.22771729628235</v>
      </c>
      <c r="S6" s="62">
        <f ca="1">AVERAGE(OFFSET($R$3,0,0,'Données projet'!$E$9+1,1))-AVERAGE(OFFSET($H$3,0,0,'Données projet'!$E$9+1,1))</f>
        <v>91.036856009570386</v>
      </c>
      <c r="T6" s="62">
        <f t="shared" si="34"/>
        <v>443.00653800162456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9.0238095238095237</v>
      </c>
      <c r="AI6" s="14">
        <f>IF('Données projet'!$A$62&gt;35,AI5+AH6-AQ5,IF(A6&lt;'Données projet'!$A$62,$AF$205^A6,IF(A6='Données projet'!$A$62,'Données projet'!$B$62,AI5+AH6-AQ5)))</f>
        <v>27.071428571428569</v>
      </c>
      <c r="AJ6" s="14">
        <f>AI6*VLOOKUP('Données projet'!$B$10,Paramètres!$A$1:$I$89,3,0)*VLOOKUP('Données projet'!$B$10,Paramètres!$A$1:$I$89,5,0)</f>
        <v>12.66942857142857</v>
      </c>
      <c r="AK6" s="14">
        <f t="shared" si="35"/>
        <v>4.3445837576837958</v>
      </c>
      <c r="AL6" s="22">
        <f t="shared" si="4"/>
        <v>29.6327381398707</v>
      </c>
      <c r="AM6" s="62">
        <f t="shared" si="5"/>
        <v>157.7590360727624</v>
      </c>
      <c r="AN6" s="62">
        <f ca="1">AVERAGE(OFFSET($AM$3,0,0,'Données projet'!$E$10+1,1))-AVERAGE(OFFSET($H$3,0,0,'Données projet'!$E$10+1,1))</f>
        <v>398.15858227099039</v>
      </c>
      <c r="AO6" s="62">
        <f t="shared" si="36"/>
        <v>353.78046004921737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17.850000000000001</v>
      </c>
      <c r="N7" s="14">
        <f>IF('Données projet'!$A$36&gt;35,N6+M7-V6,IF(A7&lt;'Données projet'!$A$36,$K$205^A7,IF(A7='Données projet'!$A$36,'Données projet'!$B$36,N6+M7-V6)))</f>
        <v>3.2399151991372461</v>
      </c>
      <c r="O7" s="14">
        <f>N7*VLOOKUP('Données projet'!$B$9,Paramètres!$A$1:$I$89,3,0)*VLOOKUP('Données projet'!$B$9,Paramètres!$A$1:$I$89,5,0)</f>
        <v>1.6476912736732381</v>
      </c>
      <c r="P7" s="14">
        <f t="shared" si="33"/>
        <v>0.71644615877024476</v>
      </c>
      <c r="Q7" s="22">
        <f t="shared" si="2"/>
        <v>4.1175393615057319</v>
      </c>
      <c r="R7" s="62">
        <f t="shared" si="0"/>
        <v>135.75955601016582</v>
      </c>
      <c r="S7" s="62">
        <f ca="1">AVERAGE(OFFSET($R$3,0,0,'Données projet'!$E$9+1,1))-AVERAGE(OFFSET($H$3,0,0,'Données projet'!$E$9+1,1))</f>
        <v>91.036856009570386</v>
      </c>
      <c r="T7" s="62">
        <f t="shared" si="34"/>
        <v>443.00653800162456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9.0238095238095237</v>
      </c>
      <c r="AI7" s="14">
        <f>IF('Données projet'!$A$62&gt;35,AI6+AH7-AQ6,IF(A7&lt;'Données projet'!$A$62,$AF$205^A7,IF(A7='Données projet'!$A$62,'Données projet'!$B$62,AI6+AH7-AQ6)))</f>
        <v>36.095238095238095</v>
      </c>
      <c r="AJ7" s="14">
        <f>AI7*VLOOKUP('Données projet'!$B$10,Paramètres!$A$1:$I$89,3,0)*VLOOKUP('Données projet'!$B$10,Paramètres!$A$1:$I$89,5,0)</f>
        <v>16.892571428571426</v>
      </c>
      <c r="AK7" s="14">
        <f t="shared" si="35"/>
        <v>5.6020120919719671</v>
      </c>
      <c r="AL7" s="22">
        <f t="shared" si="4"/>
        <v>39.178066298279745</v>
      </c>
      <c r="AM7" s="62">
        <f t="shared" si="5"/>
        <v>170.82008294693986</v>
      </c>
      <c r="AN7" s="62">
        <f ca="1">AVERAGE(OFFSET($AM$3,0,0,'Données projet'!$E$10+1,1))-AVERAGE(OFFSET($H$3,0,0,'Données projet'!$E$10+1,1))</f>
        <v>398.15858227099039</v>
      </c>
      <c r="AO7" s="62">
        <f t="shared" si="36"/>
        <v>353.78046004921737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17.850000000000001</v>
      </c>
      <c r="N8" s="14">
        <f>IF('Données projet'!$A$36&gt;35,N7+M8-V7,IF(A8&lt;'Données projet'!$A$36,$K$205^A8,IF(A8='Données projet'!$A$36,'Données projet'!$B$36,N7+M8-V7)))</f>
        <v>4.34677393335462</v>
      </c>
      <c r="O8" s="14">
        <f>N8*VLOOKUP('Données projet'!$B$9,Paramètres!$A$1:$I$89,3,0)*VLOOKUP('Données projet'!$B$9,Paramètres!$A$1:$I$89,5,0)</f>
        <v>2.210595351546826</v>
      </c>
      <c r="P8" s="14">
        <f t="shared" si="33"/>
        <v>0.92888177155431417</v>
      </c>
      <c r="Q8" s="22">
        <f t="shared" si="2"/>
        <v>5.4679226560678194</v>
      </c>
      <c r="R8" s="62">
        <f t="shared" si="0"/>
        <v>140.58587098382333</v>
      </c>
      <c r="S8" s="62">
        <f ca="1">AVERAGE(OFFSET($R$3,0,0,'Données projet'!$E$9+1,1))-AVERAGE(OFFSET($H$3,0,0,'Données projet'!$E$9+1,1))</f>
        <v>91.036856009570386</v>
      </c>
      <c r="T8" s="62">
        <f t="shared" si="34"/>
        <v>443.00653800162456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9.0238095238095237</v>
      </c>
      <c r="AI8" s="14">
        <f>IF('Données projet'!$A$62&gt;35,AI7+AH8-AQ7,IF(A8&lt;'Données projet'!$A$62,$AF$205^A8,IF(A8='Données projet'!$A$62,'Données projet'!$B$62,AI7+AH8-AQ7)))</f>
        <v>45.11904761904762</v>
      </c>
      <c r="AJ8" s="14">
        <f>AI8*VLOOKUP('Données projet'!$B$10,Paramètres!$A$1:$I$89,3,0)*VLOOKUP('Données projet'!$B$10,Paramètres!$A$1:$I$89,5,0)</f>
        <v>21.115714285714287</v>
      </c>
      <c r="AK8" s="14">
        <f t="shared" si="35"/>
        <v>6.8229742053789595</v>
      </c>
      <c r="AL8" s="22">
        <f t="shared" si="4"/>
        <v>48.659882455320734</v>
      </c>
      <c r="AM8" s="62">
        <f t="shared" si="5"/>
        <v>183.77783078307624</v>
      </c>
      <c r="AN8" s="62">
        <f ca="1">AVERAGE(OFFSET($AM$3,0,0,'Données projet'!$E$10+1,1))-AVERAGE(OFFSET($H$3,0,0,'Données projet'!$E$10+1,1))</f>
        <v>398.15858227099039</v>
      </c>
      <c r="AO8" s="62">
        <f t="shared" si="36"/>
        <v>353.78046004921737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17.850000000000001</v>
      </c>
      <c r="N9" s="14">
        <f>IF('Données projet'!$A$36&gt;35,N8+M9-V8,IF(A9&lt;'Données projet'!$A$36,$K$205^A9,IF(A9='Données projet'!$A$36,'Données projet'!$B$36,N8+M9-V8)))</f>
        <v>5.8317710391687347</v>
      </c>
      <c r="O9" s="14">
        <f>N9*VLOOKUP('Données projet'!$B$9,Paramètres!$A$1:$I$89,3,0)*VLOOKUP('Données projet'!$B$9,Paramètres!$A$1:$I$89,5,0)</f>
        <v>2.965805479679652</v>
      </c>
      <c r="P9" s="14">
        <f t="shared" si="33"/>
        <v>1.2043073090194023</v>
      </c>
      <c r="Q9" s="22">
        <f t="shared" si="2"/>
        <v>7.2629464403175197</v>
      </c>
      <c r="R9" s="62">
        <f t="shared" si="0"/>
        <v>145.81772962663118</v>
      </c>
      <c r="S9" s="62">
        <f ca="1">AVERAGE(OFFSET($R$3,0,0,'Données projet'!$E$9+1,1))-AVERAGE(OFFSET($H$3,0,0,'Données projet'!$E$9+1,1))</f>
        <v>91.036856009570386</v>
      </c>
      <c r="T9" s="62">
        <f t="shared" si="34"/>
        <v>443.00653800162456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9.0238095238095237</v>
      </c>
      <c r="AI9" s="14">
        <f>IF('Données projet'!$A$62&gt;35,AI8+AH9-AQ8,IF(A9&lt;'Données projet'!$A$62,$AF$205^A9,IF(A9='Données projet'!$A$62,'Données projet'!$B$62,AI8+AH9-AQ8)))</f>
        <v>54.142857142857146</v>
      </c>
      <c r="AJ9" s="14">
        <f>AI9*VLOOKUP('Données projet'!$B$10,Paramètres!$A$1:$I$89,3,0)*VLOOKUP('Données projet'!$B$10,Paramètres!$A$1:$I$89,5,0)</f>
        <v>25.338857142857144</v>
      </c>
      <c r="AK9" s="14">
        <f t="shared" si="35"/>
        <v>8.0156413764089276</v>
      </c>
      <c r="AL9" s="22">
        <f t="shared" si="4"/>
        <v>58.092418254388406</v>
      </c>
      <c r="AM9" s="62">
        <f t="shared" si="5"/>
        <v>196.64720144070208</v>
      </c>
      <c r="AN9" s="62">
        <f ca="1">AVERAGE(OFFSET($AM$3,0,0,'Données projet'!$E$10+1,1))-AVERAGE(OFFSET($H$3,0,0,'Données projet'!$E$10+1,1))</f>
        <v>398.15858227099039</v>
      </c>
      <c r="AO9" s="62">
        <f t="shared" si="36"/>
        <v>353.78046004921737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17.850000000000001</v>
      </c>
      <c r="N10" s="14">
        <f>IF('Données projet'!$A$36&gt;35,N9+M10-V9,IF(A10&lt;'Données projet'!$A$36,$K$205^A10,IF(A10='Données projet'!$A$36,'Données projet'!$B$36,N9+M10-V9)))</f>
        <v>7.8240906876517338</v>
      </c>
      <c r="O10" s="14">
        <f>N10*VLOOKUP('Données projet'!$B$9,Paramètres!$A$1:$I$89,3,0)*VLOOKUP('Données projet'!$B$9,Paramètres!$A$1:$I$89,5,0)</f>
        <v>3.9790195601121661</v>
      </c>
      <c r="P10" s="14">
        <f t="shared" si="33"/>
        <v>1.5614001038373788</v>
      </c>
      <c r="Q10" s="22">
        <f t="shared" si="2"/>
        <v>9.6495642480454578</v>
      </c>
      <c r="R10" s="62">
        <f t="shared" si="0"/>
        <v>151.60276371480899</v>
      </c>
      <c r="S10" s="62">
        <f ca="1">AVERAGE(OFFSET($R$3,0,0,'Données projet'!$E$9+1,1))-AVERAGE(OFFSET($H$3,0,0,'Données projet'!$E$9+1,1))</f>
        <v>91.036856009570386</v>
      </c>
      <c r="T10" s="62">
        <f t="shared" si="34"/>
        <v>443.00653800162456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9.0238095238095237</v>
      </c>
      <c r="AI10" s="14">
        <f>IF('Données projet'!$A$62&gt;35,AI9+AH10-AQ9,IF(A10&lt;'Données projet'!$A$62,$AF$205^A10,IF(A10='Données projet'!$A$62,'Données projet'!$B$62,AI9+AH10-AQ9)))</f>
        <v>63.166666666666671</v>
      </c>
      <c r="AJ10" s="14">
        <f>AI10*VLOOKUP('Données projet'!$B$10,Paramètres!$A$1:$I$89,3,0)*VLOOKUP('Données projet'!$B$10,Paramètres!$A$1:$I$89,5,0)</f>
        <v>29.562000000000005</v>
      </c>
      <c r="AK10" s="14">
        <f t="shared" si="35"/>
        <v>9.1852813123664294</v>
      </c>
      <c r="AL10" s="22">
        <f t="shared" si="4"/>
        <v>67.484848285704871</v>
      </c>
      <c r="AM10" s="62">
        <f t="shared" si="5"/>
        <v>209.43804775246838</v>
      </c>
      <c r="AN10" s="62">
        <f ca="1">AVERAGE(OFFSET($AM$3,0,0,'Données projet'!$E$10+1,1))-AVERAGE(OFFSET($H$3,0,0,'Données projet'!$E$10+1,1))</f>
        <v>398.15858227099039</v>
      </c>
      <c r="AO10" s="62">
        <f t="shared" si="36"/>
        <v>353.78046004921737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17.850000000000001</v>
      </c>
      <c r="N11" s="14">
        <f>IF('Données projet'!$A$36&gt;35,N10+M11-V10,IF(A11&lt;'Données projet'!$A$36,$K$205^A11,IF(A11='Données projet'!$A$36,'Données projet'!$B$36,N10+M11-V10)))</f>
        <v>10.497050497600542</v>
      </c>
      <c r="O11" s="14">
        <f>N11*VLOOKUP('Données projet'!$B$9,Paramètres!$A$1:$I$89,3,0)*VLOOKUP('Données projet'!$B$9,Paramètres!$A$1:$I$89,5,0)</f>
        <v>5.3383800010597318</v>
      </c>
      <c r="P11" s="14">
        <f t="shared" si="33"/>
        <v>2.0243755609591667</v>
      </c>
      <c r="Q11" s="22">
        <f t="shared" si="2"/>
        <v>12.823465937182915</v>
      </c>
      <c r="R11" s="62">
        <f t="shared" si="0"/>
        <v>158.13732958272706</v>
      </c>
      <c r="S11" s="62">
        <f ca="1">AVERAGE(OFFSET($R$3,0,0,'Données projet'!$E$9+1,1))-AVERAGE(OFFSET($H$3,0,0,'Données projet'!$E$9+1,1))</f>
        <v>91.036856009570386</v>
      </c>
      <c r="T11" s="62">
        <f t="shared" si="34"/>
        <v>443.00653800162456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9.0238095238095237</v>
      </c>
      <c r="AI11" s="14">
        <f>IF('Données projet'!$A$62&gt;35,AI10+AH11-AQ10,IF(A11&lt;'Données projet'!$A$62,$AF$205^A11,IF(A11='Données projet'!$A$62,'Données projet'!$B$62,AI10+AH11-AQ10)))</f>
        <v>72.19047619047619</v>
      </c>
      <c r="AJ11" s="14">
        <f>AI11*VLOOKUP('Données projet'!$B$10,Paramètres!$A$1:$I$89,3,0)*VLOOKUP('Données projet'!$B$10,Paramètres!$A$1:$I$89,5,0)</f>
        <v>33.785142857142851</v>
      </c>
      <c r="AK11" s="14">
        <f t="shared" si="35"/>
        <v>10.33556317935804</v>
      </c>
      <c r="AL11" s="22">
        <f t="shared" si="4"/>
        <v>76.843563013572378</v>
      </c>
      <c r="AM11" s="62">
        <f t="shared" si="5"/>
        <v>222.15742665911654</v>
      </c>
      <c r="AN11" s="62">
        <f ca="1">AVERAGE(OFFSET($AM$3,0,0,'Données projet'!$E$10+1,1))-AVERAGE(OFFSET($H$3,0,0,'Données projet'!$E$10+1,1))</f>
        <v>398.15858227099039</v>
      </c>
      <c r="AO11" s="62">
        <f t="shared" si="36"/>
        <v>353.78046004921737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17.850000000000001</v>
      </c>
      <c r="N12" s="14">
        <f>IF('Données projet'!$A$36&gt;35,N11+M12-V11,IF(A12&lt;'Données projet'!$A$36,$K$205^A12,IF(A12='Données projet'!$A$36,'Données projet'!$B$36,N11+M12-V11)))</f>
        <v>14.083178933889226</v>
      </c>
      <c r="O12" s="14">
        <f>N12*VLOOKUP('Données projet'!$B$9,Paramètres!$A$1:$I$89,3,0)*VLOOKUP('Données projet'!$B$9,Paramètres!$A$1:$I$89,5,0)</f>
        <v>7.1621414786187048</v>
      </c>
      <c r="P12" s="14">
        <f t="shared" si="33"/>
        <v>2.6246292681402061</v>
      </c>
      <c r="Q12" s="22">
        <f t="shared" si="2"/>
        <v>17.045292383938435</v>
      </c>
      <c r="R12" s="62">
        <f t="shared" si="0"/>
        <v>165.68272302115693</v>
      </c>
      <c r="S12" s="62">
        <f ca="1">AVERAGE(OFFSET($R$3,0,0,'Données projet'!$E$9+1,1))-AVERAGE(OFFSET($H$3,0,0,'Données projet'!$E$9+1,1))</f>
        <v>91.036856009570386</v>
      </c>
      <c r="T12" s="62">
        <f t="shared" si="34"/>
        <v>443.00653800162456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9.0238095238095237</v>
      </c>
      <c r="AI12" s="14">
        <f>IF('Données projet'!$A$62&gt;35,AI11+AH12-AQ11,IF(A12&lt;'Données projet'!$A$62,$AF$205^A12,IF(A12='Données projet'!$A$62,'Données projet'!$B$62,AI11+AH12-AQ11)))</f>
        <v>81.214285714285708</v>
      </c>
      <c r="AJ12" s="14">
        <f>AI12*VLOOKUP('Données projet'!$B$10,Paramètres!$A$1:$I$89,3,0)*VLOOKUP('Données projet'!$B$10,Paramètres!$A$1:$I$89,5,0)</f>
        <v>38.008285714285712</v>
      </c>
      <c r="AK12" s="14">
        <f t="shared" si="35"/>
        <v>11.469183861147634</v>
      </c>
      <c r="AL12" s="22">
        <f t="shared" si="4"/>
        <v>86.173259510546401</v>
      </c>
      <c r="AM12" s="62">
        <f t="shared" si="5"/>
        <v>234.81069014776489</v>
      </c>
      <c r="AN12" s="62">
        <f ca="1">AVERAGE(OFFSET($AM$3,0,0,'Données projet'!$E$10+1,1))-AVERAGE(OFFSET($H$3,0,0,'Données projet'!$E$10+1,1))</f>
        <v>398.15858227099039</v>
      </c>
      <c r="AO12" s="62">
        <f t="shared" si="36"/>
        <v>353.78046004921737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17.850000000000001</v>
      </c>
      <c r="N13" s="14">
        <f>IF('Données projet'!$A$36&gt;35,N12+M13-V12,IF(A13&lt;'Données projet'!$A$36,$K$205^A13,IF(A13='Données projet'!$A$36,'Données projet'!$B$36,N12+M13-V12)))</f>
        <v>18.894443627691199</v>
      </c>
      <c r="O13" s="14">
        <f>N13*VLOOKUP('Données projet'!$B$9,Paramètres!$A$1:$I$89,3,0)*VLOOKUP('Données projet'!$B$9,Paramètres!$A$1:$I$89,5,0)</f>
        <v>9.6089582512986365</v>
      </c>
      <c r="P13" s="14">
        <f t="shared" si="33"/>
        <v>3.4028660136137376</v>
      </c>
      <c r="Q13" s="22">
        <f t="shared" si="2"/>
        <v>22.662260594722383</v>
      </c>
      <c r="R13" s="62">
        <f t="shared" si="0"/>
        <v>174.58680458976841</v>
      </c>
      <c r="S13" s="62">
        <f ca="1">AVERAGE(OFFSET($R$3,0,0,'Données projet'!$E$9+1,1))-AVERAGE(OFFSET($H$3,0,0,'Données projet'!$E$9+1,1))</f>
        <v>91.036856009570386</v>
      </c>
      <c r="T13" s="62">
        <f t="shared" si="34"/>
        <v>443.00653800162456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9.0238095238095237</v>
      </c>
      <c r="AI13" s="14">
        <f>IF('Données projet'!$A$62&gt;35,AI12+AH13-AQ12,IF(A13&lt;'Données projet'!$A$62,$AF$205^A13,IF(A13='Données projet'!$A$62,'Données projet'!$B$62,AI12+AH13-AQ12)))</f>
        <v>90.238095238095227</v>
      </c>
      <c r="AJ13" s="14">
        <f>AI13*VLOOKUP('Données projet'!$B$10,Paramètres!$A$1:$I$89,3,0)*VLOOKUP('Données projet'!$B$10,Paramètres!$A$1:$I$89,5,0)</f>
        <v>42.231428571428566</v>
      </c>
      <c r="AK13" s="14">
        <f t="shared" si="35"/>
        <v>12.58820577554321</v>
      </c>
      <c r="AL13" s="22">
        <f t="shared" si="4"/>
        <v>95.477529820975846</v>
      </c>
      <c r="AM13" s="62">
        <f t="shared" si="5"/>
        <v>247.40207381602187</v>
      </c>
      <c r="AN13" s="62">
        <f ca="1">AVERAGE(OFFSET($AM$3,0,0,'Données projet'!$E$10+1,1))-AVERAGE(OFFSET($H$3,0,0,'Données projet'!$E$10+1,1))</f>
        <v>398.15858227099039</v>
      </c>
      <c r="AO13" s="62">
        <f t="shared" si="36"/>
        <v>353.78046004921737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17.850000000000001</v>
      </c>
      <c r="N14" s="14">
        <f>IF('Données projet'!$A$36&gt;35,N13+M14-V13,IF(A14&lt;'Données projet'!$A$36,$K$205^A14,IF(A14='Données projet'!$A$36,'Données projet'!$B$36,N13+M14-V13)))</f>
        <v>25.349390338351043</v>
      </c>
      <c r="O14" s="14">
        <f>N14*VLOOKUP('Données projet'!$B$9,Paramètres!$A$1:$I$89,3,0)*VLOOKUP('Données projet'!$B$9,Paramètres!$A$1:$I$89,5,0)</f>
        <v>12.891685950471809</v>
      </c>
      <c r="P14" s="14">
        <f t="shared" si="33"/>
        <v>4.411860085219808</v>
      </c>
      <c r="Q14" s="22">
        <f t="shared" si="2"/>
        <v>30.137009345496235</v>
      </c>
      <c r="R14" s="62">
        <f t="shared" si="0"/>
        <v>185.31284545357192</v>
      </c>
      <c r="S14" s="62">
        <f ca="1">AVERAGE(OFFSET($R$3,0,0,'Données projet'!$E$9+1,1))-AVERAGE(OFFSET($H$3,0,0,'Données projet'!$E$9+1,1))</f>
        <v>91.036856009570386</v>
      </c>
      <c r="T14" s="62">
        <f t="shared" si="34"/>
        <v>443.00653800162456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9.0238095238095237</v>
      </c>
      <c r="AI14" s="14">
        <f>IF('Données projet'!$A$62&gt;35,AI13+AH14-AQ13,IF(A14&lt;'Données projet'!$A$62,$AF$205^A14,IF(A14='Données projet'!$A$62,'Données projet'!$B$62,AI13+AH14-AQ13)))</f>
        <v>99.261904761904745</v>
      </c>
      <c r="AJ14" s="14">
        <f>AI14*VLOOKUP('Données projet'!$B$10,Paramètres!$A$1:$I$89,3,0)*VLOOKUP('Données projet'!$B$10,Paramètres!$A$1:$I$89,5,0)</f>
        <v>46.45457142857142</v>
      </c>
      <c r="AK14" s="14">
        <f t="shared" si="35"/>
        <v>13.694254987469888</v>
      </c>
      <c r="AL14" s="22">
        <f t="shared" si="4"/>
        <v>104.7592060079386</v>
      </c>
      <c r="AM14" s="62">
        <f t="shared" si="5"/>
        <v>259.9350421160143</v>
      </c>
      <c r="AN14" s="62">
        <f ca="1">AVERAGE(OFFSET($AM$3,0,0,'Données projet'!$E$10+1,1))-AVERAGE(OFFSET($H$3,0,0,'Données projet'!$E$10+1,1))</f>
        <v>398.15858227099039</v>
      </c>
      <c r="AO14" s="62">
        <f t="shared" si="36"/>
        <v>353.78046004921737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17.850000000000001</v>
      </c>
      <c r="N15" s="14">
        <f>IF('Données projet'!$A$36&gt;35,N14+M15-V14,IF(A15&lt;'Données projet'!$A$36,$K$205^A15,IF(A15='Données projet'!$A$36,'Données projet'!$B$36,N14+M15-V14)))</f>
        <v>34.009553453287189</v>
      </c>
      <c r="O15" s="14">
        <f>N15*VLOOKUP('Données projet'!$B$9,Paramètres!$A$1:$I$89,3,0)*VLOOKUP('Données projet'!$B$9,Paramètres!$A$1:$I$89,5,0)</f>
        <v>17.295898504203734</v>
      </c>
      <c r="P15" s="14">
        <f t="shared" si="33"/>
        <v>5.7200340341596396</v>
      </c>
      <c r="Q15" s="22">
        <f t="shared" si="2"/>
        <v>40.086082504316209</v>
      </c>
      <c r="R15" s="62">
        <f t="shared" si="0"/>
        <v>198.47801089913682</v>
      </c>
      <c r="S15" s="62">
        <f ca="1">AVERAGE(OFFSET($R$3,0,0,'Données projet'!$E$9+1,1))-AVERAGE(OFFSET($H$3,0,0,'Données projet'!$E$9+1,1))</f>
        <v>91.036856009570386</v>
      </c>
      <c r="T15" s="62">
        <f t="shared" si="34"/>
        <v>443.00653800162456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9.0238095238095237</v>
      </c>
      <c r="AI15" s="14">
        <f>IF('Données projet'!$A$62&gt;35,AI14+AH15-AQ14,IF(A15&lt;'Données projet'!$A$62,$AF$205^A15,IF(A15='Données projet'!$A$62,'Données projet'!$B$62,AI14+AH15-AQ14)))</f>
        <v>108.28571428571426</v>
      </c>
      <c r="AJ15" s="14">
        <f>AI15*VLOOKUP('Données projet'!$B$10,Paramètres!$A$1:$I$89,3,0)*VLOOKUP('Données projet'!$B$10,Paramètres!$A$1:$I$89,5,0)</f>
        <v>50.677714285714281</v>
      </c>
      <c r="AK15" s="14">
        <f t="shared" si="35"/>
        <v>14.788644956278235</v>
      </c>
      <c r="AL15" s="22">
        <f t="shared" si="4"/>
        <v>114.02057567980363</v>
      </c>
      <c r="AM15" s="62">
        <f t="shared" si="5"/>
        <v>272.41250407462422</v>
      </c>
      <c r="AN15" s="62">
        <f ca="1">AVERAGE(OFFSET($AM$3,0,0,'Données projet'!$E$10+1,1))-AVERAGE(OFFSET($H$3,0,0,'Données projet'!$E$10+1,1))</f>
        <v>398.15858227099039</v>
      </c>
      <c r="AO15" s="62">
        <f t="shared" si="36"/>
        <v>353.78046004921737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17.850000000000001</v>
      </c>
      <c r="N16" s="14">
        <f>IF('Données projet'!$A$36&gt;35,N15+M16-V15,IF(A16&lt;'Données projet'!$A$36,$K$205^A16,IF(A16='Données projet'!$A$36,'Données projet'!$B$36,N15+M16-V15)))</f>
        <v>45.628305480077181</v>
      </c>
      <c r="O16" s="14">
        <f>N16*VLOOKUP('Données projet'!$B$9,Paramètres!$A$1:$I$89,3,0)*VLOOKUP('Données projet'!$B$9,Paramètres!$A$1:$I$89,5,0)</f>
        <v>23.20473103494805</v>
      </c>
      <c r="P16" s="14">
        <f t="shared" si="33"/>
        <v>7.4160985887916047</v>
      </c>
      <c r="Q16" s="22">
        <f t="shared" si="2"/>
        <v>53.331278261346561</v>
      </c>
      <c r="R16" s="62">
        <f t="shared" si="0"/>
        <v>214.90470975491826</v>
      </c>
      <c r="S16" s="62">
        <f ca="1">AVERAGE(OFFSET($R$3,0,0,'Données projet'!$E$9+1,1))-AVERAGE(OFFSET($H$3,0,0,'Données projet'!$E$9+1,1))</f>
        <v>91.036856009570386</v>
      </c>
      <c r="T16" s="62">
        <f t="shared" si="34"/>
        <v>443.00653800162456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9.0238095238095237</v>
      </c>
      <c r="AI16" s="14">
        <f>IF('Données projet'!$A$62&gt;35,AI15+AH16-AQ15,IF(A16&lt;'Données projet'!$A$62,$AF$205^A16,IF(A16='Données projet'!$A$62,'Données projet'!$B$62,AI15+AH16-AQ15)))</f>
        <v>117.30952380952378</v>
      </c>
      <c r="AJ16" s="14">
        <f>AI16*VLOOKUP('Données projet'!$B$10,Paramètres!$A$1:$I$89,3,0)*VLOOKUP('Données projet'!$B$10,Paramètres!$A$1:$I$89,5,0)</f>
        <v>54.900857142857127</v>
      </c>
      <c r="AK16" s="14">
        <f t="shared" si="35"/>
        <v>15.872457748261361</v>
      </c>
      <c r="AL16" s="22">
        <f t="shared" si="4"/>
        <v>123.26352343536469</v>
      </c>
      <c r="AM16" s="62">
        <f t="shared" si="5"/>
        <v>284.83695492893639</v>
      </c>
      <c r="AN16" s="62">
        <f ca="1">AVERAGE(OFFSET($AM$3,0,0,'Données projet'!$E$10+1,1))-AVERAGE(OFFSET($H$3,0,0,'Données projet'!$E$10+1,1))</f>
        <v>398.15858227099039</v>
      </c>
      <c r="AO16" s="62">
        <f t="shared" si="36"/>
        <v>353.78046004921737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17.850000000000001</v>
      </c>
      <c r="N17" s="14">
        <f>IF('Données projet'!$A$36&gt;35,N16+M17-V16,IF(A17&lt;'Données projet'!$A$36,$K$205^A17,IF(A17='Données projet'!$A$36,'Données projet'!$B$36,N16+M17-V16)))</f>
        <v>61.216395088598595</v>
      </c>
      <c r="O17" s="14">
        <f>N17*VLOOKUP('Données projet'!$B$9,Paramètres!$A$1:$I$89,3,0)*VLOOKUP('Données projet'!$B$9,Paramètres!$A$1:$I$89,5,0)</f>
        <v>31.132209886257705</v>
      </c>
      <c r="P17" s="14">
        <f t="shared" si="33"/>
        <v>9.6150683632701348</v>
      </c>
      <c r="Q17" s="22">
        <f t="shared" si="2"/>
        <v>70.968176284594321</v>
      </c>
      <c r="R17" s="62">
        <f t="shared" si="0"/>
        <v>235.68912173400514</v>
      </c>
      <c r="S17" s="62">
        <f ca="1">AVERAGE(OFFSET($R$3,0,0,'Données projet'!$E$9+1,1))-AVERAGE(OFFSET($H$3,0,0,'Données projet'!$E$9+1,1))</f>
        <v>91.036856009570386</v>
      </c>
      <c r="T17" s="62">
        <f t="shared" si="34"/>
        <v>443.00653800162456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9.0238095238095237</v>
      </c>
      <c r="AI17" s="14">
        <f>IF('Données projet'!$A$62&gt;35,AI16+AH17-AQ16,IF(A17&lt;'Données projet'!$A$62,$AF$205^A17,IF(A17='Données projet'!$A$62,'Données projet'!$B$62,AI16+AH17-AQ16)))</f>
        <v>126.3333333333333</v>
      </c>
      <c r="AJ17" s="14">
        <f>AI17*VLOOKUP('Données projet'!$B$10,Paramètres!$A$1:$I$89,3,0)*VLOOKUP('Données projet'!$B$10,Paramètres!$A$1:$I$89,5,0)</f>
        <v>59.123999999999988</v>
      </c>
      <c r="AK17" s="14">
        <f t="shared" si="35"/>
        <v>16.946599501309151</v>
      </c>
      <c r="AL17" s="22">
        <f t="shared" si="4"/>
        <v>132.48962746478011</v>
      </c>
      <c r="AM17" s="62">
        <f t="shared" si="5"/>
        <v>297.21057291419095</v>
      </c>
      <c r="AN17" s="62">
        <f ca="1">AVERAGE(OFFSET($AM$3,0,0,'Données projet'!$E$10+1,1))-AVERAGE(OFFSET($H$3,0,0,'Données projet'!$E$10+1,1))</f>
        <v>398.15858227099039</v>
      </c>
      <c r="AO17" s="62">
        <f t="shared" si="36"/>
        <v>353.78046004921737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17.850000000000001</v>
      </c>
      <c r="N18" s="14">
        <f>IF('Données projet'!$A$36&gt;35,N17+M18-V17,IF(A18&lt;'Données projet'!$A$36,$K$205^A18,IF(A18='Données projet'!$A$36,'Données projet'!$B$36,N17+M18-V17)))</f>
        <v>82.129875046086397</v>
      </c>
      <c r="O18" s="14">
        <f>N18*VLOOKUP('Données projet'!$B$9,Paramètres!$A$1:$I$89,3,0)*VLOOKUP('Données projet'!$B$9,Paramètres!$A$1:$I$89,5,0)</f>
        <v>41.767969253437705</v>
      </c>
      <c r="P18" s="14">
        <f t="shared" si="33"/>
        <v>12.46606130210874</v>
      </c>
      <c r="Q18" s="22">
        <f t="shared" si="2"/>
        <v>94.457603217576732</v>
      </c>
      <c r="R18" s="62">
        <f t="shared" si="0"/>
        <v>262.29266311555591</v>
      </c>
      <c r="S18" s="62">
        <f ca="1">AVERAGE(OFFSET($R$3,0,0,'Données projet'!$E$9+1,1))-AVERAGE(OFFSET($H$3,0,0,'Données projet'!$E$9+1,1))</f>
        <v>91.036856009570386</v>
      </c>
      <c r="T18" s="62">
        <f t="shared" si="34"/>
        <v>443.00653800162456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9.0238095238095237</v>
      </c>
      <c r="AI18" s="14">
        <f>IF('Données projet'!$A$62&gt;35,AI17+AH18-AQ17,IF(A18&lt;'Données projet'!$A$62,$AF$205^A18,IF(A18='Données projet'!$A$62,'Données projet'!$B$62,AI17+AH18-AQ17)))</f>
        <v>135.35714285714283</v>
      </c>
      <c r="AJ18" s="14">
        <f>AI18*VLOOKUP('Données projet'!$B$10,Paramètres!$A$1:$I$89,3,0)*VLOOKUP('Données projet'!$B$10,Paramètres!$A$1:$I$89,5,0)</f>
        <v>63.347142857142849</v>
      </c>
      <c r="AK18" s="14">
        <f t="shared" si="35"/>
        <v>18.011839569891965</v>
      </c>
      <c r="AL18" s="22">
        <f t="shared" si="4"/>
        <v>141.70022772708563</v>
      </c>
      <c r="AM18" s="62">
        <f t="shared" si="5"/>
        <v>309.53528762506483</v>
      </c>
      <c r="AN18" s="62">
        <f ca="1">AVERAGE(OFFSET($AM$3,0,0,'Données projet'!$E$10+1,1))-AVERAGE(OFFSET($H$3,0,0,'Données projet'!$E$10+1,1))</f>
        <v>398.15858227099039</v>
      </c>
      <c r="AO18" s="62">
        <f t="shared" si="36"/>
        <v>353.78046004921737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17.850000000000001</v>
      </c>
      <c r="N19" s="14">
        <f>IF('Données projet'!$A$36&gt;35,N18+M19-V18,IF(A19&lt;'Données projet'!$A$36,$K$205^A19,IF(A19='Données projet'!$A$36,'Données projet'!$B$36,N18+M19-V18)))</f>
        <v>110.18806914917579</v>
      </c>
      <c r="O19" s="14">
        <f>N19*VLOOKUP('Données projet'!$B$9,Paramètres!$A$1:$I$89,3,0)*VLOOKUP('Données projet'!$B$9,Paramètres!$A$1:$I$89,5,0)</f>
        <v>56.037244446504843</v>
      </c>
      <c r="P19" s="14">
        <f t="shared" si="33"/>
        <v>16.162410761589197</v>
      </c>
      <c r="Q19" s="22">
        <f t="shared" si="2"/>
        <v>125.7477328207638</v>
      </c>
      <c r="R19" s="62">
        <f t="shared" si="0"/>
        <v>296.66408706682159</v>
      </c>
      <c r="S19" s="62">
        <f ca="1">AVERAGE(OFFSET($R$3,0,0,'Données projet'!$E$9+1,1))-AVERAGE(OFFSET($H$3,0,0,'Données projet'!$E$9+1,1))</f>
        <v>91.036856009570386</v>
      </c>
      <c r="T19" s="62">
        <f t="shared" si="34"/>
        <v>443.00653800162456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9.0238095238095237</v>
      </c>
      <c r="AI19" s="14">
        <f>IF('Données projet'!$A$62&gt;35,AI18+AH19-AQ18,IF(A19&lt;'Données projet'!$A$62,$AF$205^A19,IF(A19='Données projet'!$A$62,'Données projet'!$B$62,AI18+AH19-AQ18)))</f>
        <v>144.38095238095235</v>
      </c>
      <c r="AJ19" s="14">
        <f>AI19*VLOOKUP('Données projet'!$B$10,Paramètres!$A$1:$I$89,3,0)*VLOOKUP('Données projet'!$B$10,Paramètres!$A$1:$I$89,5,0)</f>
        <v>67.570285714285703</v>
      </c>
      <c r="AK19" s="14">
        <f t="shared" si="35"/>
        <v>19.068838924426259</v>
      </c>
      <c r="AL19" s="22">
        <f t="shared" si="4"/>
        <v>150.89647541242331</v>
      </c>
      <c r="AM19" s="62">
        <f t="shared" si="5"/>
        <v>321.81282965848112</v>
      </c>
      <c r="AN19" s="62">
        <f ca="1">AVERAGE(OFFSET($AM$3,0,0,'Données projet'!$E$10+1,1))-AVERAGE(OFFSET($H$3,0,0,'Données projet'!$E$10+1,1))</f>
        <v>398.15858227099039</v>
      </c>
      <c r="AO19" s="62">
        <f t="shared" si="36"/>
        <v>353.78046004921737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17.850000000000001</v>
      </c>
      <c r="N20" s="14">
        <f>IF('Données projet'!$A$36&gt;35,N19+M20-V19,IF(A20&lt;'Données projet'!$A$36,$K$205^A20,IF(A20='Données projet'!$A$36,'Données projet'!$B$36,N19+M20-V19)))</f>
        <v>147.83184043577938</v>
      </c>
      <c r="O20" s="14">
        <f>N20*VLOOKUP('Données projet'!$B$9,Paramètres!$A$1:$I$89,3,0)*VLOOKUP('Données projet'!$B$9,Paramètres!$A$1:$I$89,5,0)</f>
        <v>75.181360772019971</v>
      </c>
      <c r="P20" s="14">
        <f t="shared" si="33"/>
        <v>20.954775954947866</v>
      </c>
      <c r="Q20" s="22">
        <f t="shared" si="2"/>
        <v>167.43710479946895</v>
      </c>
      <c r="R20" s="62">
        <f t="shared" si="0"/>
        <v>341.40250264848441</v>
      </c>
      <c r="S20" s="62">
        <f ca="1">AVERAGE(OFFSET($R$3,0,0,'Données projet'!$E$9+1,1))-AVERAGE(OFFSET($H$3,0,0,'Données projet'!$E$9+1,1))</f>
        <v>91.036856009570386</v>
      </c>
      <c r="T20" s="62">
        <f t="shared" si="34"/>
        <v>443.00653800162456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9.0238095238095237</v>
      </c>
      <c r="AI20" s="14">
        <f>IF('Données projet'!$A$62&gt;35,AI19+AH20-AQ19,IF(A20&lt;'Données projet'!$A$62,$AF$205^A20,IF(A20='Données projet'!$A$62,'Données projet'!$B$62,AI19+AH20-AQ19)))</f>
        <v>153.40476190476187</v>
      </c>
      <c r="AJ20" s="14">
        <f>AI20*VLOOKUP('Données projet'!$B$10,Paramètres!$A$1:$I$89,3,0)*VLOOKUP('Données projet'!$B$10,Paramètres!$A$1:$I$89,5,0)</f>
        <v>71.793428571428549</v>
      </c>
      <c r="AK20" s="14">
        <f t="shared" si="35"/>
        <v>20.118171244255393</v>
      </c>
      <c r="AL20" s="22">
        <f t="shared" si="4"/>
        <v>160.07936967898286</v>
      </c>
      <c r="AM20" s="62">
        <f t="shared" si="5"/>
        <v>334.04476752799826</v>
      </c>
      <c r="AN20" s="62">
        <f ca="1">AVERAGE(OFFSET($AM$3,0,0,'Données projet'!$E$10+1,1))-AVERAGE(OFFSET($H$3,0,0,'Données projet'!$E$10+1,1))</f>
        <v>398.15858227099039</v>
      </c>
      <c r="AO20" s="62">
        <f t="shared" si="36"/>
        <v>353.78046004921737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17.850000000000001</v>
      </c>
      <c r="N21" s="14">
        <f>IF('Données projet'!$A$36&gt;35,N20+M21-V20,IF(A21&lt;'Données projet'!$A$36,$K$205^A21,IF(A21='Données projet'!$A$36,'Données projet'!$B$36,N20+M21-V20)))</f>
        <v>198.33592888394128</v>
      </c>
      <c r="O21" s="14">
        <f>N21*VLOOKUP('Données projet'!$B$9,Paramètres!$A$1:$I$89,3,0)*VLOOKUP('Données projet'!$B$9,Paramètres!$A$1:$I$89,5,0)</f>
        <v>100.86571999321717</v>
      </c>
      <c r="P21" s="14">
        <f t="shared" si="33"/>
        <v>27.168139815231729</v>
      </c>
      <c r="Q21" s="22">
        <f t="shared" si="2"/>
        <v>222.9923058330485</v>
      </c>
      <c r="R21" s="62">
        <f t="shared" si="0"/>
        <v>399.97505601822661</v>
      </c>
      <c r="S21" s="62">
        <f ca="1">AVERAGE(OFFSET($R$3,0,0,'Données projet'!$E$9+1,1))-AVERAGE(OFFSET($H$3,0,0,'Données projet'!$E$9+1,1))</f>
        <v>91.036856009570386</v>
      </c>
      <c r="T21" s="62">
        <f t="shared" si="34"/>
        <v>443.00653800162456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9.0238095238095237</v>
      </c>
      <c r="AI21" s="14">
        <f>IF('Données projet'!$A$62&gt;35,AI20+AH21-AQ20,IF(A21&lt;'Données projet'!$A$62,$AF$205^A21,IF(A21='Données projet'!$A$62,'Données projet'!$B$62,AI20+AH21-AQ20)))</f>
        <v>162.42857142857139</v>
      </c>
      <c r="AJ21" s="14">
        <f>AI21*VLOOKUP('Données projet'!$B$10,Paramètres!$A$1:$I$89,3,0)*VLOOKUP('Données projet'!$B$10,Paramètres!$A$1:$I$89,5,0)</f>
        <v>76.01657142857141</v>
      </c>
      <c r="AK21" s="14">
        <f t="shared" si="35"/>
        <v>21.160338904380602</v>
      </c>
      <c r="AL21" s="22">
        <f t="shared" si="4"/>
        <v>169.24978549655808</v>
      </c>
      <c r="AM21" s="62">
        <f t="shared" si="5"/>
        <v>346.23253568173618</v>
      </c>
      <c r="AN21" s="62">
        <f ca="1">AVERAGE(OFFSET($AM$3,0,0,'Données projet'!$E$10+1,1))-AVERAGE(OFFSET($H$3,0,0,'Données projet'!$E$10+1,1))</f>
        <v>398.15858227099039</v>
      </c>
      <c r="AO21" s="62">
        <f t="shared" si="36"/>
        <v>353.78046004921737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17.850000000000001</v>
      </c>
      <c r="N22" s="14">
        <f>IF('Données projet'!$A$36&gt;35,N21+M22-V21,IF(A22&lt;'Données projet'!$A$36,$K$205^A22,IF(A22='Données projet'!$A$36,'Données projet'!$B$36,N21+M22-V21)))</f>
        <v>266.0938304650582</v>
      </c>
      <c r="O22" s="14">
        <f>N22*VLOOKUP('Données projet'!$B$9,Paramètres!$A$1:$I$89,3,0)*VLOOKUP('Données projet'!$B$9,Paramètres!$A$1:$I$89,5,0)</f>
        <v>135.32467842131001</v>
      </c>
      <c r="P22" s="14">
        <f t="shared" si="33"/>
        <v>35.223846945769722</v>
      </c>
      <c r="Q22" s="22">
        <f t="shared" si="2"/>
        <v>297.03868168099717</v>
      </c>
      <c r="R22" s="62">
        <f t="shared" si="0"/>
        <v>477.00764270817075</v>
      </c>
      <c r="S22" s="62">
        <f ca="1">AVERAGE(OFFSET($R$3,0,0,'Données projet'!$E$9+1,1))-AVERAGE(OFFSET($H$3,0,0,'Données projet'!$E$9+1,1))</f>
        <v>91.036856009570386</v>
      </c>
      <c r="T22" s="62">
        <f t="shared" si="34"/>
        <v>443.00653800162456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9.0238095238095237</v>
      </c>
      <c r="AI22" s="14">
        <f>IF('Données projet'!$A$62&gt;35,AI21+AH22-AQ21,IF(A22&lt;'Données projet'!$A$62,$AF$205^A22,IF(A22='Données projet'!$A$62,'Données projet'!$B$62,AI21+AH22-AQ21)))</f>
        <v>171.45238095238091</v>
      </c>
      <c r="AJ22" s="14">
        <f>AI22*VLOOKUP('Données projet'!$B$10,Paramètres!$A$1:$I$89,3,0)*VLOOKUP('Données projet'!$B$10,Paramètres!$A$1:$I$89,5,0)</f>
        <v>80.239714285714257</v>
      </c>
      <c r="AK22" s="14">
        <f t="shared" si="35"/>
        <v>22.195785307735175</v>
      </c>
      <c r="AL22" s="22">
        <f t="shared" si="4"/>
        <v>178.40849512525776</v>
      </c>
      <c r="AM22" s="62">
        <f t="shared" si="5"/>
        <v>358.37745615243136</v>
      </c>
      <c r="AN22" s="62">
        <f ca="1">AVERAGE(OFFSET($AM$3,0,0,'Données projet'!$E$10+1,1))-AVERAGE(OFFSET($H$3,0,0,'Données projet'!$E$10+1,1))</f>
        <v>398.15858227099039</v>
      </c>
      <c r="AO22" s="62">
        <f t="shared" si="36"/>
        <v>353.78046004921737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357</v>
      </c>
      <c r="L23" s="13">
        <f>VLOOKUP(A23,'Données projet'!$A$35:$I$55,9,0)</f>
        <v>17.850000000000001</v>
      </c>
      <c r="M23" s="13">
        <f t="array" ref="M23">INDEX(L:L,MIN(IF(ISNUMBER(L23:L219),ROW(L23:L219),"")))</f>
        <v>17.850000000000001</v>
      </c>
      <c r="N23" s="14">
        <f>IF('Données projet'!$A$36&gt;35,N22+M23-V22,IF(A23&lt;'Données projet'!$A$36,$K$205^A23,IF(A23='Données projet'!$A$36,'Données projet'!$B$36,N22+M23-V22)))</f>
        <v>357</v>
      </c>
      <c r="O23" s="14">
        <f>N23*VLOOKUP('Données projet'!$B$9,Paramètres!$A$1:$I$89,3,0)*VLOOKUP('Données projet'!$B$9,Paramètres!$A$1:$I$89,5,0)</f>
        <v>181.55592000000001</v>
      </c>
      <c r="P23" s="14">
        <f t="shared" si="33"/>
        <v>45.668176109849284</v>
      </c>
      <c r="Q23" s="22">
        <f t="shared" si="2"/>
        <v>395.74863405798754</v>
      </c>
      <c r="R23" s="62">
        <f t="shared" si="0"/>
        <v>578.67320466829119</v>
      </c>
      <c r="S23" s="62">
        <f ca="1">AVERAGE(OFFSET($R$3,0,0,'Données projet'!$E$9+1,1))-AVERAGE(OFFSET($H$3,0,0,'Données projet'!$E$9+1,1))</f>
        <v>91.036856009570386</v>
      </c>
      <c r="T23" s="62">
        <f t="shared" si="34"/>
        <v>443.00653800162456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357</v>
      </c>
      <c r="W23" s="17">
        <f>IF(ISNA(VLOOKUP(A23,'Données projet'!$A$35:$I$55,5,0)),0%,VLOOKUP(A23,'Données projet'!$A$35:$I$55,5,0)*VLOOKUP('Données projet'!$B$9,Paramètres!$A$1:$I$89,7,0))</f>
        <v>0.6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120.42281507331235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120.42281507331235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9.0238095238095237</v>
      </c>
      <c r="AI23" s="14">
        <f>IF('Données projet'!$A$62&gt;35,AI22+AH23-AQ22,IF(A23&lt;'Données projet'!$A$62,$AF$205^A23,IF(A23='Données projet'!$A$62,'Données projet'!$B$62,AI22+AH23-AQ22)))</f>
        <v>180.47619047619042</v>
      </c>
      <c r="AJ23" s="14">
        <f>AI23*VLOOKUP('Données projet'!$B$10,Paramètres!$A$1:$I$89,3,0)*VLOOKUP('Données projet'!$B$10,Paramètres!$A$1:$I$89,5,0)</f>
        <v>84.462857142857118</v>
      </c>
      <c r="AK23" s="14">
        <f t="shared" si="35"/>
        <v>23.22490454712457</v>
      </c>
      <c r="AL23" s="22">
        <f t="shared" si="4"/>
        <v>187.55618494338475</v>
      </c>
      <c r="AM23" s="62">
        <f t="shared" si="5"/>
        <v>370.48075555368848</v>
      </c>
      <c r="AN23" s="62">
        <f ca="1">AVERAGE(OFFSET($AM$3,0,0,'Données projet'!$E$10+1,1))-AVERAGE(OFFSET($H$3,0,0,'Données projet'!$E$10+1,1))</f>
        <v>398.15858227099039</v>
      </c>
      <c r="AO23" s="62">
        <f t="shared" si="36"/>
        <v>353.78046004921737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91.036856009570386</v>
      </c>
      <c r="T24" s="62">
        <f t="shared" si="34"/>
        <v>443.00653800162456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118.06139712038924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118.06139712038924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9.0238095238095237</v>
      </c>
      <c r="AI24" s="14">
        <f>IF('Données projet'!$A$62&gt;35,AI23+AH24-AQ23,IF(A24&lt;'Données projet'!$A$62,$AF$205^A24,IF(A24='Données projet'!$A$62,'Données projet'!$B$62,AI23+AH24-AQ23)))</f>
        <v>189.49999999999994</v>
      </c>
      <c r="AJ24" s="14">
        <f>AI24*VLOOKUP('Données projet'!$B$10,Paramètres!$A$1:$I$89,3,0)*VLOOKUP('Données projet'!$B$10,Paramètres!$A$1:$I$89,5,0)</f>
        <v>88.685999999999964</v>
      </c>
      <c r="AK24" s="14">
        <f t="shared" si="35"/>
        <v>24.248049079863389</v>
      </c>
      <c r="AL24" s="22">
        <f t="shared" si="4"/>
        <v>196.69346881409535</v>
      </c>
      <c r="AM24" s="62">
        <f t="shared" si="5"/>
        <v>382.5435786120911</v>
      </c>
      <c r="AN24" s="62">
        <f ca="1">AVERAGE(OFFSET($AM$3,0,0,'Données projet'!$E$10+1,1))-AVERAGE(OFFSET($H$3,0,0,'Données projet'!$E$10+1,1))</f>
        <v>398.15858227099039</v>
      </c>
      <c r="AO24" s="62">
        <f t="shared" si="36"/>
        <v>353.78046004921737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91.036856009570386</v>
      </c>
      <c r="T25" s="62">
        <f t="shared" si="34"/>
        <v>443.00653800162456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115.74628513320022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115.74628513320022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9.0238095238095237</v>
      </c>
      <c r="AI25" s="14">
        <f>IF('Données projet'!$A$62&gt;35,AI24+AH25-AQ24,IF(A25&lt;'Données projet'!$A$62,$AF$205^A25,IF(A25='Données projet'!$A$62,'Données projet'!$B$62,AI24+AH25-AQ24)))</f>
        <v>198.52380952380946</v>
      </c>
      <c r="AJ25" s="14">
        <f>AI25*VLOOKUP('Données projet'!$B$10,Paramètres!$A$1:$I$89,3,0)*VLOOKUP('Données projet'!$B$10,Paramètres!$A$1:$I$89,5,0)</f>
        <v>92.909142857142839</v>
      </c>
      <c r="AK25" s="14">
        <f t="shared" si="35"/>
        <v>25.26553589915784</v>
      </c>
      <c r="AL25" s="22">
        <f t="shared" si="4"/>
        <v>205.82089883389031</v>
      </c>
      <c r="AM25" s="62">
        <f t="shared" si="5"/>
        <v>394.56699907827328</v>
      </c>
      <c r="AN25" s="62">
        <f ca="1">AVERAGE(OFFSET($AM$3,0,0,'Données projet'!$E$10+1,1))-AVERAGE(OFFSET($H$3,0,0,'Données projet'!$E$10+1,1))</f>
        <v>398.15858227099039</v>
      </c>
      <c r="AO25" s="62">
        <f t="shared" si="36"/>
        <v>353.78046004921737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91.036856009570386</v>
      </c>
      <c r="T26" s="62">
        <f t="shared" si="34"/>
        <v>443.00653800162456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113.47657108000109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113.47657108000109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9.0238095238095237</v>
      </c>
      <c r="AI26" s="14">
        <f>IF('Données projet'!$A$62&gt;35,AI25+AH26-AQ25,IF(A26&lt;'Données projet'!$A$62,$AF$205^A26,IF(A26='Données projet'!$A$62,'Données projet'!$B$62,AI25+AH26-AQ25)))</f>
        <v>207.54761904761898</v>
      </c>
      <c r="AJ26" s="14">
        <f>AI26*VLOOKUP('Données projet'!$B$10,Paramètres!$A$1:$I$89,3,0)*VLOOKUP('Données projet'!$B$10,Paramètres!$A$1:$I$89,5,0)</f>
        <v>97.132285714285686</v>
      </c>
      <c r="AK26" s="14">
        <f t="shared" si="35"/>
        <v>26.277651551700433</v>
      </c>
      <c r="AL26" s="22">
        <f t="shared" si="4"/>
        <v>214.9389740715925</v>
      </c>
      <c r="AM26" s="62">
        <f t="shared" si="5"/>
        <v>406.55202862565875</v>
      </c>
      <c r="AN26" s="62">
        <f ca="1">AVERAGE(OFFSET($AM$3,0,0,'Données projet'!$E$10+1,1))-AVERAGE(OFFSET($H$3,0,0,'Données projet'!$E$10+1,1))</f>
        <v>398.15858227099039</v>
      </c>
      <c r="AO26" s="62">
        <f t="shared" si="36"/>
        <v>353.78046004921737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91.036856009570386</v>
      </c>
      <c r="T27" s="62">
        <f t="shared" si="34"/>
        <v>443.00653800162456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111.25136473499633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111.25136473499633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9.0238095238095237</v>
      </c>
      <c r="AI27" s="14">
        <f>IF('Données projet'!$A$62&gt;35,AI26+AH27-AQ26,IF(A27&lt;'Données projet'!$A$62,$AF$205^A27,IF(A27='Données projet'!$A$62,'Données projet'!$B$62,AI26+AH27-AQ26)))</f>
        <v>216.5714285714285</v>
      </c>
      <c r="AJ27" s="14">
        <f>AI27*VLOOKUP('Données projet'!$B$10,Paramètres!$A$1:$I$89,3,0)*VLOOKUP('Données projet'!$B$10,Paramètres!$A$1:$I$89,5,0)</f>
        <v>101.35542857142853</v>
      </c>
      <c r="AK27" s="14">
        <f t="shared" si="35"/>
        <v>27.284656258016717</v>
      </c>
      <c r="AL27" s="22">
        <f t="shared" si="4"/>
        <v>224.04814774461713</v>
      </c>
      <c r="AM27" s="62">
        <f t="shared" si="5"/>
        <v>418.49962418371922</v>
      </c>
      <c r="AN27" s="62">
        <f ca="1">AVERAGE(OFFSET($AM$3,0,0,'Données projet'!$E$10+1,1))-AVERAGE(OFFSET($H$3,0,0,'Données projet'!$E$10+1,1))</f>
        <v>398.15858227099039</v>
      </c>
      <c r="AO27" s="62">
        <f t="shared" si="36"/>
        <v>353.78046004921737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91.036856009570386</v>
      </c>
      <c r="T28" s="62">
        <f t="shared" si="34"/>
        <v>443.00653800162456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109.06979332917525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109.06979332917525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9.0238095238095237</v>
      </c>
      <c r="AI28" s="14">
        <f>IF('Données projet'!$A$62&gt;35,AI27+AH28-AQ27,IF(A28&lt;'Données projet'!$A$62,$AF$205^A28,IF(A28='Données projet'!$A$62,'Données projet'!$B$62,AI27+AH28-AQ27)))</f>
        <v>225.59523809523802</v>
      </c>
      <c r="AJ28" s="14">
        <f>AI28*VLOOKUP('Données projet'!$B$10,Paramètres!$A$1:$I$89,3,0)*VLOOKUP('Données projet'!$B$10,Paramètres!$A$1:$I$89,5,0)</f>
        <v>105.57857142857139</v>
      </c>
      <c r="AK28" s="14">
        <f t="shared" si="35"/>
        <v>28.286787326736878</v>
      </c>
      <c r="AL28" s="22">
        <f t="shared" si="4"/>
        <v>233.14883316549523</v>
      </c>
      <c r="AM28" s="62">
        <f t="shared" si="5"/>
        <v>430.41069403876452</v>
      </c>
      <c r="AN28" s="62">
        <f ca="1">AVERAGE(OFFSET($AM$3,0,0,'Données projet'!$E$10+1,1))-AVERAGE(OFFSET($H$3,0,0,'Données projet'!$E$10+1,1))</f>
        <v>398.15858227099039</v>
      </c>
      <c r="AO28" s="62">
        <f t="shared" si="36"/>
        <v>353.78046004921737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91.036856009570386</v>
      </c>
      <c r="T29" s="62">
        <f t="shared" si="34"/>
        <v>443.00653800162456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106.93100120799517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106.93100120799517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9.0238095238095237</v>
      </c>
      <c r="AI29" s="14">
        <f>IF('Données projet'!$A$62&gt;35,AI28+AH29-AQ28,IF(A29&lt;'Données projet'!$A$62,$AF$205^A29,IF(A29='Données projet'!$A$62,'Données projet'!$B$62,AI28+AH29-AQ28)))</f>
        <v>234.61904761904754</v>
      </c>
      <c r="AJ29" s="14">
        <f>AI29*VLOOKUP('Données projet'!$B$10,Paramètres!$A$1:$I$89,3,0)*VLOOKUP('Données projet'!$B$10,Paramètres!$A$1:$I$89,5,0)</f>
        <v>109.80171428571424</v>
      </c>
      <c r="AK29" s="14">
        <f t="shared" si="35"/>
        <v>29.28426200720655</v>
      </c>
      <c r="AL29" s="22">
        <f t="shared" si="4"/>
        <v>242.24140871017039</v>
      </c>
      <c r="AM29" s="62">
        <f t="shared" si="5"/>
        <v>442.28610295382839</v>
      </c>
      <c r="AN29" s="62">
        <f ca="1">AVERAGE(OFFSET($AM$3,0,0,'Données projet'!$E$10+1,1))-AVERAGE(OFFSET($H$3,0,0,'Données projet'!$E$10+1,1))</f>
        <v>398.15858227099039</v>
      </c>
      <c r="AO29" s="62">
        <f t="shared" si="36"/>
        <v>353.78046004921737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91.036856009570386</v>
      </c>
      <c r="T30" s="62">
        <f t="shared" si="34"/>
        <v>443.00653800162456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104.83414949577703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104.83414949577703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9.0238095238095237</v>
      </c>
      <c r="AI30" s="14">
        <f>IF('Données projet'!$A$62&gt;35,AI29+AH30-AQ29,IF(A30&lt;'Données projet'!$A$62,$AF$205^A30,IF(A30='Données projet'!$A$62,'Données projet'!$B$62,AI29+AH30-AQ29)))</f>
        <v>243.64285714285705</v>
      </c>
      <c r="AJ30" s="14">
        <f>AI30*VLOOKUP('Données projet'!$B$10,Paramètres!$A$1:$I$89,3,0)*VLOOKUP('Données projet'!$B$10,Paramètres!$A$1:$I$89,5,0)</f>
        <v>114.0248571428571</v>
      </c>
      <c r="AK30" s="14">
        <f t="shared" si="35"/>
        <v>30.277279890890583</v>
      </c>
      <c r="AL30" s="22">
        <f t="shared" si="4"/>
        <v>251.32622200044386</v>
      </c>
      <c r="AM30" s="62">
        <f t="shared" si="5"/>
        <v>454.1266765000737</v>
      </c>
      <c r="AN30" s="62">
        <f ca="1">AVERAGE(OFFSET($AM$3,0,0,'Données projet'!$E$10+1,1))-AVERAGE(OFFSET($H$3,0,0,'Données projet'!$E$10+1,1))</f>
        <v>398.15858227099039</v>
      </c>
      <c r="AO30" s="62">
        <f t="shared" si="36"/>
        <v>353.78046004921737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91.036856009570386</v>
      </c>
      <c r="T31" s="62">
        <f t="shared" si="34"/>
        <v>443.00653800162456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102.77841576668223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102.77841576668223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9.0238095238095237</v>
      </c>
      <c r="AI31" s="14">
        <f>IF('Données projet'!$A$62&gt;35,AI30+AH31-AQ30,IF(A31&lt;'Données projet'!$A$62,$AF$205^A31,IF(A31='Données projet'!$A$62,'Données projet'!$B$62,AI30+AH31-AQ30)))</f>
        <v>252.66666666666657</v>
      </c>
      <c r="AJ31" s="14">
        <f>AI31*VLOOKUP('Données projet'!$B$10,Paramètres!$A$1:$I$89,3,0)*VLOOKUP('Données projet'!$B$10,Paramètres!$A$1:$I$89,5,0)</f>
        <v>118.24799999999996</v>
      </c>
      <c r="AK31" s="14">
        <f t="shared" si="35"/>
        <v>31.266024947011953</v>
      </c>
      <c r="AL31" s="22">
        <f t="shared" si="4"/>
        <v>260.40359344937906</v>
      </c>
      <c r="AM31" s="62">
        <f t="shared" si="5"/>
        <v>465.93320474857262</v>
      </c>
      <c r="AN31" s="62">
        <f ca="1">AVERAGE(OFFSET($AM$3,0,0,'Données projet'!$E$10+1,1))-AVERAGE(OFFSET($H$3,0,0,'Données projet'!$E$10+1,1))</f>
        <v>398.15858227099039</v>
      </c>
      <c r="AO31" s="62">
        <f t="shared" si="36"/>
        <v>353.78046004921737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91.036856009570386</v>
      </c>
      <c r="T32" s="62">
        <f t="shared" si="34"/>
        <v>443.00653800162456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100.76299372214122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100.76299372214122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9.0238095238095237</v>
      </c>
      <c r="AI32" s="14">
        <f>IF('Données projet'!$A$62&gt;35,AI31+AH32-AQ31,IF(A32&lt;'Données projet'!$A$62,$AF$205^A32,IF(A32='Données projet'!$A$62,'Données projet'!$B$62,AI31+AH32-AQ31)))</f>
        <v>261.69047619047609</v>
      </c>
      <c r="AJ32" s="14">
        <f>AI32*VLOOKUP('Données projet'!$B$10,Paramètres!$A$1:$I$89,3,0)*VLOOKUP('Données projet'!$B$10,Paramètres!$A$1:$I$89,5,0)</f>
        <v>122.47114285714281</v>
      </c>
      <c r="AK32" s="14">
        <f t="shared" si="35"/>
        <v>32.250667259213493</v>
      </c>
      <c r="AL32" s="22">
        <f t="shared" si="4"/>
        <v>269.47381928598719</v>
      </c>
      <c r="AM32" s="62">
        <f t="shared" si="5"/>
        <v>477.70644543882861</v>
      </c>
      <c r="AN32" s="62">
        <f ca="1">AVERAGE(OFFSET($AM$3,0,0,'Données projet'!$E$10+1,1))-AVERAGE(OFFSET($H$3,0,0,'Données projet'!$E$10+1,1))</f>
        <v>398.15858227099039</v>
      </c>
      <c r="AO32" s="62">
        <f t="shared" si="36"/>
        <v>353.78046004921737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91.036856009570386</v>
      </c>
      <c r="T33" s="62">
        <f t="shared" si="34"/>
        <v>443.00653800162456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98.787092874607595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98.787092874607595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9.0238095238095237</v>
      </c>
      <c r="AI33" s="14">
        <f>IF('Données projet'!$A$62&gt;35,AI32+AH33-AQ32,IF(A33&lt;'Données projet'!$A$62,$AF$205^A33,IF(A33='Données projet'!$A$62,'Données projet'!$B$62,AI32+AH33-AQ32)))</f>
        <v>270.71428571428561</v>
      </c>
      <c r="AJ33" s="14">
        <f>AI33*VLOOKUP('Données projet'!$B$10,Paramètres!$A$1:$I$89,3,0)*VLOOKUP('Données projet'!$B$10,Paramètres!$A$1:$I$89,5,0)</f>
        <v>126.69428571428566</v>
      </c>
      <c r="AK33" s="14">
        <f t="shared" si="35"/>
        <v>33.231364515949913</v>
      </c>
      <c r="AL33" s="22">
        <f t="shared" si="4"/>
        <v>278.53717415099356</v>
      </c>
      <c r="AM33" s="62">
        <f t="shared" si="5"/>
        <v>489.447126715884</v>
      </c>
      <c r="AN33" s="62">
        <f ca="1">AVERAGE(OFFSET($AM$3,0,0,'Données projet'!$E$10+1,1))-AVERAGE(OFFSET($H$3,0,0,'Données projet'!$E$10+1,1))</f>
        <v>398.15858227099039</v>
      </c>
      <c r="AO33" s="62">
        <f t="shared" si="36"/>
        <v>353.78046004921737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91.036856009570386</v>
      </c>
      <c r="T34" s="62">
        <f t="shared" si="34"/>
        <v>443.00653800162456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96.849938237513584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96.849938237513584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9.0238095238095237</v>
      </c>
      <c r="AI34" s="14">
        <f>IF('Données projet'!$A$62&gt;35,AI33+AH34-AQ33,IF(A34&lt;'Données projet'!$A$62,$AF$205^A34,IF(A34='Données projet'!$A$62,'Données projet'!$B$62,AI33+AH34-AQ33)))</f>
        <v>279.73809523809513</v>
      </c>
      <c r="AJ34" s="14">
        <f>AI34*VLOOKUP('Données projet'!$B$10,Paramètres!$A$1:$I$89,3,0)*VLOOKUP('Données projet'!$B$10,Paramètres!$A$1:$I$89,5,0)</f>
        <v>130.9174285714285</v>
      </c>
      <c r="AK34" s="14">
        <f t="shared" si="35"/>
        <v>34.208263296578863</v>
      </c>
      <c r="AL34" s="22">
        <f t="shared" si="4"/>
        <v>287.59391333677951</v>
      </c>
      <c r="AM34" s="62">
        <f t="shared" si="5"/>
        <v>499.93372728692884</v>
      </c>
      <c r="AN34" s="62">
        <f ca="1">AVERAGE(OFFSET($AM$3,0,0,'Données projet'!$E$10+1,1))-AVERAGE(OFFSET($H$3,0,0,'Données projet'!$E$10+1,1))</f>
        <v>398.15858227099039</v>
      </c>
      <c r="AO34" s="62">
        <f t="shared" si="36"/>
        <v>353.78046004921737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91.036856009570386</v>
      </c>
      <c r="T35" s="62">
        <f t="shared" si="34"/>
        <v>443.00653800162456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94.950770021305331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94.950770021305331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9.0238095238095237</v>
      </c>
      <c r="AI35" s="14">
        <f>IF('Données projet'!$A$62&gt;35,AI34+AH35-AQ34,IF(A35&lt;'Données projet'!$A$62,$AF$205^A35,IF(A35='Données projet'!$A$62,'Données projet'!$B$62,AI34+AH35-AQ34)))</f>
        <v>288.76190476190465</v>
      </c>
      <c r="AJ35" s="14">
        <f>AI35*VLOOKUP('Données projet'!$B$10,Paramètres!$A$1:$I$89,3,0)*VLOOKUP('Données projet'!$B$10,Paramètres!$A$1:$I$89,5,0)</f>
        <v>135.14057142857138</v>
      </c>
      <c r="AK35" s="14">
        <f t="shared" si="35"/>
        <v>35.181500186843166</v>
      </c>
      <c r="AL35" s="22">
        <f t="shared" si="4"/>
        <v>296.64427473018031</v>
      </c>
      <c r="AM35" s="62">
        <f t="shared" si="5"/>
        <v>510.38914516724549</v>
      </c>
      <c r="AN35" s="62">
        <f ca="1">AVERAGE(OFFSET($AM$3,0,0,'Données projet'!$E$10+1,1))-AVERAGE(OFFSET($H$3,0,0,'Données projet'!$E$10+1,1))</f>
        <v>398.15858227099039</v>
      </c>
      <c r="AO35" s="62">
        <f t="shared" si="36"/>
        <v>353.78046004921737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91.036856009570386</v>
      </c>
      <c r="T36" s="62">
        <f t="shared" si="34"/>
        <v>443.00653800162456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93.088843335438696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93.088843335438696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9.0238095238095237</v>
      </c>
      <c r="AI36" s="14">
        <f>IF('Données projet'!$A$62&gt;35,AI35+AH36-AQ35,IF(A36&lt;'Données projet'!$A$62,$AF$205^A36,IF(A36='Données projet'!$A$62,'Données projet'!$B$62,AI35+AH36-AQ35)))</f>
        <v>297.78571428571416</v>
      </c>
      <c r="AJ36" s="14">
        <f>AI36*VLOOKUP('Données projet'!$B$10,Paramètres!$A$1:$I$89,3,0)*VLOOKUP('Données projet'!$B$10,Paramètres!$A$1:$I$89,5,0)</f>
        <v>139.36371428571422</v>
      </c>
      <c r="AK36" s="14">
        <f t="shared" si="35"/>
        <v>36.151202751000412</v>
      </c>
      <c r="AL36" s="22">
        <f t="shared" si="4"/>
        <v>305.68848050561127</v>
      </c>
      <c r="AM36" s="62">
        <f t="shared" si="5"/>
        <v>520.81403284077987</v>
      </c>
      <c r="AN36" s="62">
        <f ca="1">AVERAGE(OFFSET($AM$3,0,0,'Données projet'!$E$10+1,1))-AVERAGE(OFFSET($H$3,0,0,'Données projet'!$E$10+1,1))</f>
        <v>398.15858227099039</v>
      </c>
      <c r="AO36" s="62">
        <f t="shared" si="36"/>
        <v>353.78046004921737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91.036856009570386</v>
      </c>
      <c r="T37" s="62">
        <f t="shared" si="34"/>
        <v>443.00653800162456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91.263427896218758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91.263427896218758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9.0238095238095237</v>
      </c>
      <c r="AI37" s="14">
        <f>IF('Données projet'!$A$62&gt;35,AI36+AH37-AQ36,IF(A37&lt;'Données projet'!$A$62,$AF$205^A37,IF(A37='Données projet'!$A$62,'Données projet'!$B$62,AI36+AH37-AQ36)))</f>
        <v>306.80952380952368</v>
      </c>
      <c r="AJ37" s="14">
        <f>AI37*VLOOKUP('Données projet'!$B$10,Paramètres!$A$1:$I$89,3,0)*VLOOKUP('Données projet'!$B$10,Paramètres!$A$1:$I$89,5,0)</f>
        <v>143.58685714285707</v>
      </c>
      <c r="AK37" s="14">
        <f t="shared" si="35"/>
        <v>37.117490382808377</v>
      </c>
      <c r="AL37" s="22">
        <f t="shared" si="4"/>
        <v>314.72673860720062</v>
      </c>
      <c r="AM37" s="62">
        <f t="shared" si="5"/>
        <v>531.20902109628298</v>
      </c>
      <c r="AN37" s="62">
        <f ca="1">AVERAGE(OFFSET($AM$3,0,0,'Données projet'!$E$10+1,1))-AVERAGE(OFFSET($H$3,0,0,'Données projet'!$E$10+1,1))</f>
        <v>398.15858227099039</v>
      </c>
      <c r="AO37" s="62">
        <f t="shared" si="36"/>
        <v>353.78046004921737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91.036856009570386</v>
      </c>
      <c r="T38" s="62">
        <f t="shared" si="34"/>
        <v>443.00653800162456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89.473807740368443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89.473807740368443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9.0238095238095237</v>
      </c>
      <c r="AI38" s="14">
        <f>IF('Données projet'!$A$62&gt;35,AI37+AH38-AQ37,IF(A38&lt;'Données projet'!$A$62,$AF$205^A38,IF(A38='Données projet'!$A$62,'Données projet'!$B$62,AI37+AH38-AQ37)))</f>
        <v>315.8333333333332</v>
      </c>
      <c r="AJ38" s="14">
        <f>AI38*VLOOKUP('Données projet'!$B$10,Paramètres!$A$1:$I$89,3,0)*VLOOKUP('Données projet'!$B$10,Paramètres!$A$1:$I$89,5,0)</f>
        <v>147.80999999999995</v>
      </c>
      <c r="AK38" s="14">
        <f t="shared" si="35"/>
        <v>38.080475053580983</v>
      </c>
      <c r="AL38" s="22">
        <f t="shared" si="4"/>
        <v>323.75924405165341</v>
      </c>
      <c r="AM38" s="62">
        <f t="shared" si="5"/>
        <v>541.57472045967336</v>
      </c>
      <c r="AN38" s="62">
        <f ca="1">AVERAGE(OFFSET($AM$3,0,0,'Données projet'!$E$10+1,1))-AVERAGE(OFFSET($H$3,0,0,'Données projet'!$E$10+1,1))</f>
        <v>398.15858227099039</v>
      </c>
      <c r="AO38" s="62">
        <f t="shared" si="36"/>
        <v>353.78046004921737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91.036856009570386</v>
      </c>
      <c r="T39" s="62">
        <f t="shared" si="34"/>
        <v>443.00653800162456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87.719280944213835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87.719280944213835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9.0238095238095237</v>
      </c>
      <c r="AI39" s="14">
        <f>IF('Données projet'!$A$62&gt;35,AI38+AH39-AQ38,IF(A39&lt;'Données projet'!$A$62,$AF$205^A39,IF(A39='Données projet'!$A$62,'Données projet'!$B$62,AI38+AH39-AQ38)))</f>
        <v>324.85714285714272</v>
      </c>
      <c r="AJ39" s="14">
        <f>AI39*VLOOKUP('Données projet'!$B$10,Paramètres!$A$1:$I$89,3,0)*VLOOKUP('Données projet'!$B$10,Paramètres!$A$1:$I$89,5,0)</f>
        <v>152.03314285714279</v>
      </c>
      <c r="AK39" s="14">
        <f t="shared" si="35"/>
        <v>39.040261972349207</v>
      </c>
      <c r="AL39" s="22">
        <f t="shared" si="4"/>
        <v>332.78618007803192</v>
      </c>
      <c r="AM39" s="62">
        <f t="shared" si="5"/>
        <v>551.9117224710709</v>
      </c>
      <c r="AN39" s="62">
        <f ca="1">AVERAGE(OFFSET($AM$3,0,0,'Données projet'!$E$10+1,1))-AVERAGE(OFFSET($H$3,0,0,'Données projet'!$E$10+1,1))</f>
        <v>398.15858227099039</v>
      </c>
      <c r="AO39" s="62">
        <f t="shared" si="36"/>
        <v>353.78046004921737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91.036856009570386</v>
      </c>
      <c r="T40" s="62">
        <f t="shared" si="34"/>
        <v>443.00653800162456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85.999159348376153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85.999159348376153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9.0238095238095237</v>
      </c>
      <c r="AI40" s="14">
        <f>IF('Données projet'!$A$62&gt;35,AI39+AH40-AQ39,IF(A40&lt;'Données projet'!$A$62,$AF$205^A40,IF(A40='Données projet'!$A$62,'Données projet'!$B$62,AI39+AH40-AQ39)))</f>
        <v>333.88095238095224</v>
      </c>
      <c r="AJ40" s="14">
        <f>AI40*VLOOKUP('Données projet'!$B$10,Paramètres!$A$1:$I$89,3,0)*VLOOKUP('Données projet'!$B$10,Paramètres!$A$1:$I$89,5,0)</f>
        <v>156.25628571428567</v>
      </c>
      <c r="AK40" s="14">
        <f t="shared" si="35"/>
        <v>39.99695017060872</v>
      </c>
      <c r="AL40" s="22">
        <f t="shared" si="4"/>
        <v>341.80771916619102</v>
      </c>
      <c r="AM40" s="62">
        <f t="shared" si="5"/>
        <v>562.22060082827784</v>
      </c>
      <c r="AN40" s="62">
        <f ca="1">AVERAGE(OFFSET($AM$3,0,0,'Données projet'!$E$10+1,1))-AVERAGE(OFFSET($H$3,0,0,'Données projet'!$E$10+1,1))</f>
        <v>398.15858227099039</v>
      </c>
      <c r="AO40" s="62">
        <f t="shared" si="36"/>
        <v>353.78046004921737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91.036856009570386</v>
      </c>
      <c r="T41" s="62">
        <f t="shared" si="34"/>
        <v>443.00653800162456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84.312768287862269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84.312768287862269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9.0238095238095237</v>
      </c>
      <c r="AI41" s="14">
        <f>IF('Données projet'!$A$62&gt;35,AI40+AH41-AQ40,IF(A41&lt;'Données projet'!$A$62,$AF$205^A41,IF(A41='Données projet'!$A$62,'Données projet'!$B$62,AI40+AH41-AQ40)))</f>
        <v>342.90476190476176</v>
      </c>
      <c r="AJ41" s="14">
        <f>AI41*VLOOKUP('Données projet'!$B$10,Paramètres!$A$1:$I$89,3,0)*VLOOKUP('Données projet'!$B$10,Paramètres!$A$1:$I$89,5,0)</f>
        <v>160.47942857142851</v>
      </c>
      <c r="AK41" s="14">
        <f t="shared" si="35"/>
        <v>40.950633022073781</v>
      </c>
      <c r="AL41" s="22">
        <f t="shared" si="4"/>
        <v>350.82402394201648</v>
      </c>
      <c r="AM41" s="62">
        <f t="shared" si="5"/>
        <v>572.50191241489244</v>
      </c>
      <c r="AN41" s="62">
        <f ca="1">AVERAGE(OFFSET($AM$3,0,0,'Données projet'!$E$10+1,1))-AVERAGE(OFFSET($H$3,0,0,'Données projet'!$E$10+1,1))</f>
        <v>398.15858227099039</v>
      </c>
      <c r="AO41" s="62">
        <f t="shared" si="36"/>
        <v>353.78046004921737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91.036856009570386</v>
      </c>
      <c r="T42" s="62">
        <f t="shared" si="34"/>
        <v>443.00653800162456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82.65944632744808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82.65944632744808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9.0238095238095237</v>
      </c>
      <c r="AI42" s="14">
        <f>IF('Données projet'!$A$62&gt;35,AI41+AH42-AQ41,IF(A42&lt;'Données projet'!$A$62,$AF$205^A42,IF(A42='Données projet'!$A$62,'Données projet'!$B$62,AI41+AH42-AQ41)))</f>
        <v>351.92857142857127</v>
      </c>
      <c r="AJ42" s="14">
        <f>AI42*VLOOKUP('Données projet'!$B$10,Paramètres!$A$1:$I$89,3,0)*VLOOKUP('Données projet'!$B$10,Paramètres!$A$1:$I$89,5,0)</f>
        <v>164.70257142857136</v>
      </c>
      <c r="AK42" s="14">
        <f t="shared" si="35"/>
        <v>41.901398706181055</v>
      </c>
      <c r="AL42" s="22">
        <f t="shared" si="4"/>
        <v>359.83524798469381</v>
      </c>
      <c r="AM42" s="62">
        <f t="shared" si="5"/>
        <v>582.75619822832334</v>
      </c>
      <c r="AN42" s="62">
        <f ca="1">AVERAGE(OFFSET($AM$3,0,0,'Données projet'!$E$10+1,1))-AVERAGE(OFFSET($H$3,0,0,'Données projet'!$E$10+1,1))</f>
        <v>398.15858227099039</v>
      </c>
      <c r="AO42" s="62">
        <f t="shared" si="36"/>
        <v>353.78046004921737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91.036856009570386</v>
      </c>
      <c r="T43" s="62">
        <f t="shared" si="34"/>
        <v>443.00653800162456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81.038545002250785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81.038545002250785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9.0238095238095237</v>
      </c>
      <c r="AI43" s="14">
        <f>IF('Données projet'!$A$62&gt;35,AI42+AH43-AQ42,IF(A43&lt;'Données projet'!$A$62,$AF$205^A43,IF(A43='Données projet'!$A$62,'Données projet'!$B$62,AI42+AH43-AQ42)))</f>
        <v>360.95238095238079</v>
      </c>
      <c r="AJ43" s="14">
        <f>AI43*VLOOKUP('Données projet'!$B$10,Paramètres!$A$1:$I$89,3,0)*VLOOKUP('Données projet'!$B$10,Paramètres!$A$1:$I$89,5,0)</f>
        <v>168.92571428571424</v>
      </c>
      <c r="AK43" s="14">
        <f t="shared" si="35"/>
        <v>42.849330622717098</v>
      </c>
      <c r="AL43" s="22">
        <f t="shared" si="4"/>
        <v>368.84153654885125</v>
      </c>
      <c r="AM43" s="62">
        <f t="shared" si="5"/>
        <v>592.98398422058153</v>
      </c>
      <c r="AN43" s="62">
        <f ca="1">AVERAGE(OFFSET($AM$3,0,0,'Données projet'!$E$10+1,1))-AVERAGE(OFFSET($H$3,0,0,'Données projet'!$E$10+1,1))</f>
        <v>398.15858227099039</v>
      </c>
      <c r="AO43" s="62">
        <f t="shared" si="36"/>
        <v>353.78046004921737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91.036856009570386</v>
      </c>
      <c r="T44" s="62">
        <f t="shared" si="34"/>
        <v>443.00653800162456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79.449428563388423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79.449428563388423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9.0238095238095237</v>
      </c>
      <c r="AI44" s="14">
        <f>IF('Données projet'!$A$62&gt;35,AI43+AH44-AQ43,IF(A44&lt;'Données projet'!$A$62,$AF$205^A44,IF(A44='Données projet'!$A$62,'Données projet'!$B$62,AI43+AH44-AQ43)))</f>
        <v>369.97619047619031</v>
      </c>
      <c r="AJ44" s="14">
        <f>AI44*VLOOKUP('Données projet'!$B$10,Paramètres!$A$1:$I$89,3,0)*VLOOKUP('Données projet'!$B$10,Paramètres!$A$1:$I$89,5,0)</f>
        <v>173.14885714285705</v>
      </c>
      <c r="AK44" s="14">
        <f t="shared" si="35"/>
        <v>43.794507763815865</v>
      </c>
      <c r="AL44" s="22">
        <f t="shared" si="4"/>
        <v>377.8430272124553</v>
      </c>
      <c r="AM44" s="62">
        <f t="shared" si="5"/>
        <v>603.18578206276788</v>
      </c>
      <c r="AN44" s="62">
        <f ca="1">AVERAGE(OFFSET($AM$3,0,0,'Données projet'!$E$10+1,1))-AVERAGE(OFFSET($H$3,0,0,'Données projet'!$E$10+1,1))</f>
        <v>398.15858227099039</v>
      </c>
      <c r="AO44" s="62">
        <f t="shared" si="36"/>
        <v>353.78046004921737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91.036856009570386</v>
      </c>
      <c r="T45" s="62">
        <f t="shared" si="34"/>
        <v>443.00653800162456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77.891473728626835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77.891473728626835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379</v>
      </c>
      <c r="AG45" s="13">
        <f>VLOOKUP(A45,'Données projet'!$A$61:$I$81,9,0)</f>
        <v>9.0238095238095237</v>
      </c>
      <c r="AH45" s="13">
        <f t="array" ref="AH45">INDEX(AG:AG,MIN(IF(ISNUMBER(AG45:AG241),ROW(AG45:AG241),"")))</f>
        <v>9.0238095238095237</v>
      </c>
      <c r="AI45" s="14">
        <f>IF('Données projet'!$A$62&gt;35,AI44+AH45-AQ44,IF(A45&lt;'Données projet'!$A$62,$AF$205^A45,IF(A45='Données projet'!$A$62,'Données projet'!$B$62,AI44+AH45-AQ44)))</f>
        <v>378.99999999999983</v>
      </c>
      <c r="AJ45" s="14">
        <f>AI45*VLOOKUP('Données projet'!$B$10,Paramètres!$A$1:$I$89,3,0)*VLOOKUP('Données projet'!$B$10,Paramètres!$A$1:$I$89,5,0)</f>
        <v>177.37199999999993</v>
      </c>
      <c r="AK45" s="14">
        <f t="shared" si="35"/>
        <v>44.737005048641883</v>
      </c>
      <c r="AL45" s="22">
        <f t="shared" si="4"/>
        <v>386.83985045971781</v>
      </c>
      <c r="AM45" s="62">
        <f t="shared" si="5"/>
        <v>613.36208984254927</v>
      </c>
      <c r="AN45" s="62">
        <f ca="1">AVERAGE(OFFSET($AM$3,0,0,'Données projet'!$E$10+1,1))-AVERAGE(OFFSET($H$3,0,0,'Données projet'!$E$10+1,1))</f>
        <v>398.15858227099039</v>
      </c>
      <c r="AO45" s="62">
        <f t="shared" si="36"/>
        <v>353.78046004921737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110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91.036856009570386</v>
      </c>
      <c r="T46" s="62">
        <f t="shared" si="34"/>
        <v>443.00653800162456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76.364069437916299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76.364069437916299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20.333333333333332</v>
      </c>
      <c r="AI46" s="14">
        <f>IF('Données projet'!$A$62&gt;35,AI45+AH46-AQ45,IF(A46&lt;'Données projet'!$A$62,$AF$205^A46,IF(A46='Données projet'!$A$62,'Données projet'!$B$62,AI45+AH46-AQ45)))</f>
        <v>289.33333333333314</v>
      </c>
      <c r="AJ46" s="14">
        <f>AI46*VLOOKUP('Données projet'!$B$10,Paramètres!$A$1:$I$89,3,0)*VLOOKUP('Données projet'!$B$10,Paramètres!$A$1:$I$89,5,0)</f>
        <v>135.4079999999999</v>
      </c>
      <c r="AK46" s="14">
        <f t="shared" si="35"/>
        <v>35.243009677478696</v>
      </c>
      <c r="AL46" s="22">
        <f t="shared" si="4"/>
        <v>297.21717518827523</v>
      </c>
      <c r="AM46" s="62">
        <f t="shared" si="5"/>
        <v>524.89843768391859</v>
      </c>
      <c r="AN46" s="62">
        <f ca="1">AVERAGE(OFFSET($AM$3,0,0,'Données projet'!$E$10+1,1))-AVERAGE(OFFSET($H$3,0,0,'Données projet'!$E$10+1,1))</f>
        <v>398.15858227099039</v>
      </c>
      <c r="AO46" s="62">
        <f t="shared" si="36"/>
        <v>353.78046004921737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91.036856009570386</v>
      </c>
      <c r="T47" s="62">
        <f t="shared" si="34"/>
        <v>443.00653800162456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74.866616613721973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74.866616613721973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20.333333333333332</v>
      </c>
      <c r="AI47" s="14">
        <f>IF('Données projet'!$A$62&gt;35,AI46+AH47-AQ46,IF(A47&lt;'Données projet'!$A$62,$AF$205^A47,IF(A47='Données projet'!$A$62,'Données projet'!$B$62,AI46+AH47-AQ46)))</f>
        <v>309.66666666666646</v>
      </c>
      <c r="AJ47" s="14">
        <f>AI47*VLOOKUP('Données projet'!$B$10,Paramètres!$A$1:$I$89,3,0)*VLOOKUP('Données projet'!$B$10,Paramètres!$A$1:$I$89,5,0)</f>
        <v>144.92399999999989</v>
      </c>
      <c r="AK47" s="14">
        <f t="shared" si="35"/>
        <v>37.422745391578168</v>
      </c>
      <c r="AL47" s="22">
        <f t="shared" si="4"/>
        <v>317.58724822366509</v>
      </c>
      <c r="AM47" s="62">
        <f t="shared" si="5"/>
        <v>546.40742737230062</v>
      </c>
      <c r="AN47" s="62">
        <f ca="1">AVERAGE(OFFSET($AM$3,0,0,'Données projet'!$E$10+1,1))-AVERAGE(OFFSET($H$3,0,0,'Données projet'!$E$10+1,1))</f>
        <v>398.15858227099039</v>
      </c>
      <c r="AO47" s="62">
        <f t="shared" si="36"/>
        <v>353.78046004921737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91.036856009570386</v>
      </c>
      <c r="T48" s="62">
        <f t="shared" si="34"/>
        <v>443.00653800162456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73.398527926054058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73.398527926054058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20.333333333333332</v>
      </c>
      <c r="AI48" s="14">
        <f>IF('Données projet'!$A$62&gt;35,AI47+AH48-AQ47,IF(A48&lt;'Données projet'!$A$62,$AF$205^A48,IF(A48='Données projet'!$A$62,'Données projet'!$B$62,AI47+AH48-AQ47)))</f>
        <v>329.99999999999977</v>
      </c>
      <c r="AJ48" s="14">
        <f>AI48*VLOOKUP('Données projet'!$B$10,Paramètres!$A$1:$I$89,3,0)*VLOOKUP('Données projet'!$B$10,Paramètres!$A$1:$I$89,5,0)</f>
        <v>154.43999999999988</v>
      </c>
      <c r="AK48" s="14">
        <f t="shared" si="35"/>
        <v>39.585872170955454</v>
      </c>
      <c r="AL48" s="22">
        <f t="shared" si="4"/>
        <v>337.92839403108047</v>
      </c>
      <c r="AM48" s="62">
        <f t="shared" si="5"/>
        <v>567.86773217501502</v>
      </c>
      <c r="AN48" s="62">
        <f ca="1">AVERAGE(OFFSET($AM$3,0,0,'Données projet'!$E$10+1,1))-AVERAGE(OFFSET($H$3,0,0,'Données projet'!$E$10+1,1))</f>
        <v>398.15858227099039</v>
      </c>
      <c r="AO48" s="62">
        <f t="shared" si="36"/>
        <v>353.78046004921737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91.036856009570386</v>
      </c>
      <c r="T49" s="62">
        <f t="shared" si="34"/>
        <v>443.00653800162456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71.959227562105639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71.959227562105639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20.333333333333332</v>
      </c>
      <c r="AI49" s="14">
        <f>IF('Données projet'!$A$62&gt;35,AI48+AH49-AQ48,IF(A49&lt;'Données projet'!$A$62,$AF$205^A49,IF(A49='Données projet'!$A$62,'Données projet'!$B$62,AI48+AH49-AQ48)))</f>
        <v>350.33333333333309</v>
      </c>
      <c r="AJ49" s="14">
        <f>AI49*VLOOKUP('Données projet'!$B$10,Paramètres!$A$1:$I$89,3,0)*VLOOKUP('Données projet'!$B$10,Paramètres!$A$1:$I$89,5,0)</f>
        <v>163.95599999999988</v>
      </c>
      <c r="AK49" s="14">
        <f t="shared" si="35"/>
        <v>41.733529914742526</v>
      </c>
      <c r="AL49" s="22">
        <f t="shared" si="4"/>
        <v>358.24259793484299</v>
      </c>
      <c r="AM49" s="62">
        <f t="shared" si="5"/>
        <v>589.28168016757263</v>
      </c>
      <c r="AN49" s="62">
        <f ca="1">AVERAGE(OFFSET($AM$3,0,0,'Données projet'!$E$10+1,1))-AVERAGE(OFFSET($H$3,0,0,'Données projet'!$E$10+1,1))</f>
        <v>398.15858227099039</v>
      </c>
      <c r="AO49" s="62">
        <f t="shared" si="36"/>
        <v>353.78046004921737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91.036856009570386</v>
      </c>
      <c r="T50" s="62">
        <f t="shared" si="34"/>
        <v>443.00653800162456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70.548151000407699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70.548151000407699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20.333333333333332</v>
      </c>
      <c r="AI50" s="14">
        <f>IF('Données projet'!$A$62&gt;35,AI49+AH50-AQ49,IF(A50&lt;'Données projet'!$A$62,$AF$205^A50,IF(A50='Données projet'!$A$62,'Données projet'!$B$62,AI49+AH50-AQ49)))</f>
        <v>370.6666666666664</v>
      </c>
      <c r="AJ50" s="14">
        <f>AI50*VLOOKUP('Données projet'!$B$10,Paramètres!$A$1:$I$89,3,0)*VLOOKUP('Données projet'!$B$10,Paramètres!$A$1:$I$89,5,0)</f>
        <v>173.47199999999989</v>
      </c>
      <c r="AK50" s="14">
        <f t="shared" si="35"/>
        <v>43.866718728383532</v>
      </c>
      <c r="AL50" s="22">
        <f t="shared" si="4"/>
        <v>378.53160178526781</v>
      </c>
      <c r="AM50" s="62">
        <f t="shared" si="5"/>
        <v>610.65135000551152</v>
      </c>
      <c r="AN50" s="62">
        <f ca="1">AVERAGE(OFFSET($AM$3,0,0,'Données projet'!$E$10+1,1))-AVERAGE(OFFSET($H$3,0,0,'Données projet'!$E$10+1,1))</f>
        <v>398.15858227099039</v>
      </c>
      <c r="AO50" s="62">
        <f t="shared" si="36"/>
        <v>353.78046004921737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91.036856009570386</v>
      </c>
      <c r="T51" s="62">
        <f t="shared" si="34"/>
        <v>443.00653800162456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69.16474478941295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69.16474478941295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391</v>
      </c>
      <c r="AG51" s="13">
        <f>VLOOKUP(A51,'Données projet'!$A$61:$I$81,9,0)</f>
        <v>20.333333333333332</v>
      </c>
      <c r="AH51" s="13">
        <f t="array" ref="AH51">INDEX(AG:AG,MIN(IF(ISNUMBER(AG51:AG247),ROW(AG51:AG247),"")))</f>
        <v>20.333333333333332</v>
      </c>
      <c r="AI51" s="14">
        <f>IF('Données projet'!$A$62&gt;35,AI50+AH51-AQ50,IF(A51&lt;'Données projet'!$A$62,$AF$205^A51,IF(A51='Données projet'!$A$62,'Données projet'!$B$62,AI50+AH51-AQ50)))</f>
        <v>390.99999999999972</v>
      </c>
      <c r="AJ51" s="14">
        <f>AI51*VLOOKUP('Données projet'!$B$10,Paramètres!$A$1:$I$89,3,0)*VLOOKUP('Données projet'!$B$10,Paramètres!$A$1:$I$89,5,0)</f>
        <v>182.98799999999989</v>
      </c>
      <c r="AK51" s="14">
        <f t="shared" si="35"/>
        <v>45.986322796524831</v>
      </c>
      <c r="AL51" s="22">
        <f t="shared" si="4"/>
        <v>398.79694553728058</v>
      </c>
      <c r="AM51" s="62">
        <f t="shared" si="5"/>
        <v>631.97861260616219</v>
      </c>
      <c r="AN51" s="62">
        <f ca="1">AVERAGE(OFFSET($AM$3,0,0,'Données projet'!$E$10+1,1))-AVERAGE(OFFSET($H$3,0,0,'Données projet'!$E$10+1,1))</f>
        <v>398.15858227099039</v>
      </c>
      <c r="AO51" s="62">
        <f t="shared" si="36"/>
        <v>353.78046004921737</v>
      </c>
      <c r="AP51" s="16">
        <f>IF(ISNA(VLOOKUP(A51,'Données projet'!$A$61:$I$81,3,0)),0,VLOOKUP(A51,'Données projet'!$A$61:$I$81,3,0))</f>
        <v>2</v>
      </c>
      <c r="AQ51" s="16">
        <f>IF(ISNA(VLOOKUP(A51,'Données projet'!$A$61:$I$81,4,0)),0,VLOOKUP(A51,'Données projet'!$A$61:$I$81,4,0))</f>
        <v>78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91.036856009570386</v>
      </c>
      <c r="T52" s="62">
        <f t="shared" si="34"/>
        <v>443.00653800162456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67.808466330421325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67.808466330421325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20.5</v>
      </c>
      <c r="AI52" s="14">
        <f>IF('Données projet'!$A$62&gt;35,AI51+AH52-AQ51,IF(A52&lt;'Données projet'!$A$62,$AF$205^A52,IF(A52='Données projet'!$A$62,'Données projet'!$B$62,AI51+AH52-AQ51)))</f>
        <v>333.49999999999972</v>
      </c>
      <c r="AJ52" s="14">
        <f>AI52*VLOOKUP('Données projet'!$B$10,Paramètres!$A$1:$I$89,3,0)*VLOOKUP('Données projet'!$B$10,Paramètres!$A$1:$I$89,5,0)</f>
        <v>156.07799999999986</v>
      </c>
      <c r="AK52" s="14">
        <f t="shared" si="35"/>
        <v>39.956623674978431</v>
      </c>
      <c r="AL52" s="22">
        <f t="shared" si="4"/>
        <v>341.42696956725382</v>
      </c>
      <c r="AM52" s="62">
        <f t="shared" si="5"/>
        <v>575.65213356684421</v>
      </c>
      <c r="AN52" s="62">
        <f ca="1">AVERAGE(OFFSET($AM$3,0,0,'Données projet'!$E$10+1,1))-AVERAGE(OFFSET($H$3,0,0,'Données projet'!$E$10+1,1))</f>
        <v>398.15858227099039</v>
      </c>
      <c r="AO52" s="62">
        <f t="shared" si="36"/>
        <v>353.78046004921737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91.036856009570386</v>
      </c>
      <c r="T53" s="62">
        <f t="shared" si="34"/>
        <v>443.00653800162456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66.478783664762361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66.478783664762361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20.5</v>
      </c>
      <c r="AI53" s="14">
        <f>IF('Données projet'!$A$62&gt;35,AI52+AH53-AQ52,IF(A53&lt;'Données projet'!$A$62,$AF$205^A53,IF(A53='Données projet'!$A$62,'Données projet'!$B$62,AI52+AH53-AQ52)))</f>
        <v>353.99999999999972</v>
      </c>
      <c r="AJ53" s="14">
        <f>AI53*VLOOKUP('Données projet'!$B$10,Paramètres!$A$1:$I$89,3,0)*VLOOKUP('Données projet'!$B$10,Paramètres!$A$1:$I$89,5,0)</f>
        <v>165.67199999999988</v>
      </c>
      <c r="AK53" s="14">
        <f t="shared" si="35"/>
        <v>42.119245508815517</v>
      </c>
      <c r="AL53" s="22">
        <f t="shared" si="4"/>
        <v>361.90308592785345</v>
      </c>
      <c r="AM53" s="62">
        <f t="shared" si="5"/>
        <v>597.15364451931464</v>
      </c>
      <c r="AN53" s="62">
        <f ca="1">AVERAGE(OFFSET($AM$3,0,0,'Données projet'!$E$10+1,1))-AVERAGE(OFFSET($H$3,0,0,'Données projet'!$E$10+1,1))</f>
        <v>398.15858227099039</v>
      </c>
      <c r="AO53" s="62">
        <f t="shared" si="36"/>
        <v>353.78046004921737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91.036856009570386</v>
      </c>
      <c r="T54" s="62">
        <f t="shared" si="34"/>
        <v>443.00653800162456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65.175175265150614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65.175175265150614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20.5</v>
      </c>
      <c r="AI54" s="14">
        <f>IF('Données projet'!$A$62&gt;35,AI53+AH54-AQ53,IF(A54&lt;'Données projet'!$A$62,$AF$205^A54,IF(A54='Données projet'!$A$62,'Données projet'!$B$62,AI53+AH54-AQ53)))</f>
        <v>374.49999999999972</v>
      </c>
      <c r="AJ54" s="14">
        <f>AI54*VLOOKUP('Données projet'!$B$10,Paramètres!$A$1:$I$89,3,0)*VLOOKUP('Données projet'!$B$10,Paramètres!$A$1:$I$89,5,0)</f>
        <v>175.26599999999985</v>
      </c>
      <c r="AK54" s="14">
        <f t="shared" si="35"/>
        <v>44.267330250356274</v>
      </c>
      <c r="AL54" s="22">
        <f t="shared" si="4"/>
        <v>382.35388351937019</v>
      </c>
      <c r="AM54" s="62">
        <f t="shared" si="5"/>
        <v>618.61204839897198</v>
      </c>
      <c r="AN54" s="62">
        <f ca="1">AVERAGE(OFFSET($AM$3,0,0,'Données projet'!$E$10+1,1))-AVERAGE(OFFSET($H$3,0,0,'Données projet'!$E$10+1,1))</f>
        <v>398.15858227099039</v>
      </c>
      <c r="AO54" s="62">
        <f t="shared" si="36"/>
        <v>353.78046004921737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91.036856009570386</v>
      </c>
      <c r="T55" s="62">
        <f t="shared" si="34"/>
        <v>443.00653800162456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63.897129831132645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63.897129831132645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20.5</v>
      </c>
      <c r="AI55" s="14">
        <f>IF('Données projet'!$A$62&gt;35,AI54+AH55-AQ54,IF(A55&lt;'Données projet'!$A$62,$AF$205^A55,IF(A55='Données projet'!$A$62,'Données projet'!$B$62,AI54+AH55-AQ54)))</f>
        <v>394.99999999999972</v>
      </c>
      <c r="AJ55" s="14">
        <f>AI55*VLOOKUP('Données projet'!$B$10,Paramètres!$A$1:$I$89,3,0)*VLOOKUP('Données projet'!$B$10,Paramètres!$A$1:$I$89,5,0)</f>
        <v>184.85999999999987</v>
      </c>
      <c r="AK55" s="14">
        <f t="shared" si="35"/>
        <v>46.401764365641043</v>
      </c>
      <c r="AL55" s="22">
        <f t="shared" si="4"/>
        <v>402.78090627015791</v>
      </c>
      <c r="AM55" s="62">
        <f t="shared" si="5"/>
        <v>640.02919772147129</v>
      </c>
      <c r="AN55" s="62">
        <f ca="1">AVERAGE(OFFSET($AM$3,0,0,'Données projet'!$E$10+1,1))-AVERAGE(OFFSET($H$3,0,0,'Données projet'!$E$10+1,1))</f>
        <v>398.15858227099039</v>
      </c>
      <c r="AO55" s="62">
        <f t="shared" si="36"/>
        <v>353.78046004921737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91.036856009570386</v>
      </c>
      <c r="T56" s="62">
        <f t="shared" si="34"/>
        <v>443.00653800162456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62.644146088545028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62.644146088545028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20.5</v>
      </c>
      <c r="AI56" s="14">
        <f>IF('Données projet'!$A$62&gt;35,AI55+AH56-AQ55,IF(A56&lt;'Données projet'!$A$62,$AF$205^A56,IF(A56='Données projet'!$A$62,'Données projet'!$B$62,AI55+AH56-AQ55)))</f>
        <v>415.49999999999972</v>
      </c>
      <c r="AJ56" s="14">
        <f>AI56*VLOOKUP('Données projet'!$B$10,Paramètres!$A$1:$I$89,3,0)*VLOOKUP('Données projet'!$B$10,Paramètres!$A$1:$I$89,5,0)</f>
        <v>194.45399999999987</v>
      </c>
      <c r="AK56" s="14">
        <f t="shared" si="35"/>
        <v>48.523337110742148</v>
      </c>
      <c r="AL56" s="22">
        <f t="shared" si="4"/>
        <v>423.18552880120905</v>
      </c>
      <c r="AM56" s="62">
        <f t="shared" si="5"/>
        <v>661.40677034180624</v>
      </c>
      <c r="AN56" s="62">
        <f ca="1">AVERAGE(OFFSET($AM$3,0,0,'Données projet'!$E$10+1,1))-AVERAGE(OFFSET($H$3,0,0,'Données projet'!$E$10+1,1))</f>
        <v>398.15858227099039</v>
      </c>
      <c r="AO56" s="62">
        <f t="shared" si="36"/>
        <v>353.78046004921737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91.036856009570386</v>
      </c>
      <c r="T57" s="62">
        <f t="shared" si="34"/>
        <v>443.00653800162456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61.415732592904931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61.415732592904931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436</v>
      </c>
      <c r="AG57" s="13">
        <f>VLOOKUP(A57,'Données projet'!$A$61:$I$81,9,0)</f>
        <v>20.5</v>
      </c>
      <c r="AH57" s="13">
        <f t="array" ref="AH57">INDEX(AG:AG,MIN(IF(ISNUMBER(AG57:AG253),ROW(AG57:AG253),"")))</f>
        <v>20.5</v>
      </c>
      <c r="AI57" s="14">
        <f>IF('Données projet'!$A$62&gt;35,AI56+AH57-AQ56,IF(A57&lt;'Données projet'!$A$62,$AF$205^A57,IF(A57='Données projet'!$A$62,'Données projet'!$B$62,AI56+AH57-AQ56)))</f>
        <v>435.99999999999972</v>
      </c>
      <c r="AJ57" s="14">
        <f>AI57*VLOOKUP('Données projet'!$B$10,Paramètres!$A$1:$I$89,3,0)*VLOOKUP('Données projet'!$B$10,Paramètres!$A$1:$I$89,5,0)</f>
        <v>204.04799999999986</v>
      </c>
      <c r="AK57" s="14">
        <f t="shared" si="35"/>
        <v>50.632755461121967</v>
      </c>
      <c r="AL57" s="22">
        <f t="shared" si="4"/>
        <v>443.56898242812048</v>
      </c>
      <c r="AM57" s="62">
        <f t="shared" si="5"/>
        <v>682.74629554914281</v>
      </c>
      <c r="AN57" s="62">
        <f ca="1">AVERAGE(OFFSET($AM$3,0,0,'Données projet'!$E$10+1,1))-AVERAGE(OFFSET($H$3,0,0,'Données projet'!$E$10+1,1))</f>
        <v>398.15858227099039</v>
      </c>
      <c r="AO57" s="62">
        <f t="shared" si="36"/>
        <v>353.78046004921737</v>
      </c>
      <c r="AP57" s="16">
        <f>IF(ISNA(VLOOKUP(A57,'Données projet'!$A$61:$I$81,3,0)),0,VLOOKUP(A57,'Données projet'!$A$61:$I$81,3,0))</f>
        <v>3</v>
      </c>
      <c r="AQ57" s="16">
        <f>IF(ISNA(VLOOKUP(A57,'Données projet'!$A$61:$I$81,4,0)),0,VLOOKUP(A57,'Données projet'!$A$61:$I$81,4,0))</f>
        <v>86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91.036856009570386</v>
      </c>
      <c r="T58" s="62">
        <f t="shared" si="34"/>
        <v>443.00653800162456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60.21140753665609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60.21140753665609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19.833333333333332</v>
      </c>
      <c r="AI58" s="14">
        <f>IF('Données projet'!$A$62&gt;35,AI57+AH58-AQ57,IF(A58&lt;'Données projet'!$A$62,$AF$205^A58,IF(A58='Données projet'!$A$62,'Données projet'!$B$62,AI57+AH58-AQ57)))</f>
        <v>369.83333333333303</v>
      </c>
      <c r="AJ58" s="14">
        <f>AI58*VLOOKUP('Données projet'!$B$10,Paramètres!$A$1:$I$89,3,0)*VLOOKUP('Données projet'!$B$10,Paramètres!$A$1:$I$89,5,0)</f>
        <v>173.08199999999985</v>
      </c>
      <c r="AK58" s="14">
        <f t="shared" si="35"/>
        <v>43.77956560661174</v>
      </c>
      <c r="AL58" s="22">
        <f t="shared" si="4"/>
        <v>377.70056009818182</v>
      </c>
      <c r="AM58" s="62">
        <f t="shared" si="5"/>
        <v>617.81735909516499</v>
      </c>
      <c r="AN58" s="62">
        <f ca="1">AVERAGE(OFFSET($AM$3,0,0,'Données projet'!$E$10+1,1))-AVERAGE(OFFSET($H$3,0,0,'Données projet'!$E$10+1,1))</f>
        <v>398.15858227099039</v>
      </c>
      <c r="AO58" s="62">
        <f t="shared" si="36"/>
        <v>353.78046004921737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91.036856009570386</v>
      </c>
      <c r="T59" s="62">
        <f t="shared" si="34"/>
        <v>443.00653800162456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59.030698560194537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59.030698560194537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19.833333333333332</v>
      </c>
      <c r="AI59" s="14">
        <f>IF('Données projet'!$A$62&gt;35,AI58+AH59-AQ58,IF(A59&lt;'Données projet'!$A$62,$AF$205^A59,IF(A59='Données projet'!$A$62,'Données projet'!$B$62,AI58+AH59-AQ58)))</f>
        <v>389.66666666666634</v>
      </c>
      <c r="AJ59" s="14">
        <f>AI59*VLOOKUP('Données projet'!$B$10,Paramètres!$A$1:$I$89,3,0)*VLOOKUP('Données projet'!$B$10,Paramètres!$A$1:$I$89,5,0)</f>
        <v>182.36399999999986</v>
      </c>
      <c r="AK59" s="14">
        <f t="shared" si="35"/>
        <v>45.84773255125662</v>
      </c>
      <c r="AL59" s="22">
        <f t="shared" si="4"/>
        <v>397.46876752677173</v>
      </c>
      <c r="AM59" s="62">
        <f t="shared" si="5"/>
        <v>638.5087544201433</v>
      </c>
      <c r="AN59" s="62">
        <f ca="1">AVERAGE(OFFSET($AM$3,0,0,'Données projet'!$E$10+1,1))-AVERAGE(OFFSET($H$3,0,0,'Données projet'!$E$10+1,1))</f>
        <v>398.15858227099039</v>
      </c>
      <c r="AO59" s="62">
        <f t="shared" si="36"/>
        <v>353.78046004921737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91.036856009570386</v>
      </c>
      <c r="T60" s="62">
        <f t="shared" si="34"/>
        <v>443.00653800162456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57.873142566600031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57.873142566600031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19.833333333333332</v>
      </c>
      <c r="AI60" s="14">
        <f>IF('Données projet'!$A$62&gt;35,AI59+AH60-AQ59,IF(A60&lt;'Données projet'!$A$62,$AF$205^A60,IF(A60='Données projet'!$A$62,'Données projet'!$B$62,AI59+AH60-AQ59)))</f>
        <v>409.49999999999966</v>
      </c>
      <c r="AJ60" s="14">
        <f>AI60*VLOOKUP('Données projet'!$B$10,Paramètres!$A$1:$I$89,3,0)*VLOOKUP('Données projet'!$B$10,Paramètres!$A$1:$I$89,5,0)</f>
        <v>191.64599999999984</v>
      </c>
      <c r="AK60" s="14">
        <f t="shared" si="35"/>
        <v>47.903677189291592</v>
      </c>
      <c r="AL60" s="22">
        <f t="shared" si="4"/>
        <v>417.21568777134922</v>
      </c>
      <c r="AM60" s="62">
        <f t="shared" si="5"/>
        <v>659.16284731504606</v>
      </c>
      <c r="AN60" s="62">
        <f ca="1">AVERAGE(OFFSET($AM$3,0,0,'Données projet'!$E$10+1,1))-AVERAGE(OFFSET($H$3,0,0,'Données projet'!$E$10+1,1))</f>
        <v>398.15858227099039</v>
      </c>
      <c r="AO60" s="62">
        <f t="shared" si="36"/>
        <v>353.78046004921737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91.036856009570386</v>
      </c>
      <c r="T61" s="62">
        <f t="shared" si="34"/>
        <v>443.00653800162456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56.738285540000469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56.738285540000469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19.833333333333332</v>
      </c>
      <c r="AI61" s="14">
        <f>IF('Données projet'!$A$62&gt;35,AI60+AH61-AQ60,IF(A61&lt;'Données projet'!$A$62,$AF$205^A61,IF(A61='Données projet'!$A$62,'Données projet'!$B$62,AI60+AH61-AQ60)))</f>
        <v>429.33333333333297</v>
      </c>
      <c r="AJ61" s="14">
        <f>AI61*VLOOKUP('Données projet'!$B$10,Paramètres!$A$1:$I$89,3,0)*VLOOKUP('Données projet'!$B$10,Paramètres!$A$1:$I$89,5,0)</f>
        <v>200.92799999999983</v>
      </c>
      <c r="AK61" s="14">
        <f t="shared" si="35"/>
        <v>49.948059057188999</v>
      </c>
      <c r="AL61" s="22">
        <f t="shared" si="4"/>
        <v>436.94246952460384</v>
      </c>
      <c r="AM61" s="62">
        <f t="shared" si="5"/>
        <v>679.78106430127684</v>
      </c>
      <c r="AN61" s="62">
        <f ca="1">AVERAGE(OFFSET($AM$3,0,0,'Données projet'!$E$10+1,1))-AVERAGE(OFFSET($H$3,0,0,'Données projet'!$E$10+1,1))</f>
        <v>398.15858227099039</v>
      </c>
      <c r="AO61" s="62">
        <f t="shared" si="36"/>
        <v>353.78046004921737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91.036856009570386</v>
      </c>
      <c r="T62" s="62">
        <f t="shared" si="34"/>
        <v>443.00653800162456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55.625682367498086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55.625682367498086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19.833333333333332</v>
      </c>
      <c r="AI62" s="14">
        <f>IF('Données projet'!$A$62&gt;35,AI61+AH62-AQ61,IF(A62&lt;'Données projet'!$A$62,$AF$205^A62,IF(A62='Données projet'!$A$62,'Données projet'!$B$62,AI61+AH62-AQ61)))</f>
        <v>449.16666666666629</v>
      </c>
      <c r="AJ62" s="14">
        <f>AI62*VLOOKUP('Données projet'!$B$10,Paramètres!$A$1:$I$89,3,0)*VLOOKUP('Données projet'!$B$10,Paramètres!$A$1:$I$89,5,0)</f>
        <v>210.20999999999981</v>
      </c>
      <c r="AK62" s="14">
        <f t="shared" si="35"/>
        <v>51.981473312002805</v>
      </c>
      <c r="AL62" s="22">
        <f t="shared" si="4"/>
        <v>456.65014935173781</v>
      </c>
      <c r="AM62" s="62">
        <f t="shared" si="5"/>
        <v>700.36471495304545</v>
      </c>
      <c r="AN62" s="62">
        <f ca="1">AVERAGE(OFFSET($AM$3,0,0,'Données projet'!$E$10+1,1))-AVERAGE(OFFSET($H$3,0,0,'Données projet'!$E$10+1,1))</f>
        <v>398.15858227099039</v>
      </c>
      <c r="AO62" s="62">
        <f t="shared" si="36"/>
        <v>353.78046004921737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91.036856009570386</v>
      </c>
      <c r="T63" s="62">
        <f t="shared" si="34"/>
        <v>443.00653800162456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54.534896664587549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54.534896664587549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469</v>
      </c>
      <c r="AG63" s="13">
        <f>VLOOKUP(A63,'Données projet'!$A$61:$I$81,9,0)</f>
        <v>19.833333333333332</v>
      </c>
      <c r="AH63" s="13">
        <f t="array" ref="AH63">INDEX(AG:AG,MIN(IF(ISNUMBER(AG63:AG259),ROW(AG63:AG259),"")))</f>
        <v>19.833333333333332</v>
      </c>
      <c r="AI63" s="14">
        <f>IF('Données projet'!$A$62&gt;35,AI62+AH63-AQ62,IF(A63&lt;'Données projet'!$A$62,$AF$205^A63,IF(A63='Données projet'!$A$62,'Données projet'!$B$62,AI62+AH63-AQ62)))</f>
        <v>468.9999999999996</v>
      </c>
      <c r="AJ63" s="14">
        <f>AI63*VLOOKUP('Données projet'!$B$10,Paramètres!$A$1:$I$89,3,0)*VLOOKUP('Données projet'!$B$10,Paramètres!$A$1:$I$89,5,0)</f>
        <v>219.49199999999982</v>
      </c>
      <c r="AK63" s="14">
        <f t="shared" si="35"/>
        <v>54.004459579686618</v>
      </c>
      <c r="AL63" s="22">
        <f t="shared" si="4"/>
        <v>476.3396671012872</v>
      </c>
      <c r="AM63" s="62">
        <f t="shared" si="5"/>
        <v>720.91500739179958</v>
      </c>
      <c r="AN63" s="62">
        <f ca="1">AVERAGE(OFFSET($AM$3,0,0,'Données projet'!$E$10+1,1))-AVERAGE(OFFSET($H$3,0,0,'Données projet'!$E$10+1,1))</f>
        <v>398.15858227099039</v>
      </c>
      <c r="AO63" s="62">
        <f t="shared" si="36"/>
        <v>353.78046004921737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84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91.036856009570386</v>
      </c>
      <c r="T64" s="62">
        <f t="shared" si="34"/>
        <v>443.00653800162456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53.465500603997505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53.465500603997505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19.166666666666668</v>
      </c>
      <c r="AI64" s="14">
        <f>IF('Données projet'!$A$62&gt;35,AI63+AH64-AQ63,IF(A64&lt;'Données projet'!$A$62,$AF$205^A64,IF(A64='Données projet'!$A$62,'Données projet'!$B$62,AI63+AH64-AQ63)))</f>
        <v>404.16666666666629</v>
      </c>
      <c r="AJ64" s="14">
        <f>AI64*VLOOKUP('Données projet'!$B$10,Paramètres!$A$1:$I$89,3,0)*VLOOKUP('Données projet'!$B$10,Paramètres!$A$1:$I$89,5,0)</f>
        <v>189.14999999999984</v>
      </c>
      <c r="AK64" s="14">
        <f t="shared" si="35"/>
        <v>47.351980908861918</v>
      </c>
      <c r="AL64" s="22">
        <f t="shared" si="4"/>
        <v>411.90761674960089</v>
      </c>
      <c r="AM64" s="62">
        <f t="shared" si="5"/>
        <v>657.32879921286417</v>
      </c>
      <c r="AN64" s="62">
        <f ca="1">AVERAGE(OFFSET($AM$3,0,0,'Données projet'!$E$10+1,1))-AVERAGE(OFFSET($H$3,0,0,'Données projet'!$E$10+1,1))</f>
        <v>398.15858227099039</v>
      </c>
      <c r="AO64" s="62">
        <f t="shared" si="36"/>
        <v>353.78046004921737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91.036856009570386</v>
      </c>
      <c r="T65" s="62">
        <f t="shared" si="34"/>
        <v>443.00653800162456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52.417074747888442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52.417074747888442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19.166666666666668</v>
      </c>
      <c r="AI65" s="14">
        <f>IF('Données projet'!$A$62&gt;35,AI64+AH65-AQ64,IF(A65&lt;'Données projet'!$A$62,$AF$205^A65,IF(A65='Données projet'!$A$62,'Données projet'!$B$62,AI64+AH65-AQ64)))</f>
        <v>423.33333333333297</v>
      </c>
      <c r="AJ65" s="14">
        <f>AI65*VLOOKUP('Données projet'!$B$10,Paramètres!$A$1:$I$89,3,0)*VLOOKUP('Données projet'!$B$10,Paramètres!$A$1:$I$89,5,0)</f>
        <v>198.11999999999983</v>
      </c>
      <c r="AK65" s="14">
        <f t="shared" si="35"/>
        <v>49.330773797227167</v>
      </c>
      <c r="AL65" s="22">
        <f t="shared" si="4"/>
        <v>430.97676436350366</v>
      </c>
      <c r="AM65" s="62">
        <f t="shared" si="5"/>
        <v>677.22911552884034</v>
      </c>
      <c r="AN65" s="62">
        <f ca="1">AVERAGE(OFFSET($AM$3,0,0,'Données projet'!$E$10+1,1))-AVERAGE(OFFSET($H$3,0,0,'Données projet'!$E$10+1,1))</f>
        <v>398.15858227099039</v>
      </c>
      <c r="AO65" s="62">
        <f t="shared" si="36"/>
        <v>353.78046004921737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91.036856009570386</v>
      </c>
      <c r="T66" s="62">
        <f t="shared" si="34"/>
        <v>443.00653800162456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51.389207883341044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51.389207883341044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19.166666666666668</v>
      </c>
      <c r="AI66" s="14">
        <f>IF('Données projet'!$A$62&gt;35,AI65+AH66-AQ65,IF(A66&lt;'Données projet'!$A$62,$AF$205^A66,IF(A66='Données projet'!$A$62,'Données projet'!$B$62,AI65+AH66-AQ65)))</f>
        <v>442.49999999999966</v>
      </c>
      <c r="AJ66" s="14">
        <f>AI66*VLOOKUP('Données projet'!$B$10,Paramètres!$A$1:$I$89,3,0)*VLOOKUP('Données projet'!$B$10,Paramètres!$A$1:$I$89,5,0)</f>
        <v>207.08999999999983</v>
      </c>
      <c r="AK66" s="14">
        <f t="shared" si="35"/>
        <v>51.299161968697469</v>
      </c>
      <c r="AL66" s="22">
        <f t="shared" si="4"/>
        <v>450.0277904288144</v>
      </c>
      <c r="AM66" s="62">
        <f t="shared" si="5"/>
        <v>697.09689137745841</v>
      </c>
      <c r="AN66" s="62">
        <f ca="1">AVERAGE(OFFSET($AM$3,0,0,'Données projet'!$E$10+1,1))-AVERAGE(OFFSET($H$3,0,0,'Données projet'!$E$10+1,1))</f>
        <v>398.15858227099039</v>
      </c>
      <c r="AO66" s="62">
        <f t="shared" si="36"/>
        <v>353.78046004921737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91.036856009570386</v>
      </c>
      <c r="T67" s="62">
        <f t="shared" si="34"/>
        <v>443.00653800162456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50.381496861070538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50.381496861070538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19.166666666666668</v>
      </c>
      <c r="AI67" s="14">
        <f>IF('Données projet'!$A$62&gt;35,AI66+AH67-AQ66,IF(A67&lt;'Données projet'!$A$62,$AF$205^A67,IF(A67='Données projet'!$A$62,'Données projet'!$B$62,AI66+AH67-AQ66)))</f>
        <v>461.66666666666634</v>
      </c>
      <c r="AJ67" s="14">
        <f>AI67*VLOOKUP('Données projet'!$B$10,Paramètres!$A$1:$I$89,3,0)*VLOOKUP('Données projet'!$B$10,Paramètres!$A$1:$I$89,5,0)</f>
        <v>216.05999999999983</v>
      </c>
      <c r="AK67" s="14">
        <f t="shared" si="35"/>
        <v>53.25764761128822</v>
      </c>
      <c r="AL67" s="22">
        <f t="shared" si="4"/>
        <v>469.06156958966</v>
      </c>
      <c r="AM67" s="62">
        <f t="shared" si="5"/>
        <v>716.93325153884985</v>
      </c>
      <c r="AN67" s="62">
        <f ca="1">AVERAGE(OFFSET($AM$3,0,0,'Données projet'!$E$10+1,1))-AVERAGE(OFFSET($H$3,0,0,'Données projet'!$E$10+1,1))</f>
        <v>398.15858227099039</v>
      </c>
      <c r="AO67" s="62">
        <f t="shared" si="36"/>
        <v>353.78046004921737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91.036856009570386</v>
      </c>
      <c r="T68" s="62">
        <f t="shared" si="34"/>
        <v>443.00653800162456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49.393546437303726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49.393546437303726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19.166666666666668</v>
      </c>
      <c r="AI68" s="14">
        <f>IF('Données projet'!$A$62&gt;35,AI67+AH68-AQ67,IF(A68&lt;'Données projet'!$A$62,$AF$205^A68,IF(A68='Données projet'!$A$62,'Données projet'!$B$62,AI67+AH68-AQ67)))</f>
        <v>480.83333333333303</v>
      </c>
      <c r="AJ68" s="14">
        <f>AI68*VLOOKUP('Données projet'!$B$10,Paramètres!$A$1:$I$89,3,0)*VLOOKUP('Données projet'!$B$10,Paramètres!$A$1:$I$89,5,0)</f>
        <v>225.02999999999986</v>
      </c>
      <c r="AK68" s="14">
        <f t="shared" si="35"/>
        <v>55.206688855897156</v>
      </c>
      <c r="AL68" s="22">
        <f t="shared" ref="AL68:AL131" si="58">(AJ68+AK68)*0.475*44/12</f>
        <v>488.07889975735389</v>
      </c>
      <c r="AM68" s="62">
        <f t="shared" ref="AM68:AM131" si="59">AL68+(AD68+AE68)*44/12</f>
        <v>736.73923972103239</v>
      </c>
      <c r="AN68" s="62">
        <f ca="1">AVERAGE(OFFSET($AM$3,0,0,'Données projet'!$E$10+1,1))-AVERAGE(OFFSET($H$3,0,0,'Données projet'!$E$10+1,1))</f>
        <v>398.15858227099039</v>
      </c>
      <c r="AO68" s="62">
        <f t="shared" si="36"/>
        <v>353.78046004921737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91.036856009570386</v>
      </c>
      <c r="T69" s="62">
        <f t="shared" ref="T69:T132" si="88">$T$3</f>
        <v>443.00653800162456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48.424969118756721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48.424969118756721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500</v>
      </c>
      <c r="AG69" s="13">
        <f>VLOOKUP(A69,'Données projet'!$A$61:$I$81,9,0)</f>
        <v>19.166666666666668</v>
      </c>
      <c r="AH69" s="13">
        <f t="array" ref="AH69">INDEX(AG:AG,MIN(IF(ISNUMBER(AG69:AG265),ROW(AG69:AG265),"")))</f>
        <v>19.166666666666668</v>
      </c>
      <c r="AI69" s="14">
        <f>IF('Données projet'!$A$62&gt;35,AI68+AH69-AQ68,IF(A69&lt;'Données projet'!$A$62,$AF$205^A69,IF(A69='Données projet'!$A$62,'Données projet'!$B$62,AI68+AH69-AQ68)))</f>
        <v>499.99999999999972</v>
      </c>
      <c r="AJ69" s="14">
        <f>AI69*VLOOKUP('Données projet'!$B$10,Paramètres!$A$1:$I$89,3,0)*VLOOKUP('Données projet'!$B$10,Paramètres!$A$1:$I$89,5,0)</f>
        <v>233.99999999999986</v>
      </c>
      <c r="AK69" s="14">
        <f t="shared" ref="AK69:AK132" si="89">EXP(-1.0587+0.8836*LN(AJ69)+0.284)</f>
        <v>57.14670524255709</v>
      </c>
      <c r="AL69" s="22">
        <f t="shared" si="58"/>
        <v>507.08051163078659</v>
      </c>
      <c r="AM69" s="62">
        <f t="shared" si="59"/>
        <v>756.51582815557776</v>
      </c>
      <c r="AN69" s="62">
        <f ca="1">AVERAGE(OFFSET($AM$3,0,0,'Données projet'!$E$10+1,1))-AVERAGE(OFFSET($H$3,0,0,'Données projet'!$E$10+1,1))</f>
        <v>398.15858227099039</v>
      </c>
      <c r="AO69" s="62">
        <f t="shared" ref="AO69:AO132" si="90">$AO$3</f>
        <v>353.78046004921737</v>
      </c>
      <c r="AP69" s="16">
        <f>IF(ISNA(VLOOKUP(A69,'Données projet'!$A$61:$I$81,3,0)),0,VLOOKUP(A69,'Données projet'!$A$61:$I$81,3,0))</f>
        <v>5</v>
      </c>
      <c r="AQ69" s="16">
        <f>IF(ISNA(VLOOKUP(A69,'Données projet'!$A$61:$I$81,4,0)),0,VLOOKUP(A69,'Données projet'!$A$61:$I$81,4,0))</f>
        <v>88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91.036856009570386</v>
      </c>
      <c r="T70" s="62">
        <f t="shared" si="88"/>
        <v>443.00653800162456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47.475385010652595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47.475385010652595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18.5</v>
      </c>
      <c r="AI70" s="14">
        <f>IF('Données projet'!$A$62&gt;35,AI69+AH70-AQ69,IF(A70&lt;'Données projet'!$A$62,$AF$205^A70,IF(A70='Données projet'!$A$62,'Données projet'!$B$62,AI69+AH70-AQ69)))</f>
        <v>430.49999999999977</v>
      </c>
      <c r="AJ70" s="14">
        <f>AI70*VLOOKUP('Données projet'!$B$10,Paramètres!$A$1:$I$89,3,0)*VLOOKUP('Données projet'!$B$10,Paramètres!$A$1:$I$89,5,0)</f>
        <v>201.47399999999988</v>
      </c>
      <c r="AK70" s="14">
        <f t="shared" si="89"/>
        <v>50.067969742315285</v>
      </c>
      <c r="AL70" s="22">
        <f t="shared" si="58"/>
        <v>438.10226396786555</v>
      </c>
      <c r="AM70" s="62">
        <f t="shared" si="59"/>
        <v>688.2991129430219</v>
      </c>
      <c r="AN70" s="62">
        <f ca="1">AVERAGE(OFFSET($AM$3,0,0,'Données projet'!$E$10+1,1))-AVERAGE(OFFSET($H$3,0,0,'Données projet'!$E$10+1,1))</f>
        <v>398.15858227099039</v>
      </c>
      <c r="AO70" s="62">
        <f t="shared" si="90"/>
        <v>353.78046004921737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91.036856009570386</v>
      </c>
      <c r="T71" s="62">
        <f t="shared" si="88"/>
        <v>443.00653800162456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46.544421667719277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46.544421667719277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18.5</v>
      </c>
      <c r="AI71" s="14">
        <f>IF('Données projet'!$A$62&gt;35,AI70+AH71-AQ70,IF(A71&lt;'Données projet'!$A$62,$AF$205^A71,IF(A71='Données projet'!$A$62,'Données projet'!$B$62,AI70+AH71-AQ70)))</f>
        <v>448.99999999999977</v>
      </c>
      <c r="AJ71" s="14">
        <f>AI71*VLOOKUP('Données projet'!$B$10,Paramètres!$A$1:$I$89,3,0)*VLOOKUP('Données projet'!$B$10,Paramètres!$A$1:$I$89,5,0)</f>
        <v>210.13199999999989</v>
      </c>
      <c r="AK71" s="14">
        <f t="shared" si="89"/>
        <v>51.964429964375014</v>
      </c>
      <c r="AL71" s="22">
        <f t="shared" si="58"/>
        <v>456.48461552128629</v>
      </c>
      <c r="AM71" s="62">
        <f t="shared" si="59"/>
        <v>707.42978606132544</v>
      </c>
      <c r="AN71" s="62">
        <f ca="1">AVERAGE(OFFSET($AM$3,0,0,'Données projet'!$E$10+1,1))-AVERAGE(OFFSET($H$3,0,0,'Données projet'!$E$10+1,1))</f>
        <v>398.15858227099039</v>
      </c>
      <c r="AO71" s="62">
        <f t="shared" si="90"/>
        <v>353.78046004921737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91.036856009570386</v>
      </c>
      <c r="T72" s="62">
        <f t="shared" si="88"/>
        <v>443.00653800162456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45.631713948109308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45.631713948109308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18.5</v>
      </c>
      <c r="AI72" s="14">
        <f>IF('Données projet'!$A$62&gt;35,AI71+AH72-AQ71,IF(A72&lt;'Données projet'!$A$62,$AF$205^A72,IF(A72='Données projet'!$A$62,'Données projet'!$B$62,AI71+AH72-AQ71)))</f>
        <v>467.49999999999977</v>
      </c>
      <c r="AJ72" s="14">
        <f>AI72*VLOOKUP('Données projet'!$B$10,Paramètres!$A$1:$I$89,3,0)*VLOOKUP('Données projet'!$B$10,Paramètres!$A$1:$I$89,5,0)</f>
        <v>218.78999999999991</v>
      </c>
      <c r="AK72" s="14">
        <f t="shared" si="89"/>
        <v>53.851813843863511</v>
      </c>
      <c r="AL72" s="22">
        <f t="shared" si="58"/>
        <v>474.85115911139542</v>
      </c>
      <c r="AM72" s="62">
        <f t="shared" si="59"/>
        <v>726.53166951016328</v>
      </c>
      <c r="AN72" s="62">
        <f ca="1">AVERAGE(OFFSET($AM$3,0,0,'Données projet'!$E$10+1,1))-AVERAGE(OFFSET($H$3,0,0,'Données projet'!$E$10+1,1))</f>
        <v>398.15858227099039</v>
      </c>
      <c r="AO72" s="62">
        <f t="shared" si="90"/>
        <v>353.78046004921737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91.036856009570386</v>
      </c>
      <c r="T73" s="62">
        <f t="shared" si="88"/>
        <v>443.00653800162456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44.73690387018415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44.73690387018415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18.5</v>
      </c>
      <c r="AI73" s="14">
        <f>IF('Données projet'!$A$62&gt;35,AI72+AH73-AQ72,IF(A73&lt;'Données projet'!$A$62,$AF$205^A73,IF(A73='Données projet'!$A$62,'Données projet'!$B$62,AI72+AH73-AQ72)))</f>
        <v>485.99999999999977</v>
      </c>
      <c r="AJ73" s="14">
        <f>AI73*VLOOKUP('Données projet'!$B$10,Paramètres!$A$1:$I$89,3,0)*VLOOKUP('Données projet'!$B$10,Paramètres!$A$1:$I$89,5,0)</f>
        <v>227.44799999999989</v>
      </c>
      <c r="AK73" s="14">
        <f t="shared" si="89"/>
        <v>55.730521649800686</v>
      </c>
      <c r="AL73" s="22">
        <f t="shared" si="58"/>
        <v>493.2025918734027</v>
      </c>
      <c r="AM73" s="62">
        <f t="shared" si="59"/>
        <v>745.60568562832373</v>
      </c>
      <c r="AN73" s="62">
        <f ca="1">AVERAGE(OFFSET($AM$3,0,0,'Données projet'!$E$10+1,1))-AVERAGE(OFFSET($H$3,0,0,'Données projet'!$E$10+1,1))</f>
        <v>398.15858227099039</v>
      </c>
      <c r="AO73" s="62">
        <f t="shared" si="90"/>
        <v>353.78046004921737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91.036856009570386</v>
      </c>
      <c r="T74" s="62">
        <f t="shared" si="88"/>
        <v>443.00653800162456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43.859640472106854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43.859640472106854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18.5</v>
      </c>
      <c r="AI74" s="14">
        <f>IF('Données projet'!$A$62&gt;35,AI73+AH74-AQ73,IF(A74&lt;'Données projet'!$A$62,$AF$205^A74,IF(A74='Données projet'!$A$62,'Données projet'!$B$62,AI73+AH74-AQ73)))</f>
        <v>504.49999999999977</v>
      </c>
      <c r="AJ74" s="14">
        <f>AI74*VLOOKUP('Données projet'!$B$10,Paramètres!$A$1:$I$89,3,0)*VLOOKUP('Données projet'!$B$10,Paramètres!$A$1:$I$89,5,0)</f>
        <v>236.10599999999991</v>
      </c>
      <c r="AK74" s="14">
        <f t="shared" si="89"/>
        <v>57.600921452083711</v>
      </c>
      <c r="AL74" s="22">
        <f t="shared" si="58"/>
        <v>511.53955486237896</v>
      </c>
      <c r="AM74" s="62">
        <f t="shared" si="59"/>
        <v>764.65269676767844</v>
      </c>
      <c r="AN74" s="62">
        <f ca="1">AVERAGE(OFFSET($AM$3,0,0,'Données projet'!$E$10+1,1))-AVERAGE(OFFSET($H$3,0,0,'Données projet'!$E$10+1,1))</f>
        <v>398.15858227099039</v>
      </c>
      <c r="AO74" s="62">
        <f t="shared" si="90"/>
        <v>353.78046004921737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91.036856009570386</v>
      </c>
      <c r="T75" s="62">
        <f t="shared" si="88"/>
        <v>443.00653800162456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42.999579674188013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42.999579674188013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523</v>
      </c>
      <c r="AG75" s="13">
        <f>VLOOKUP(A75,'Données projet'!$A$61:$I$81,9,0)</f>
        <v>18.5</v>
      </c>
      <c r="AH75" s="13">
        <f t="array" ref="AH75">INDEX(AG:AG,MIN(IF(ISNUMBER(AG75:AG271),ROW(AG75:AG271),"")))</f>
        <v>18.5</v>
      </c>
      <c r="AI75" s="14">
        <f>IF('Données projet'!$A$62&gt;35,AI74+AH75-AQ74,IF(A75&lt;'Données projet'!$A$62,$AF$205^A75,IF(A75='Données projet'!$A$62,'Données projet'!$B$62,AI74+AH75-AQ74)))</f>
        <v>522.99999999999977</v>
      </c>
      <c r="AJ75" s="14">
        <f>AI75*VLOOKUP('Données projet'!$B$10,Paramètres!$A$1:$I$89,3,0)*VLOOKUP('Données projet'!$B$10,Paramètres!$A$1:$I$89,5,0)</f>
        <v>244.7639999999999</v>
      </c>
      <c r="AK75" s="14">
        <f t="shared" si="89"/>
        <v>59.463352796691375</v>
      </c>
      <c r="AL75" s="22">
        <f t="shared" si="58"/>
        <v>529.86263945423718</v>
      </c>
      <c r="AM75" s="62">
        <f t="shared" si="59"/>
        <v>783.67351176193586</v>
      </c>
      <c r="AN75" s="62">
        <f ca="1">AVERAGE(OFFSET($AM$3,0,0,'Données projet'!$E$10+1,1))-AVERAGE(OFFSET($H$3,0,0,'Données projet'!$E$10+1,1))</f>
        <v>398.15858227099039</v>
      </c>
      <c r="AO75" s="62">
        <f t="shared" si="90"/>
        <v>353.78046004921737</v>
      </c>
      <c r="AP75" s="16">
        <f>IF(ISNA(VLOOKUP(A75,'Données projet'!$A$61:$I$81,3,0)),0,VLOOKUP(A75,'Données projet'!$A$61:$I$81,3,0))</f>
        <v>6</v>
      </c>
      <c r="AQ75" s="16">
        <f>IF(ISNA(VLOOKUP(A75,'Données projet'!$A$61:$I$81,4,0)),0,VLOOKUP(A75,'Données projet'!$A$61:$I$81,4,0))</f>
        <v>87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91.036856009570386</v>
      </c>
      <c r="T76" s="62">
        <f t="shared" si="88"/>
        <v>443.00653800162456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42.156384143931071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42.156384143931071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17.166666666666668</v>
      </c>
      <c r="AI76" s="14">
        <f>IF('Données projet'!$A$62&gt;35,AI75+AH76-AQ75,IF(A76&lt;'Données projet'!$A$62,$AF$205^A76,IF(A76='Données projet'!$A$62,'Données projet'!$B$62,AI75+AH76-AQ75)))</f>
        <v>453.1666666666664</v>
      </c>
      <c r="AJ76" s="14">
        <f>AI76*VLOOKUP('Données projet'!$B$10,Paramètres!$A$1:$I$89,3,0)*VLOOKUP('Données projet'!$B$10,Paramètres!$A$1:$I$89,5,0)</f>
        <v>212.08199999999988</v>
      </c>
      <c r="AK76" s="14">
        <f t="shared" si="89"/>
        <v>52.390293521635037</v>
      </c>
      <c r="AL76" s="22">
        <f t="shared" si="58"/>
        <v>460.62257788351417</v>
      </c>
      <c r="AM76" s="62">
        <f t="shared" si="59"/>
        <v>715.11907653102185</v>
      </c>
      <c r="AN76" s="62">
        <f ca="1">AVERAGE(OFFSET($AM$3,0,0,'Données projet'!$E$10+1,1))-AVERAGE(OFFSET($H$3,0,0,'Données projet'!$E$10+1,1))</f>
        <v>398.15858227099039</v>
      </c>
      <c r="AO76" s="62">
        <f t="shared" si="90"/>
        <v>353.78046004921737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91.036856009570386</v>
      </c>
      <c r="T77" s="62">
        <f t="shared" si="88"/>
        <v>443.00653800162456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41.329723163723976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41.329723163723976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17.166666666666668</v>
      </c>
      <c r="AI77" s="14">
        <f>IF('Données projet'!$A$62&gt;35,AI76+AH77-AQ76,IF(A77&lt;'Données projet'!$A$62,$AF$205^A77,IF(A77='Données projet'!$A$62,'Données projet'!$B$62,AI76+AH77-AQ76)))</f>
        <v>470.33333333333309</v>
      </c>
      <c r="AJ77" s="14">
        <f>AI77*VLOOKUP('Données projet'!$B$10,Paramètres!$A$1:$I$89,3,0)*VLOOKUP('Données projet'!$B$10,Paramètres!$A$1:$I$89,5,0)</f>
        <v>220.1159999999999</v>
      </c>
      <c r="AK77" s="14">
        <f t="shared" si="89"/>
        <v>54.140096973925921</v>
      </c>
      <c r="AL77" s="22">
        <f t="shared" si="58"/>
        <v>477.66270222958747</v>
      </c>
      <c r="AM77" s="62">
        <f t="shared" si="59"/>
        <v>732.83293313273941</v>
      </c>
      <c r="AN77" s="62">
        <f ca="1">AVERAGE(OFFSET($AM$3,0,0,'Données projet'!$E$10+1,1))-AVERAGE(OFFSET($H$3,0,0,'Données projet'!$E$10+1,1))</f>
        <v>398.15858227099039</v>
      </c>
      <c r="AO77" s="62">
        <f t="shared" si="90"/>
        <v>353.78046004921737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91.036856009570386</v>
      </c>
      <c r="T78" s="62">
        <f t="shared" si="88"/>
        <v>443.00653800162456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40.519272501125329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40.519272501125329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17.166666666666668</v>
      </c>
      <c r="AI78" s="14">
        <f>IF('Données projet'!$A$62&gt;35,AI77+AH78-AQ77,IF(A78&lt;'Données projet'!$A$62,$AF$205^A78,IF(A78='Données projet'!$A$62,'Données projet'!$B$62,AI77+AH78-AQ77)))</f>
        <v>487.49999999999977</v>
      </c>
      <c r="AJ78" s="14">
        <f>AI78*VLOOKUP('Données projet'!$B$10,Paramètres!$A$1:$I$89,3,0)*VLOOKUP('Données projet'!$B$10,Paramètres!$A$1:$I$89,5,0)</f>
        <v>228.14999999999989</v>
      </c>
      <c r="AK78" s="14">
        <f t="shared" si="89"/>
        <v>55.882480456847652</v>
      </c>
      <c r="AL78" s="22">
        <f t="shared" si="58"/>
        <v>494.68990346234278</v>
      </c>
      <c r="AM78" s="62">
        <f t="shared" si="59"/>
        <v>750.5221788727431</v>
      </c>
      <c r="AN78" s="62">
        <f ca="1">AVERAGE(OFFSET($AM$3,0,0,'Données projet'!$E$10+1,1))-AVERAGE(OFFSET($H$3,0,0,'Données projet'!$E$10+1,1))</f>
        <v>398.15858227099039</v>
      </c>
      <c r="AO78" s="62">
        <f t="shared" si="90"/>
        <v>353.78046004921737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91.036856009570386</v>
      </c>
      <c r="T79" s="62">
        <f t="shared" si="88"/>
        <v>443.00653800162456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39.724714281694148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39.724714281694148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17.166666666666668</v>
      </c>
      <c r="AI79" s="14">
        <f>IF('Données projet'!$A$62&gt;35,AI78+AH79-AQ78,IF(A79&lt;'Données projet'!$A$62,$AF$205^A79,IF(A79='Données projet'!$A$62,'Données projet'!$B$62,AI78+AH79-AQ78)))</f>
        <v>504.66666666666646</v>
      </c>
      <c r="AJ79" s="14">
        <f>AI79*VLOOKUP('Données projet'!$B$10,Paramètres!$A$1:$I$89,3,0)*VLOOKUP('Données projet'!$B$10,Paramètres!$A$1:$I$89,5,0)</f>
        <v>236.18399999999991</v>
      </c>
      <c r="AK79" s="14">
        <f t="shared" si="89"/>
        <v>57.617735193655143</v>
      </c>
      <c r="AL79" s="22">
        <f t="shared" si="58"/>
        <v>511.70468879561594</v>
      </c>
      <c r="AM79" s="62">
        <f t="shared" si="59"/>
        <v>768.18752372117387</v>
      </c>
      <c r="AN79" s="62">
        <f ca="1">AVERAGE(OFFSET($AM$3,0,0,'Données projet'!$E$10+1,1))-AVERAGE(OFFSET($H$3,0,0,'Données projet'!$E$10+1,1))</f>
        <v>398.15858227099039</v>
      </c>
      <c r="AO79" s="62">
        <f t="shared" si="90"/>
        <v>353.78046004921737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91.036856009570386</v>
      </c>
      <c r="T80" s="62">
        <f t="shared" si="88"/>
        <v>443.00653800162456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38.945736864313353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38.945736864313353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17.166666666666668</v>
      </c>
      <c r="AI80" s="14">
        <f>IF('Données projet'!$A$62&gt;35,AI79+AH80-AQ79,IF(A80&lt;'Données projet'!$A$62,$AF$205^A80,IF(A80='Données projet'!$A$62,'Données projet'!$B$62,AI79+AH80-AQ79)))</f>
        <v>521.83333333333314</v>
      </c>
      <c r="AJ80" s="14">
        <f>AI80*VLOOKUP('Données projet'!$B$10,Paramètres!$A$1:$I$89,3,0)*VLOOKUP('Données projet'!$B$10,Paramètres!$A$1:$I$89,5,0)</f>
        <v>244.2179999999999</v>
      </c>
      <c r="AK80" s="14">
        <f t="shared" si="89"/>
        <v>59.346131471271747</v>
      </c>
      <c r="AL80" s="22">
        <f t="shared" si="58"/>
        <v>528.70752897913144</v>
      </c>
      <c r="AM80" s="62">
        <f t="shared" si="59"/>
        <v>785.82963766669195</v>
      </c>
      <c r="AN80" s="62">
        <f ca="1">AVERAGE(OFFSET($AM$3,0,0,'Données projet'!$E$10+1,1))-AVERAGE(OFFSET($H$3,0,0,'Données projet'!$E$10+1,1))</f>
        <v>398.15858227099039</v>
      </c>
      <c r="AO80" s="62">
        <f t="shared" si="90"/>
        <v>353.78046004921737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91.036856009570386</v>
      </c>
      <c r="T81" s="62">
        <f t="shared" si="88"/>
        <v>443.00653800162456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38.182034718958086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38.182034718958086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539</v>
      </c>
      <c r="AG81" s="13">
        <f>VLOOKUP(A81,'Données projet'!$A$61:$I$81,9,0)</f>
        <v>17.166666666666668</v>
      </c>
      <c r="AH81" s="13">
        <f t="array" ref="AH81">INDEX(AG:AG,MIN(IF(ISNUMBER(AG81:AG277),ROW(AG81:AG277),"")))</f>
        <v>17.166666666666668</v>
      </c>
      <c r="AI81" s="14">
        <f>IF('Données projet'!$A$62&gt;35,AI80+AH81-AQ80,IF(A81&lt;'Données projet'!$A$62,$AF$205^A81,IF(A81='Données projet'!$A$62,'Données projet'!$B$62,AI80+AH81-AQ80)))</f>
        <v>538.99999999999977</v>
      </c>
      <c r="AJ81" s="14">
        <f>AI81*VLOOKUP('Données projet'!$B$10,Paramètres!$A$1:$I$89,3,0)*VLOOKUP('Données projet'!$B$10,Paramètres!$A$1:$I$89,5,0)</f>
        <v>252.2519999999999</v>
      </c>
      <c r="AK81" s="14">
        <f t="shared" si="89"/>
        <v>61.067920784150772</v>
      </c>
      <c r="AL81" s="22">
        <f t="shared" si="58"/>
        <v>545.69886203239582</v>
      </c>
      <c r="AM81" s="62">
        <f t="shared" si="59"/>
        <v>803.44915451139036</v>
      </c>
      <c r="AN81" s="62">
        <f ca="1">AVERAGE(OFFSET($AM$3,0,0,'Données projet'!$E$10+1,1))-AVERAGE(OFFSET($H$3,0,0,'Données projet'!$E$10+1,1))</f>
        <v>398.15858227099039</v>
      </c>
      <c r="AO81" s="62">
        <f t="shared" si="90"/>
        <v>353.78046004921737</v>
      </c>
      <c r="AP81" s="16">
        <f>IF(ISNA(VLOOKUP(A81,'Données projet'!$A$61:$I$81,3,0)),0,VLOOKUP(A81,'Données projet'!$A$61:$I$81,3,0))</f>
        <v>7</v>
      </c>
      <c r="AQ81" s="16">
        <f>IF(ISNA(VLOOKUP(A81,'Données projet'!$A$61:$I$81,4,0)),0,VLOOKUP(A81,'Données projet'!$A$61:$I$81,4,0))</f>
        <v>82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91.036856009570386</v>
      </c>
      <c r="T82" s="62">
        <f t="shared" si="88"/>
        <v>443.00653800162456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37.433308306860923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37.433308306860923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16.166666666666668</v>
      </c>
      <c r="AI82" s="14">
        <f>IF('Données projet'!$A$62&gt;35,AI81+AH82-AQ81,IF(A82&lt;'Données projet'!$A$62,$AF$205^A82,IF(A82='Données projet'!$A$62,'Données projet'!$B$62,AI81+AH82-AQ81)))</f>
        <v>473.1666666666664</v>
      </c>
      <c r="AJ82" s="14">
        <f>AI82*VLOOKUP('Données projet'!$B$10,Paramètres!$A$1:$I$89,3,0)*VLOOKUP('Données projet'!$B$10,Paramètres!$A$1:$I$89,5,0)</f>
        <v>221.44199999999987</v>
      </c>
      <c r="AK82" s="14">
        <f t="shared" si="89"/>
        <v>54.428178028031503</v>
      </c>
      <c r="AL82" s="22">
        <f t="shared" si="58"/>
        <v>480.47389339882125</v>
      </c>
      <c r="AM82" s="62">
        <f t="shared" si="59"/>
        <v>738.84147208487684</v>
      </c>
      <c r="AN82" s="62">
        <f ca="1">AVERAGE(OFFSET($AM$3,0,0,'Données projet'!$E$10+1,1))-AVERAGE(OFFSET($H$3,0,0,'Données projet'!$E$10+1,1))</f>
        <v>398.15858227099039</v>
      </c>
      <c r="AO82" s="62">
        <f t="shared" si="90"/>
        <v>353.78046004921737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91.036856009570386</v>
      </c>
      <c r="T83" s="62">
        <f t="shared" si="88"/>
        <v>443.00653800162456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36.699263963026965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36.699263963026965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16.166666666666668</v>
      </c>
      <c r="AI83" s="14">
        <f>IF('Données projet'!$A$62&gt;35,AI82+AH83-AQ82,IF(A83&lt;'Données projet'!$A$62,$AF$205^A83,IF(A83='Données projet'!$A$62,'Données projet'!$B$62,AI82+AH83-AQ82)))</f>
        <v>489.33333333333309</v>
      </c>
      <c r="AJ83" s="14">
        <f>AI83*VLOOKUP('Données projet'!$B$10,Paramètres!$A$1:$I$89,3,0)*VLOOKUP('Données projet'!$B$10,Paramètres!$A$1:$I$89,5,0)</f>
        <v>229.0079999999999</v>
      </c>
      <c r="AK83" s="14">
        <f t="shared" si="89"/>
        <v>56.068134009566236</v>
      </c>
      <c r="AL83" s="22">
        <f t="shared" si="58"/>
        <v>496.50760006666104</v>
      </c>
      <c r="AM83" s="62">
        <f t="shared" si="59"/>
        <v>755.48175642413059</v>
      </c>
      <c r="AN83" s="62">
        <f ca="1">AVERAGE(OFFSET($AM$3,0,0,'Données projet'!$E$10+1,1))-AVERAGE(OFFSET($H$3,0,0,'Données projet'!$E$10+1,1))</f>
        <v>398.15858227099039</v>
      </c>
      <c r="AO83" s="62">
        <f t="shared" si="90"/>
        <v>353.78046004921737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91.036856009570386</v>
      </c>
      <c r="T84" s="62">
        <f t="shared" si="88"/>
        <v>443.00653800162456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35.979613781052755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35.979613781052755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16.166666666666668</v>
      </c>
      <c r="AI84" s="14">
        <f>IF('Données projet'!$A$62&gt;35,AI83+AH84-AQ83,IF(A84&lt;'Données projet'!$A$62,$AF$205^A84,IF(A84='Données projet'!$A$62,'Données projet'!$B$62,AI83+AH84-AQ83)))</f>
        <v>505.49999999999977</v>
      </c>
      <c r="AJ84" s="14">
        <f>AI84*VLOOKUP('Données projet'!$B$10,Paramètres!$A$1:$I$89,3,0)*VLOOKUP('Données projet'!$B$10,Paramètres!$A$1:$I$89,5,0)</f>
        <v>236.57399999999987</v>
      </c>
      <c r="AK84" s="14">
        <f t="shared" si="89"/>
        <v>57.701794211350432</v>
      </c>
      <c r="AL84" s="22">
        <f t="shared" si="58"/>
        <v>512.53034158476851</v>
      </c>
      <c r="AM84" s="62">
        <f t="shared" si="59"/>
        <v>772.10055284715736</v>
      </c>
      <c r="AN84" s="62">
        <f ca="1">AVERAGE(OFFSET($AM$3,0,0,'Données projet'!$E$10+1,1))-AVERAGE(OFFSET($H$3,0,0,'Données projet'!$E$10+1,1))</f>
        <v>398.15858227099039</v>
      </c>
      <c r="AO84" s="62">
        <f t="shared" si="90"/>
        <v>353.78046004921737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91.036856009570386</v>
      </c>
      <c r="T85" s="62">
        <f t="shared" si="88"/>
        <v>443.00653800162456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35.274075500203786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35.274075500203786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16.166666666666668</v>
      </c>
      <c r="AI85" s="14">
        <f>IF('Données projet'!$A$62&gt;35,AI84+AH85-AQ84,IF(A85&lt;'Données projet'!$A$62,$AF$205^A85,IF(A85='Données projet'!$A$62,'Données projet'!$B$62,AI84+AH85-AQ84)))</f>
        <v>521.6666666666664</v>
      </c>
      <c r="AJ85" s="14">
        <f>AI85*VLOOKUP('Données projet'!$B$10,Paramètres!$A$1:$I$89,3,0)*VLOOKUP('Données projet'!$B$10,Paramètres!$A$1:$I$89,5,0)</f>
        <v>244.13999999999987</v>
      </c>
      <c r="AK85" s="14">
        <f t="shared" si="89"/>
        <v>59.329383078866051</v>
      </c>
      <c r="AL85" s="22">
        <f t="shared" si="58"/>
        <v>528.5425088623582</v>
      </c>
      <c r="AM85" s="62">
        <f t="shared" si="59"/>
        <v>788.69843480964516</v>
      </c>
      <c r="AN85" s="62">
        <f ca="1">AVERAGE(OFFSET($AM$3,0,0,'Données projet'!$E$10+1,1))-AVERAGE(OFFSET($H$3,0,0,'Données projet'!$E$10+1,1))</f>
        <v>398.15858227099039</v>
      </c>
      <c r="AO85" s="62">
        <f t="shared" si="90"/>
        <v>353.78046004921737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91.036856009570386</v>
      </c>
      <c r="T86" s="62">
        <f t="shared" si="88"/>
        <v>443.00653800162456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34.582372394706411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34.582372394706411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16.166666666666668</v>
      </c>
      <c r="AI86" s="14">
        <f>IF('Données projet'!$A$62&gt;35,AI85+AH86-AQ85,IF(A86&lt;'Données projet'!$A$62,$AF$205^A86,IF(A86='Données projet'!$A$62,'Données projet'!$B$62,AI85+AH86-AQ85)))</f>
        <v>537.83333333333303</v>
      </c>
      <c r="AJ86" s="14">
        <f>AI86*VLOOKUP('Données projet'!$B$10,Paramètres!$A$1:$I$89,3,0)*VLOOKUP('Données projet'!$B$10,Paramètres!$A$1:$I$89,5,0)</f>
        <v>251.70599999999988</v>
      </c>
      <c r="AK86" s="14">
        <f t="shared" si="89"/>
        <v>60.951110356020116</v>
      </c>
      <c r="AL86" s="22">
        <f t="shared" si="58"/>
        <v>544.54446720340138</v>
      </c>
      <c r="AM86" s="62">
        <f t="shared" si="59"/>
        <v>805.27594699526526</v>
      </c>
      <c r="AN86" s="62">
        <f ca="1">AVERAGE(OFFSET($AM$3,0,0,'Données projet'!$E$10+1,1))-AVERAGE(OFFSET($H$3,0,0,'Données projet'!$E$10+1,1))</f>
        <v>398.15858227099039</v>
      </c>
      <c r="AO86" s="62">
        <f t="shared" si="90"/>
        <v>353.78046004921737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91.036856009570386</v>
      </c>
      <c r="T87" s="62">
        <f t="shared" si="88"/>
        <v>443.00653800162456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33.904233165210599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33.904233165210599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554</v>
      </c>
      <c r="AG87" s="13">
        <f>VLOOKUP(A87,'Données projet'!$A$61:$I$81,9,0)</f>
        <v>16.166666666666668</v>
      </c>
      <c r="AH87" s="13">
        <f t="array" ref="AH87">INDEX(AG:AG,MIN(IF(ISNUMBER(AG87:AG283),ROW(AG87:AG283),"")))</f>
        <v>16.166666666666668</v>
      </c>
      <c r="AI87" s="14">
        <f>IF('Données projet'!$A$62&gt;35,AI86+AH87-AQ86,IF(A87&lt;'Données projet'!$A$62,$AF$205^A87,IF(A87='Données projet'!$A$62,'Données projet'!$B$62,AI86+AH87-AQ86)))</f>
        <v>553.99999999999966</v>
      </c>
      <c r="AJ87" s="14">
        <f>AI87*VLOOKUP('Données projet'!$B$10,Paramètres!$A$1:$I$89,3,0)*VLOOKUP('Données projet'!$B$10,Paramètres!$A$1:$I$89,5,0)</f>
        <v>259.27199999999988</v>
      </c>
      <c r="AK87" s="14">
        <f t="shared" si="89"/>
        <v>62.567172460757938</v>
      </c>
      <c r="AL87" s="22">
        <f t="shared" si="58"/>
        <v>560.53655870248656</v>
      </c>
      <c r="AM87" s="62">
        <f t="shared" si="59"/>
        <v>821.83360776646964</v>
      </c>
      <c r="AN87" s="62">
        <f ca="1">AVERAGE(OFFSET($AM$3,0,0,'Données projet'!$E$10+1,1))-AVERAGE(OFFSET($H$3,0,0,'Données projet'!$E$10+1,1))</f>
        <v>398.15858227099039</v>
      </c>
      <c r="AO87" s="62">
        <f t="shared" si="90"/>
        <v>353.78046004921737</v>
      </c>
      <c r="AP87" s="16">
        <f>IF(ISNA(VLOOKUP(A87,'Données projet'!$A$61:$I$81,3,0)),0,VLOOKUP(A87,'Données projet'!$A$61:$I$81,3,0))</f>
        <v>8</v>
      </c>
      <c r="AQ87" s="16">
        <f>IF(ISNA(VLOOKUP(A87,'Données projet'!$A$61:$I$81,4,0)),0,VLOOKUP(A87,'Données projet'!$A$61:$I$81,4,0))</f>
        <v>554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91.036856009570386</v>
      </c>
      <c r="T88" s="62">
        <f t="shared" si="88"/>
        <v>443.00653800162456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33.239391832381116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33.239391832381116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-1.5961632016114892E-13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398.15858227099039</v>
      </c>
      <c r="AO88" s="62">
        <f t="shared" si="90"/>
        <v>353.78046004921737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91.036856009570386</v>
      </c>
      <c r="T89" s="62">
        <f t="shared" si="88"/>
        <v>443.00653800162456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32.58758763257525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32.58758763257525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-1.5961632016114892E-13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398.15858227099039</v>
      </c>
      <c r="AO89" s="62">
        <f t="shared" si="90"/>
        <v>353.78046004921737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91.036856009570386</v>
      </c>
      <c r="T90" s="62">
        <f t="shared" si="88"/>
        <v>443.00653800162456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31.948564915566266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31.948564915566266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-1.5961632016114892E-13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398.15858227099039</v>
      </c>
      <c r="AO90" s="62">
        <f t="shared" si="90"/>
        <v>353.78046004921737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91.036856009570386</v>
      </c>
      <c r="T91" s="62">
        <f t="shared" si="88"/>
        <v>443.00653800162456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31.322073044272457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31.322073044272457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-1.5961632016114892E-13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398.15858227099039</v>
      </c>
      <c r="AO91" s="62">
        <f t="shared" si="90"/>
        <v>353.78046004921737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91.036856009570386</v>
      </c>
      <c r="T92" s="62">
        <f t="shared" si="88"/>
        <v>443.00653800162456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30.707866296452412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30.707866296452412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-1.5961632016114892E-13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398.15858227099039</v>
      </c>
      <c r="AO92" s="62">
        <f t="shared" si="90"/>
        <v>353.78046004921737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91.036856009570386</v>
      </c>
      <c r="T93" s="62">
        <f t="shared" si="88"/>
        <v>443.00653800162456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30.105703768327992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30.105703768327992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-1.5961632016114892E-13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398.15858227099039</v>
      </c>
      <c r="AO93" s="62">
        <f t="shared" si="90"/>
        <v>353.78046004921737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91.036856009570386</v>
      </c>
      <c r="T94" s="62">
        <f t="shared" si="88"/>
        <v>443.00653800162456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29.515349280097215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29.515349280097215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-1.5961632016114892E-13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398.15858227099039</v>
      </c>
      <c r="AO94" s="62">
        <f t="shared" si="90"/>
        <v>353.78046004921737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91.036856009570386</v>
      </c>
      <c r="T95" s="62">
        <f t="shared" si="88"/>
        <v>443.00653800162456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28.936571283299962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28.936571283299962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-1.5961632016114892E-13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398.15858227099039</v>
      </c>
      <c r="AO95" s="62">
        <f t="shared" si="90"/>
        <v>353.78046004921737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91.036856009570386</v>
      </c>
      <c r="T96" s="62">
        <f t="shared" si="88"/>
        <v>443.00653800162456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28.369142770000181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28.369142770000181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-1.5961632016114892E-13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398.15858227099039</v>
      </c>
      <c r="AO96" s="62">
        <f t="shared" si="90"/>
        <v>353.78046004921737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91.036856009570386</v>
      </c>
      <c r="T97" s="62">
        <f t="shared" si="88"/>
        <v>443.00653800162456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27.81284118374899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27.81284118374899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-1.5961632016114892E-13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398.15858227099039</v>
      </c>
      <c r="AO97" s="62">
        <f t="shared" si="90"/>
        <v>353.78046004921737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91.036856009570386</v>
      </c>
      <c r="T98" s="62">
        <f t="shared" si="88"/>
        <v>443.00653800162456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27.267448332293721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27.267448332293721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-1.5961632016114892E-13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398.15858227099039</v>
      </c>
      <c r="AO98" s="62">
        <f t="shared" si="90"/>
        <v>353.78046004921737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91.036856009570386</v>
      </c>
      <c r="T99" s="62">
        <f t="shared" si="88"/>
        <v>443.00653800162456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26.732750301998699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26.732750301998699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-1.5961632016114892E-13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398.15858227099039</v>
      </c>
      <c r="AO99" s="62">
        <f t="shared" si="90"/>
        <v>353.78046004921737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91.036856009570386</v>
      </c>
      <c r="T100" s="62">
        <f t="shared" si="88"/>
        <v>443.00653800162456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26.208537373944168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26.208537373944168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-1.5961632016114892E-13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398.15858227099039</v>
      </c>
      <c r="AO100" s="62">
        <f t="shared" si="90"/>
        <v>353.78046004921737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91.036856009570386</v>
      </c>
      <c r="T101" s="62">
        <f t="shared" si="88"/>
        <v>443.00653800162456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25.694603941670472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25.694603941670472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-1.5961632016114892E-13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398.15858227099039</v>
      </c>
      <c r="AO101" s="62">
        <f t="shared" si="90"/>
        <v>353.78046004921737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91.036856009570386</v>
      </c>
      <c r="T102" s="62">
        <f t="shared" si="88"/>
        <v>443.00653800162456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25.190748430535223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25.190748430535223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-1.5961632016114892E-13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398.15858227099039</v>
      </c>
      <c r="AO102" s="62">
        <f t="shared" si="90"/>
        <v>353.78046004921737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91.036856009570386</v>
      </c>
      <c r="T103" s="62">
        <f t="shared" si="88"/>
        <v>443.00653800162456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24.696773218651817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24.696773218651817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-1.5961632016114892E-13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398.15858227099039</v>
      </c>
      <c r="AO103" s="62">
        <f t="shared" si="90"/>
        <v>353.78046004921737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91.036856009570386</v>
      </c>
      <c r="T104" s="62">
        <f t="shared" si="88"/>
        <v>443.00653800162456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24.212484559378318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24.212484559378318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-1.5961632016114892E-13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398.15858227099039</v>
      </c>
      <c r="AO104" s="62">
        <f t="shared" si="90"/>
        <v>353.78046004921737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91.036856009570386</v>
      </c>
      <c r="T105" s="62">
        <f t="shared" si="88"/>
        <v>443.00653800162456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23.737692505326255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23.737692505326255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-1.5961632016114892E-13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398.15858227099039</v>
      </c>
      <c r="AO105" s="62">
        <f t="shared" si="90"/>
        <v>353.78046004921737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91.036856009570386</v>
      </c>
      <c r="T106" s="62">
        <f t="shared" si="88"/>
        <v>443.00653800162456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23.272210833859596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23.272210833859596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-1.5961632016114892E-13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398.15858227099039</v>
      </c>
      <c r="AO106" s="62">
        <f t="shared" si="90"/>
        <v>353.78046004921737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91.036856009570386</v>
      </c>
      <c r="T107" s="62">
        <f t="shared" si="88"/>
        <v>443.00653800162456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22.815856974054611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22.815856974054611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-1.5961632016114892E-13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398.15858227099039</v>
      </c>
      <c r="AO107" s="62">
        <f t="shared" si="90"/>
        <v>353.78046004921737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91.036856009570386</v>
      </c>
      <c r="T108" s="62">
        <f t="shared" si="88"/>
        <v>443.00653800162456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22.368451935092033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22.368451935092033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-1.5961632016114892E-13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398.15858227099039</v>
      </c>
      <c r="AO108" s="62">
        <f t="shared" si="90"/>
        <v>353.78046004921737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91.036856009570386</v>
      </c>
      <c r="T109" s="62">
        <f t="shared" si="88"/>
        <v>443.00653800162456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21.929820236053384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21.929820236053384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-1.5961632016114892E-13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398.15858227099039</v>
      </c>
      <c r="AO109" s="62">
        <f t="shared" si="90"/>
        <v>353.78046004921737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91.036856009570386</v>
      </c>
      <c r="T110" s="62">
        <f t="shared" si="88"/>
        <v>443.00653800162456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21.499789837093964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21.499789837093964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-1.5961632016114892E-13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398.15858227099039</v>
      </c>
      <c r="AO110" s="62">
        <f t="shared" si="90"/>
        <v>353.78046004921737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91.036856009570386</v>
      </c>
      <c r="T111" s="62">
        <f t="shared" si="88"/>
        <v>443.00653800162456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21.078192071965493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21.078192071965493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-1.5961632016114892E-13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398.15858227099039</v>
      </c>
      <c r="AO111" s="62">
        <f t="shared" si="90"/>
        <v>353.78046004921737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91.036856009570386</v>
      </c>
      <c r="T112" s="62">
        <f t="shared" si="88"/>
        <v>443.00653800162456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20.664861581861945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20.664861581861945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-1.5961632016114892E-13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398.15858227099039</v>
      </c>
      <c r="AO112" s="62">
        <f t="shared" si="90"/>
        <v>353.78046004921737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91.036856009570386</v>
      </c>
      <c r="T113" s="62">
        <f t="shared" si="88"/>
        <v>443.00653800162456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20.259636250562625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20.259636250562625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-1.5961632016114892E-13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398.15858227099039</v>
      </c>
      <c r="AO113" s="62">
        <f t="shared" si="90"/>
        <v>353.78046004921737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91.036856009570386</v>
      </c>
      <c r="T114" s="62">
        <f t="shared" si="88"/>
        <v>443.00653800162456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19.862357140847038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19.862357140847038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-1.5961632016114892E-13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398.15858227099039</v>
      </c>
      <c r="AO114" s="62">
        <f t="shared" si="90"/>
        <v>353.78046004921737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91.036856009570386</v>
      </c>
      <c r="T115" s="62">
        <f t="shared" si="88"/>
        <v>443.00653800162456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19.472868432156641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19.472868432156641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-1.5961632016114892E-13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398.15858227099039</v>
      </c>
      <c r="AO115" s="62">
        <f t="shared" si="90"/>
        <v>353.78046004921737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91.036856009570386</v>
      </c>
      <c r="T116" s="62">
        <f t="shared" si="88"/>
        <v>443.00653800162456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19.091017359479011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19.091017359479011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-1.5961632016114892E-13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398.15858227099039</v>
      </c>
      <c r="AO116" s="62">
        <f t="shared" si="90"/>
        <v>353.78046004921737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91.036856009570386</v>
      </c>
      <c r="T117" s="62">
        <f t="shared" si="88"/>
        <v>443.00653800162456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18.716654153430429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18.716654153430429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-1.5961632016114892E-13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398.15858227099039</v>
      </c>
      <c r="AO117" s="62">
        <f t="shared" si="90"/>
        <v>353.78046004921737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91.036856009570386</v>
      </c>
      <c r="T118" s="62">
        <f t="shared" si="88"/>
        <v>443.00653800162456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18.349631981513454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18.349631981513454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-1.5961632016114892E-13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398.15858227099039</v>
      </c>
      <c r="AO118" s="62">
        <f t="shared" si="90"/>
        <v>353.78046004921737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91.036856009570386</v>
      </c>
      <c r="T119" s="62">
        <f t="shared" si="88"/>
        <v>443.00653800162456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17.989806890526349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17.989806890526349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-1.5961632016114892E-13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398.15858227099039</v>
      </c>
      <c r="AO119" s="62">
        <f t="shared" si="90"/>
        <v>353.78046004921737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91.036856009570386</v>
      </c>
      <c r="T120" s="62">
        <f t="shared" si="88"/>
        <v>443.00653800162456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17.637037750101868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17.637037750101868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-1.5961632016114892E-13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398.15858227099039</v>
      </c>
      <c r="AO120" s="62">
        <f t="shared" si="90"/>
        <v>353.78046004921737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91.036856009570386</v>
      </c>
      <c r="T121" s="62">
        <f t="shared" si="88"/>
        <v>443.00653800162456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17.291186197353181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17.291186197353181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-1.5961632016114892E-13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398.15858227099039</v>
      </c>
      <c r="AO121" s="62">
        <f t="shared" si="90"/>
        <v>353.78046004921737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91.036856009570386</v>
      </c>
      <c r="T122" s="62">
        <f t="shared" si="88"/>
        <v>443.00653800162456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16.952116582605278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16.952116582605278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-1.5961632016114892E-13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398.15858227099039</v>
      </c>
      <c r="AO122" s="62">
        <f t="shared" si="90"/>
        <v>353.78046004921737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91.036856009570386</v>
      </c>
      <c r="T123" s="62">
        <f t="shared" si="88"/>
        <v>443.00653800162456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16.619695916190537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16.619695916190537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-1.5961632016114892E-13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398.15858227099039</v>
      </c>
      <c r="AO123" s="62">
        <f t="shared" si="90"/>
        <v>353.78046004921737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91.036856009570386</v>
      </c>
      <c r="T124" s="62">
        <f t="shared" si="88"/>
        <v>443.00653800162456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16.293793816287604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16.293793816287604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-1.5961632016114892E-13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398.15858227099039</v>
      </c>
      <c r="AO124" s="62">
        <f t="shared" si="90"/>
        <v>353.78046004921737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91.036856009570386</v>
      </c>
      <c r="T125" s="62">
        <f t="shared" si="88"/>
        <v>443.00653800162456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15.974282457783113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15.974282457783113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-1.5961632016114892E-13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398.15858227099039</v>
      </c>
      <c r="AO125" s="62">
        <f t="shared" si="90"/>
        <v>353.78046004921737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91.036856009570386</v>
      </c>
      <c r="T126" s="62">
        <f t="shared" si="88"/>
        <v>443.00653800162456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15.661036522136209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15.661036522136209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-1.5961632016114892E-13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398.15858227099039</v>
      </c>
      <c r="AO126" s="62">
        <f t="shared" si="90"/>
        <v>353.78046004921737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91.036856009570386</v>
      </c>
      <c r="T127" s="62">
        <f t="shared" si="88"/>
        <v>443.00653800162456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15.353933148226186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15.353933148226186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-1.5961632016114892E-13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398.15858227099039</v>
      </c>
      <c r="AO127" s="62">
        <f t="shared" si="90"/>
        <v>353.78046004921737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91.036856009570386</v>
      </c>
      <c r="T128" s="62">
        <f t="shared" si="88"/>
        <v>443.00653800162456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15.052851884163976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15.052851884163976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-1.5961632016114892E-13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398.15858227099039</v>
      </c>
      <c r="AO128" s="62">
        <f t="shared" si="90"/>
        <v>353.78046004921737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91.036856009570386</v>
      </c>
      <c r="T129" s="62">
        <f t="shared" si="88"/>
        <v>443.00653800162456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14.757674640048588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14.757674640048588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-1.5961632016114892E-13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398.15858227099039</v>
      </c>
      <c r="AO129" s="62">
        <f t="shared" si="90"/>
        <v>353.78046004921737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91.036856009570386</v>
      </c>
      <c r="T130" s="62">
        <f t="shared" si="88"/>
        <v>443.00653800162456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14.468285641649961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14.468285641649961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-1.5961632016114892E-13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398.15858227099039</v>
      </c>
      <c r="AO130" s="62">
        <f t="shared" si="90"/>
        <v>353.78046004921737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91.036856009570386</v>
      </c>
      <c r="T131" s="62">
        <f t="shared" si="88"/>
        <v>443.00653800162456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14.184571385000073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14.184571385000073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-1.5961632016114892E-13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398.15858227099039</v>
      </c>
      <c r="AO131" s="62">
        <f t="shared" si="90"/>
        <v>353.78046004921737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91.036856009570386</v>
      </c>
      <c r="T132" s="62">
        <f t="shared" si="88"/>
        <v>443.00653800162456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13.906420591874479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13.906420591874479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-1.5961632016114892E-13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398.15858227099039</v>
      </c>
      <c r="AO132" s="62">
        <f t="shared" si="90"/>
        <v>353.78046004921737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91.036856009570386</v>
      </c>
      <c r="T133" s="62">
        <f t="shared" ref="T133:T196" si="142">$T$3</f>
        <v>443.00653800162456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13.633724166146846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13.633724166146846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-1.5961632016114892E-13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398.15858227099039</v>
      </c>
      <c r="AO133" s="62">
        <f t="shared" ref="AO133:AO196" si="144">$AO$3</f>
        <v>353.78046004921737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91.036856009570386</v>
      </c>
      <c r="T134" s="62">
        <f t="shared" si="142"/>
        <v>443.00653800162456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13.366375150999335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13.366375150999335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-1.5961632016114892E-13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398.15858227099039</v>
      </c>
      <c r="AO134" s="62">
        <f t="shared" si="144"/>
        <v>353.78046004921737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91.036856009570386</v>
      </c>
      <c r="T135" s="62">
        <f t="shared" si="142"/>
        <v>443.00653800162456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13.10426868697207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13.10426868697207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-1.5961632016114892E-13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398.15858227099039</v>
      </c>
      <c r="AO135" s="62">
        <f t="shared" si="144"/>
        <v>353.78046004921737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91.036856009570386</v>
      </c>
      <c r="T136" s="62">
        <f t="shared" si="142"/>
        <v>443.00653800162456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12.847301970835222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12.847301970835222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-1.5961632016114892E-13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398.15858227099039</v>
      </c>
      <c r="AO136" s="62">
        <f t="shared" si="144"/>
        <v>353.78046004921737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91.036856009570386</v>
      </c>
      <c r="T137" s="62">
        <f t="shared" si="142"/>
        <v>443.00653800162456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12.595374215267597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12.595374215267597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-1.5961632016114892E-13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398.15858227099039</v>
      </c>
      <c r="AO137" s="62">
        <f t="shared" si="144"/>
        <v>353.78046004921737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91.036856009570386</v>
      </c>
      <c r="T138" s="62">
        <f t="shared" si="142"/>
        <v>443.00653800162456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12.348386609325894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12.348386609325894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-1.5961632016114892E-13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398.15858227099039</v>
      </c>
      <c r="AO138" s="62">
        <f t="shared" si="144"/>
        <v>353.78046004921737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91.036856009570386</v>
      </c>
      <c r="T139" s="62">
        <f t="shared" si="142"/>
        <v>443.00653800162456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12.106242279689145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12.106242279689145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-1.5961632016114892E-13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398.15858227099039</v>
      </c>
      <c r="AO139" s="62">
        <f t="shared" si="144"/>
        <v>353.78046004921737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91.036856009570386</v>
      </c>
      <c r="T140" s="62">
        <f t="shared" si="142"/>
        <v>443.00653800162456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11.868846252663113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11.868846252663113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-1.5961632016114892E-13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398.15858227099039</v>
      </c>
      <c r="AO140" s="62">
        <f t="shared" si="144"/>
        <v>353.78046004921737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91.036856009570386</v>
      </c>
      <c r="T141" s="62">
        <f t="shared" si="142"/>
        <v>443.00653800162456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11.636105416929784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11.636105416929784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-1.5961632016114892E-13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398.15858227099039</v>
      </c>
      <c r="AO141" s="62">
        <f t="shared" si="144"/>
        <v>353.78046004921737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91.036856009570386</v>
      </c>
      <c r="T142" s="62">
        <f t="shared" si="142"/>
        <v>443.00653800162456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11.407928487027293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11.407928487027293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-1.5961632016114892E-13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398.15858227099039</v>
      </c>
      <c r="AO142" s="62">
        <f t="shared" si="144"/>
        <v>353.78046004921737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91.036856009570386</v>
      </c>
      <c r="T143" s="62">
        <f t="shared" si="142"/>
        <v>443.00653800162456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11.184225967546006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11.184225967546006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-1.5961632016114892E-13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398.15858227099039</v>
      </c>
      <c r="AO143" s="62">
        <f t="shared" si="144"/>
        <v>353.78046004921737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91.036856009570386</v>
      </c>
      <c r="T144" s="62">
        <f t="shared" si="142"/>
        <v>443.00653800162456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10.964910118026681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10.964910118026681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-1.5961632016114892E-13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398.15858227099039</v>
      </c>
      <c r="AO144" s="62">
        <f t="shared" si="144"/>
        <v>353.78046004921737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91.036856009570386</v>
      </c>
      <c r="T145" s="62">
        <f t="shared" si="142"/>
        <v>443.00653800162456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10.749894918546971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10.749894918546971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-1.5961632016114892E-13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398.15858227099039</v>
      </c>
      <c r="AO145" s="62">
        <f t="shared" si="144"/>
        <v>353.78046004921737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91.036856009570386</v>
      </c>
      <c r="T146" s="62">
        <f t="shared" si="142"/>
        <v>443.00653800162456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10.539096035982736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10.539096035982736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-1.5961632016114892E-13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398.15858227099039</v>
      </c>
      <c r="AO146" s="62">
        <f t="shared" si="144"/>
        <v>353.78046004921737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91.036856009570386</v>
      </c>
      <c r="T147" s="62">
        <f t="shared" si="142"/>
        <v>443.00653800162456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10.332430790930962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10.332430790930962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-1.5961632016114892E-13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398.15858227099039</v>
      </c>
      <c r="AO147" s="62">
        <f t="shared" si="144"/>
        <v>353.78046004921737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91.036856009570386</v>
      </c>
      <c r="T148" s="62">
        <f t="shared" si="142"/>
        <v>443.00653800162456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10.129818125281302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10.129818125281302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-1.5961632016114892E-13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398.15858227099039</v>
      </c>
      <c r="AO148" s="62">
        <f t="shared" si="144"/>
        <v>353.78046004921737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91.036856009570386</v>
      </c>
      <c r="T149" s="62">
        <f t="shared" si="142"/>
        <v>443.00653800162456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9.9311785704235085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9.9311785704235085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-1.5961632016114892E-13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398.15858227099039</v>
      </c>
      <c r="AO149" s="62">
        <f t="shared" si="144"/>
        <v>353.78046004921737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91.036856009570386</v>
      </c>
      <c r="T150" s="62">
        <f t="shared" si="142"/>
        <v>443.00653800162456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9.7364342160783099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9.7364342160783099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-1.5961632016114892E-13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398.15858227099039</v>
      </c>
      <c r="AO150" s="62">
        <f t="shared" si="144"/>
        <v>353.78046004921737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91.036856009570386</v>
      </c>
      <c r="T151" s="62">
        <f t="shared" si="142"/>
        <v>443.00653800162456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9.5455086797394948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9.5455086797394948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-1.5961632016114892E-13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398.15858227099039</v>
      </c>
      <c r="AO151" s="62">
        <f t="shared" si="144"/>
        <v>353.78046004921737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91.036856009570386</v>
      </c>
      <c r="T152" s="62">
        <f t="shared" si="142"/>
        <v>443.00653800162456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9.358327076715204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9.358327076715204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-1.5961632016114892E-13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398.15858227099039</v>
      </c>
      <c r="AO152" s="62">
        <f t="shared" si="144"/>
        <v>353.78046004921737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91.036856009570386</v>
      </c>
      <c r="T153" s="62">
        <f t="shared" si="142"/>
        <v>443.00653800162456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9.1748159907567164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9.1748159907567164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-1.5961632016114892E-13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398.15858227099039</v>
      </c>
      <c r="AO153" s="62">
        <f t="shared" si="144"/>
        <v>353.78046004921737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91.036856009570386</v>
      </c>
      <c r="T154" s="62">
        <f t="shared" si="142"/>
        <v>443.00653800162456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8.994903445263164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8.994903445263164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-1.5961632016114892E-13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398.15858227099039</v>
      </c>
      <c r="AO154" s="62">
        <f t="shared" si="144"/>
        <v>353.78046004921737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91.036856009570386</v>
      </c>
      <c r="T155" s="62">
        <f t="shared" si="142"/>
        <v>443.00653800162456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8.8185188750509234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8.8185188750509234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-1.5961632016114892E-13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398.15858227099039</v>
      </c>
      <c r="AO155" s="62">
        <f t="shared" si="144"/>
        <v>353.78046004921737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91.036856009570386</v>
      </c>
      <c r="T156" s="62">
        <f t="shared" si="142"/>
        <v>443.00653800162456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8.6455930986765797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8.6455930986765797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-1.5961632016114892E-13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398.15858227099039</v>
      </c>
      <c r="AO156" s="62">
        <f t="shared" si="144"/>
        <v>353.78046004921737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91.036856009570386</v>
      </c>
      <c r="T157" s="62">
        <f t="shared" si="142"/>
        <v>443.00653800162456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8.4760582913026283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8.4760582913026283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-1.5961632016114892E-13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398.15858227099039</v>
      </c>
      <c r="AO157" s="62">
        <f t="shared" si="144"/>
        <v>353.78046004921737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91.036856009570386</v>
      </c>
      <c r="T158" s="62">
        <f t="shared" si="142"/>
        <v>443.00653800162456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8.3098479580952578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8.3098479580952578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-1.5961632016114892E-13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398.15858227099039</v>
      </c>
      <c r="AO158" s="62">
        <f t="shared" si="144"/>
        <v>353.78046004921737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91.036856009570386</v>
      </c>
      <c r="T159" s="62">
        <f t="shared" si="142"/>
        <v>443.00653800162456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8.1468969081437912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8.1468969081437912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-1.5961632016114892E-13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398.15858227099039</v>
      </c>
      <c r="AO159" s="62">
        <f t="shared" si="144"/>
        <v>353.78046004921737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91.036856009570386</v>
      </c>
      <c r="T160" s="62">
        <f t="shared" si="142"/>
        <v>443.00653800162456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7.987141228891546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7.987141228891546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-1.5961632016114892E-13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398.15858227099039</v>
      </c>
      <c r="AO160" s="62">
        <f t="shared" si="144"/>
        <v>353.78046004921737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91.036856009570386</v>
      </c>
      <c r="T161" s="62">
        <f t="shared" si="142"/>
        <v>443.00653800162456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7.8305182610680948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7.8305182610680948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-1.5961632016114892E-13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398.15858227099039</v>
      </c>
      <c r="AO161" s="62">
        <f t="shared" si="144"/>
        <v>353.78046004921737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91.036856009570386</v>
      </c>
      <c r="T162" s="62">
        <f t="shared" si="142"/>
        <v>443.00653800162456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7.6769665741130835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7.6769665741130835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-1.5961632016114892E-13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398.15858227099039</v>
      </c>
      <c r="AO162" s="62">
        <f t="shared" si="144"/>
        <v>353.78046004921737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91.036856009570386</v>
      </c>
      <c r="T163" s="62">
        <f t="shared" si="142"/>
        <v>443.00653800162456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7.5264259420819792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7.5264259420819792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-1.5961632016114892E-13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398.15858227099039</v>
      </c>
      <c r="AO163" s="62">
        <f t="shared" si="144"/>
        <v>353.78046004921737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91.036856009570386</v>
      </c>
      <c r="T164" s="62">
        <f t="shared" si="142"/>
        <v>443.00653800162456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7.3788373200242861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7.3788373200242861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-1.5961632016114892E-13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398.15858227099039</v>
      </c>
      <c r="AO164" s="62">
        <f t="shared" si="144"/>
        <v>353.78046004921737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91.036856009570386</v>
      </c>
      <c r="T165" s="62">
        <f t="shared" si="142"/>
        <v>443.00653800162456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7.2341428208249727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7.2341428208249727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-1.5961632016114892E-13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398.15858227099039</v>
      </c>
      <c r="AO165" s="62">
        <f t="shared" si="144"/>
        <v>353.78046004921737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91.036856009570386</v>
      </c>
      <c r="T166" s="62">
        <f t="shared" si="142"/>
        <v>443.00653800162456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7.0922856925000284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7.0922856925000284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-1.5961632016114892E-13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398.15858227099039</v>
      </c>
      <c r="AO166" s="62">
        <f t="shared" si="144"/>
        <v>353.78046004921737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91.036856009570386</v>
      </c>
      <c r="T167" s="62">
        <f t="shared" si="142"/>
        <v>443.00653800162456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6.9532102959372315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6.9532102959372315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-1.5961632016114892E-13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398.15858227099039</v>
      </c>
      <c r="AO167" s="62">
        <f t="shared" si="144"/>
        <v>353.78046004921737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91.036856009570386</v>
      </c>
      <c r="T168" s="62">
        <f t="shared" si="142"/>
        <v>443.00653800162456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6.8168620830734152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6.8168620830734152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-1.5961632016114892E-13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398.15858227099039</v>
      </c>
      <c r="AO168" s="62">
        <f t="shared" si="144"/>
        <v>353.78046004921737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91.036856009570386</v>
      </c>
      <c r="T169" s="62">
        <f t="shared" si="142"/>
        <v>443.00653800162456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6.6831875754996606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6.6831875754996606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-1.5961632016114892E-13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398.15858227099039</v>
      </c>
      <c r="AO169" s="62">
        <f t="shared" si="144"/>
        <v>353.78046004921737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91.036856009570386</v>
      </c>
      <c r="T170" s="62">
        <f t="shared" si="142"/>
        <v>443.00653800162456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6.5521343434860277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6.5521343434860277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-1.5961632016114892E-13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398.15858227099039</v>
      </c>
      <c r="AO170" s="62">
        <f t="shared" si="144"/>
        <v>353.78046004921737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91.036856009570386</v>
      </c>
      <c r="T171" s="62">
        <f t="shared" si="142"/>
        <v>443.00653800162456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6.4236509854176038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6.4236509854176038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-1.5961632016114892E-13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398.15858227099039</v>
      </c>
      <c r="AO171" s="62">
        <f t="shared" si="144"/>
        <v>353.78046004921737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91.036856009570386</v>
      </c>
      <c r="T172" s="62">
        <f t="shared" si="142"/>
        <v>443.00653800162456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6.2976871076337915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6.2976871076337915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-1.5961632016114892E-13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398.15858227099039</v>
      </c>
      <c r="AO172" s="62">
        <f t="shared" si="144"/>
        <v>353.78046004921737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91.036856009570386</v>
      </c>
      <c r="T173" s="62">
        <f t="shared" si="142"/>
        <v>443.00653800162456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6.1741933046629409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6.1741933046629409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-1.5961632016114892E-13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398.15858227099039</v>
      </c>
      <c r="AO173" s="62">
        <f t="shared" si="144"/>
        <v>353.78046004921737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91.036856009570386</v>
      </c>
      <c r="T174" s="62">
        <f t="shared" si="142"/>
        <v>443.00653800162456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6.0531211398445661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6.0531211398445661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-1.5961632016114892E-13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398.15858227099039</v>
      </c>
      <c r="AO174" s="62">
        <f t="shared" si="144"/>
        <v>353.78046004921737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91.036856009570386</v>
      </c>
      <c r="T175" s="62">
        <f t="shared" si="142"/>
        <v>443.00653800162456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5.9344231263315512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5.9344231263315512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-1.5961632016114892E-13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398.15858227099039</v>
      </c>
      <c r="AO175" s="62">
        <f t="shared" si="144"/>
        <v>353.78046004921737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91.036856009570386</v>
      </c>
      <c r="T176" s="62">
        <f t="shared" si="142"/>
        <v>443.00653800162456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5.8180527084648865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5.8180527084648865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-1.5961632016114892E-13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398.15858227099039</v>
      </c>
      <c r="AO176" s="62">
        <f t="shared" si="144"/>
        <v>353.78046004921737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91.036856009570386</v>
      </c>
      <c r="T177" s="62">
        <f t="shared" si="142"/>
        <v>443.00653800162456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5.7039642435136413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5.7039642435136413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-1.5961632016114892E-13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398.15858227099039</v>
      </c>
      <c r="AO177" s="62">
        <f t="shared" si="144"/>
        <v>353.78046004921737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91.036856009570386</v>
      </c>
      <c r="T178" s="62">
        <f t="shared" si="142"/>
        <v>443.00653800162456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5.5921129837729975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5.5921129837729975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-1.5961632016114892E-13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398.15858227099039</v>
      </c>
      <c r="AO178" s="62">
        <f t="shared" si="144"/>
        <v>353.78046004921737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91.036856009570386</v>
      </c>
      <c r="T179" s="62">
        <f t="shared" si="142"/>
        <v>443.00653800162456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5.4824550590133354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5.4824550590133354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-1.5961632016114892E-13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398.15858227099039</v>
      </c>
      <c r="AO179" s="62">
        <f t="shared" si="144"/>
        <v>353.78046004921737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91.036856009570386</v>
      </c>
      <c r="T180" s="62">
        <f t="shared" si="142"/>
        <v>443.00653800162456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5.3749474592734803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5.3749474592734803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-1.5961632016114892E-13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398.15858227099039</v>
      </c>
      <c r="AO180" s="62">
        <f t="shared" si="144"/>
        <v>353.78046004921737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91.036856009570386</v>
      </c>
      <c r="T181" s="62">
        <f t="shared" si="142"/>
        <v>443.00653800162456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5.2695480179913625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5.2695480179913625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-1.5961632016114892E-13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398.15858227099039</v>
      </c>
      <c r="AO181" s="62">
        <f t="shared" si="144"/>
        <v>353.78046004921737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91.036856009570386</v>
      </c>
      <c r="T182" s="62">
        <f t="shared" si="142"/>
        <v>443.00653800162456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5.1662153954654766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5.1662153954654766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-1.5961632016114892E-13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398.15858227099039</v>
      </c>
      <c r="AO182" s="62">
        <f t="shared" si="144"/>
        <v>353.78046004921737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91.036856009570386</v>
      </c>
      <c r="T183" s="62">
        <f t="shared" si="142"/>
        <v>443.00653800162456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5.0649090626406466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5.0649090626406466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-1.5961632016114892E-13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398.15858227099039</v>
      </c>
      <c r="AO183" s="62">
        <f t="shared" si="144"/>
        <v>353.78046004921737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91.036856009570386</v>
      </c>
      <c r="T184" s="62">
        <f t="shared" si="142"/>
        <v>443.00653800162456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4.9655892852117498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4.9655892852117498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-1.5961632016114892E-13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398.15858227099039</v>
      </c>
      <c r="AO184" s="62">
        <f t="shared" si="144"/>
        <v>353.78046004921737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91.036856009570386</v>
      </c>
      <c r="T185" s="62">
        <f t="shared" si="142"/>
        <v>443.00653800162456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4.8682171080391514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4.8682171080391514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-1.5961632016114892E-13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398.15858227099039</v>
      </c>
      <c r="AO185" s="62">
        <f t="shared" si="144"/>
        <v>353.78046004921737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91.036856009570386</v>
      </c>
      <c r="T186" s="62">
        <f t="shared" si="142"/>
        <v>443.00653800162456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4.7727543398697438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4.7727543398697438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-1.5961632016114892E-13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398.15858227099039</v>
      </c>
      <c r="AO186" s="62">
        <f t="shared" si="144"/>
        <v>353.78046004921737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91.036856009570386</v>
      </c>
      <c r="T187" s="62">
        <f t="shared" si="142"/>
        <v>443.00653800162456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4.6791635383575994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4.6791635383575994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-1.5961632016114892E-13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398.15858227099039</v>
      </c>
      <c r="AO187" s="62">
        <f t="shared" si="144"/>
        <v>353.78046004921737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91.036856009570386</v>
      </c>
      <c r="T188" s="62">
        <f t="shared" si="142"/>
        <v>443.00653800162456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4.5874079953783555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4.5874079953783555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-1.5961632016114892E-13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398.15858227099039</v>
      </c>
      <c r="AO188" s="62">
        <f t="shared" si="144"/>
        <v>353.78046004921737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91.036856009570386</v>
      </c>
      <c r="T189" s="62">
        <f t="shared" si="142"/>
        <v>443.00653800162456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4.4974517226315793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4.4974517226315793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-1.5961632016114892E-13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398.15858227099039</v>
      </c>
      <c r="AO189" s="62">
        <f t="shared" si="144"/>
        <v>353.78046004921737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91.036856009570386</v>
      </c>
      <c r="T190" s="62">
        <f t="shared" si="142"/>
        <v>443.00653800162456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4.409259437525459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4.409259437525459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-1.5961632016114892E-13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398.15858227099039</v>
      </c>
      <c r="AO190" s="62">
        <f t="shared" si="144"/>
        <v>353.78046004921737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91.036856009570386</v>
      </c>
      <c r="T191" s="62">
        <f t="shared" si="142"/>
        <v>443.00653800162456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4.3227965493382872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4.3227965493382872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-1.5961632016114892E-13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398.15858227099039</v>
      </c>
      <c r="AO191" s="62">
        <f t="shared" si="144"/>
        <v>353.78046004921737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91.036856009570386</v>
      </c>
      <c r="T192" s="62">
        <f t="shared" si="142"/>
        <v>443.00653800162456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4.2380291456513115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4.2380291456513115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-1.5961632016114892E-13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398.15858227099039</v>
      </c>
      <c r="AO192" s="62">
        <f t="shared" si="144"/>
        <v>353.78046004921737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91.036856009570386</v>
      </c>
      <c r="T193" s="62">
        <f t="shared" si="142"/>
        <v>443.00653800162456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4.1549239790476262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4.1549239790476262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-1.5961632016114892E-13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398.15858227099039</v>
      </c>
      <c r="AO193" s="62">
        <f t="shared" si="144"/>
        <v>353.78046004921737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91.036856009570386</v>
      </c>
      <c r="T194" s="62">
        <f t="shared" si="142"/>
        <v>443.00653800162456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4.0734484540718929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4.0734484540718929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-1.5961632016114892E-13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398.15858227099039</v>
      </c>
      <c r="AO194" s="62">
        <f t="shared" si="144"/>
        <v>353.78046004921737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91.036856009570386</v>
      </c>
      <c r="T195" s="62">
        <f t="shared" si="142"/>
        <v>443.00653800162456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3.9935706144457703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3.9935706144457703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-1.5961632016114892E-13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398.15858227099039</v>
      </c>
      <c r="AO195" s="62">
        <f t="shared" si="144"/>
        <v>353.78046004921737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91.036856009570386</v>
      </c>
      <c r="T196" s="62">
        <f t="shared" si="142"/>
        <v>443.00653800162456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3.9152591305340447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3.9152591305340447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-1.5961632016114892E-13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398.15858227099039</v>
      </c>
      <c r="AO196" s="62">
        <f t="shared" si="144"/>
        <v>353.78046004921737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91.036856009570386</v>
      </c>
      <c r="T197" s="62">
        <f t="shared" ref="T197:T203" si="204">$T$3</f>
        <v>443.00653800162456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3.8384832870565391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3.8384832870565391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-1.5961632016114892E-13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398.15858227099039</v>
      </c>
      <c r="AO197" s="62">
        <f t="shared" ref="AO197:AO203" si="205">$AO$3</f>
        <v>353.78046004921737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91.036856009570386</v>
      </c>
      <c r="T198" s="62">
        <f t="shared" si="204"/>
        <v>443.00653800162456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3.763212971040987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3.763212971040987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-1.5961632016114892E-13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398.15858227099039</v>
      </c>
      <c r="AO198" s="62">
        <f t="shared" si="205"/>
        <v>353.78046004921737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91.036856009570386</v>
      </c>
      <c r="T199" s="62">
        <f t="shared" si="204"/>
        <v>443.00653800162456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3.6894186600121404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3.6894186600121404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-1.5961632016114892E-13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398.15858227099039</v>
      </c>
      <c r="AO199" s="62">
        <f t="shared" si="205"/>
        <v>353.78046004921737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91.036856009570386</v>
      </c>
      <c r="T200" s="62">
        <f t="shared" si="204"/>
        <v>443.00653800162456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3.6170714104124841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3.6170714104124841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-1.5961632016114892E-13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398.15858227099039</v>
      </c>
      <c r="AO200" s="62">
        <f t="shared" si="205"/>
        <v>353.78046004921737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91.036856009570386</v>
      </c>
      <c r="T201" s="62">
        <f t="shared" si="204"/>
        <v>443.00653800162456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3.546142846250012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3.546142846250012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-1.5961632016114892E-13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398.15858227099039</v>
      </c>
      <c r="AO201" s="62">
        <f t="shared" si="205"/>
        <v>353.78046004921737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91.036856009570386</v>
      </c>
      <c r="T202" s="62">
        <f t="shared" si="204"/>
        <v>443.00653800162456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3.4766051479686135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3.4766051479686135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-1.5961632016114892E-13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398.15858227099039</v>
      </c>
      <c r="AO202" s="62">
        <f t="shared" si="205"/>
        <v>353.78046004921737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91.036856009570386</v>
      </c>
      <c r="T203" s="62">
        <f t="shared" si="204"/>
        <v>443.00653800162456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3.4084310415367054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3.4084310415367054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-1.5961632016114892E-13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398.15858227099039</v>
      </c>
      <c r="AO203" s="62">
        <f t="shared" si="205"/>
        <v>353.78046004921737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1.3416320076871513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1.1518506498535592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6" sqref="M6: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1.6651600000000002</v>
      </c>
      <c r="C6" s="156">
        <f ca="1">IF(OR('Données projet'!B9="",'Données projet'!C9="",'Données projet'!C9=0%),0,Calculateur!S3)</f>
        <v>91.036856009570386</v>
      </c>
      <c r="D6" s="156">
        <f>IF(OR('Données projet'!B9="",'Données projet'!C9="",'Données projet'!C9=0%),0,Calculateur!T3)</f>
        <v>443.00653800162456</v>
      </c>
      <c r="E6" s="156">
        <f ca="1">MIN(C6,D6)</f>
        <v>91.036856009570386</v>
      </c>
      <c r="F6" s="156">
        <f ca="1">E6*B6</f>
        <v>151.59093115289625</v>
      </c>
      <c r="G6" s="156">
        <f ca="1">F6*(100%-'Données projet'!$C$24)*(100%-'Données projet'!$C$25)*(100%-'Données projet'!$C$26)*(100%-'Données projet'!$C$27)</f>
        <v>136.43183803760664</v>
      </c>
      <c r="H6" s="157">
        <f>IF(OR('Données projet'!B9="",'Données projet'!C9="",'Données projet'!C9=0%),0,AVERAGE(Calculateur!$AC$3:$AC$33)*B6)</f>
        <v>64.571782868772857</v>
      </c>
      <c r="I6" s="158">
        <f>H6*(100%-'Données projet'!$C$24)*(100%-'Données projet'!$C$25)*(100%-'Données projet'!$C$26)*(100%-'Données projet'!$C$27)</f>
        <v>58.11460458189557</v>
      </c>
      <c r="J6" s="159">
        <f>IF(OR('Données projet'!B9="",'Données projet'!C9="",'Données projet'!C9=0%),0,SUM(Calculateur!$V$3:$V$33)*VLOOKUP('Données projet'!$B$9,Paramètres!$A$1:$I$89,9,0)*B6)</f>
        <v>612.29598360000011</v>
      </c>
      <c r="K6" s="160">
        <f>J6*(100%-'Données projet'!$C$24)*(100%-'Données projet'!$C$25)*(100%-'Données projet'!$C$26)*(100%-'Données projet'!$C$27)</f>
        <v>551.06638524000016</v>
      </c>
      <c r="L6" s="161">
        <f ca="1">G6+I6+K6</f>
        <v>745.61282785950243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3.6548400000000005</v>
      </c>
      <c r="C7" s="156">
        <f ca="1">IF(OR('Données projet'!B10="",'Données projet'!C10="",'Données projet'!C10=0%),0,Calculateur!AN3)</f>
        <v>398.15858227099039</v>
      </c>
      <c r="D7" s="156">
        <f>IF(OR('Données projet'!B10="",'Données projet'!C10="",'Données projet'!C10=0%),0,Calculateur!AO3)</f>
        <v>353.78046004921737</v>
      </c>
      <c r="E7" s="156">
        <f t="shared" ref="E7:E15" ca="1" si="0">MIN(C7,D7)</f>
        <v>353.78046004921737</v>
      </c>
      <c r="F7" s="156">
        <f t="shared" ref="F7:F15" ca="1" si="1">E7*B7</f>
        <v>1293.0109766062817</v>
      </c>
      <c r="G7" s="156">
        <f ca="1">F7*(100%-'Données projet'!$C$24)*(100%-'Données projet'!$C$25)*(100%-'Données projet'!$C$26)*(100%-'Données projet'!$C$27)</f>
        <v>1163.7098789456536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1163.7098789456536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1444.6019077591779</v>
      </c>
      <c r="G16" s="175">
        <f t="shared" ca="1" si="3"/>
        <v>1300.1417169832603</v>
      </c>
      <c r="H16" s="176">
        <f t="shared" si="3"/>
        <v>64.571782868772857</v>
      </c>
      <c r="I16" s="176">
        <f t="shared" si="3"/>
        <v>58.11460458189557</v>
      </c>
      <c r="J16" s="177">
        <f t="shared" si="3"/>
        <v>612.29598360000011</v>
      </c>
      <c r="K16" s="177">
        <f t="shared" si="3"/>
        <v>551.06638524000016</v>
      </c>
      <c r="L16" s="178">
        <f t="shared" ca="1" si="3"/>
        <v>1909.322706805156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9" zoomScale="90" zoomScaleNormal="90" workbookViewId="0">
      <selection activeCell="Y45" sqref="Y4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7401.375045369834</v>
      </c>
      <c r="U10" s="190">
        <f>'Données projet'!D9</f>
        <v>1.6651600000000002</v>
      </c>
      <c r="V10" s="189">
        <f>U10*T10</f>
        <v>12324.473670548034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1064.6308906150634</v>
      </c>
      <c r="U11" s="190">
        <f>'Données projet'!D10</f>
        <v>3.6548400000000005</v>
      </c>
      <c r="V11" s="189">
        <f t="shared" ref="V11" si="0">U11*T11</f>
        <v>3891.0555642555591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2808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795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2195/5.32</f>
        <v>412.59398496240601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357</v>
      </c>
      <c r="C23" s="206">
        <v>50</v>
      </c>
      <c r="D23" s="194">
        <f>B23*C23</f>
        <v>17850</v>
      </c>
      <c r="E23" s="206"/>
      <c r="F23" s="261"/>
      <c r="H23" s="203">
        <v>2</v>
      </c>
      <c r="I23" s="204">
        <f>915/5.32</f>
        <v>171.99248120300751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-7142.9797318729343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3</v>
      </c>
      <c r="I24" s="204">
        <f>1082/5.32</f>
        <v>203.38345864661653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274539.86555966706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3</v>
      </c>
      <c r="I25" s="204">
        <f>658/5.32</f>
        <v>123.68421052631578</v>
      </c>
      <c r="K25" s="225"/>
      <c r="L25" s="271" t="s">
        <v>285</v>
      </c>
      <c r="M25" s="271"/>
      <c r="N25" s="271"/>
      <c r="O25" s="271"/>
      <c r="P25" s="205">
        <v>3684</v>
      </c>
      <c r="Q25" s="265"/>
      <c r="R25" s="25"/>
      <c r="S25" s="198" t="s">
        <v>266</v>
      </c>
      <c r="T25" s="342">
        <f ca="1">T23-T24</f>
        <v>-281682.84529153997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51605.237887155461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3684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3525.3588516746413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3373.5491403585088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3228.2766893382859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3089.2599897974037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2956.2296553085203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2828.9278998167665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2707.1080381021688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2590.5340077532724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2478.9799117256198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2372.2295805986796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2270.0761536829468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2172.3216781654996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2078.7767255172248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1989.2600244183973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1903.5981094912891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1821.624985159129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1743.1818039800278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1668.1165588325628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1596.2837883565194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1527.5442950780096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42</v>
      </c>
      <c r="B54" s="193">
        <f>'Données projet'!D62</f>
        <v>110</v>
      </c>
      <c r="C54" s="292">
        <v>15</v>
      </c>
      <c r="D54" s="191">
        <f>B54*C54</f>
        <v>1650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48</v>
      </c>
      <c r="B55" s="193">
        <f>'Données projet'!D63</f>
        <v>78</v>
      </c>
      <c r="C55" s="292">
        <v>20</v>
      </c>
      <c r="D55" s="191">
        <f t="shared" ref="D55:D73" si="4">B55*C55</f>
        <v>1560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54</v>
      </c>
      <c r="B56" s="193">
        <f>'Données projet'!D64</f>
        <v>86</v>
      </c>
      <c r="C56" s="292">
        <v>20</v>
      </c>
      <c r="D56" s="191">
        <f t="shared" si="4"/>
        <v>1720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60</v>
      </c>
      <c r="B57" s="193">
        <f>'Données projet'!D65</f>
        <v>84</v>
      </c>
      <c r="C57" s="292">
        <v>30</v>
      </c>
      <c r="D57" s="191">
        <f t="shared" si="4"/>
        <v>2520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66</v>
      </c>
      <c r="B58" s="193">
        <f>'Données projet'!D66</f>
        <v>88</v>
      </c>
      <c r="C58" s="292">
        <v>35</v>
      </c>
      <c r="D58" s="191">
        <f t="shared" si="4"/>
        <v>3080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72</v>
      </c>
      <c r="B59" s="193">
        <f>'Données projet'!D67</f>
        <v>87</v>
      </c>
      <c r="C59" s="292">
        <v>45</v>
      </c>
      <c r="D59" s="191">
        <f t="shared" si="4"/>
        <v>3915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78</v>
      </c>
      <c r="B60" s="193">
        <f>'Données projet'!D68</f>
        <v>82</v>
      </c>
      <c r="C60" s="292">
        <v>50</v>
      </c>
      <c r="D60" s="191">
        <f t="shared" si="4"/>
        <v>4100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84</v>
      </c>
      <c r="B61" s="193">
        <f>'Données projet'!D69</f>
        <v>554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2024-11-20T09:21:39Z</dcterms:modified>
</cp:coreProperties>
</file>