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1D24F31-150F-47CE-8AA2-0E8BA6C12AAF}" xr6:coauthVersionLast="47" xr6:coauthVersionMax="47" xr10:uidLastSave="{00000000-0000-0000-0000-000000000000}"/>
  <bookViews>
    <workbookView xWindow="555" yWindow="2535" windowWidth="21600" windowHeight="1129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  <c r="B39" i="1"/>
  <c r="B38" i="1"/>
  <c r="I24" i="6"/>
  <c r="I22" i="6"/>
  <c r="I21" i="6"/>
  <c r="D40" i="1"/>
  <c r="F9" i="1" a="1"/>
  <c r="F9" i="1" s="1"/>
  <c r="B43" i="1" l="1"/>
  <c r="B42" i="1"/>
  <c r="B41" i="1"/>
  <c r="F10" i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FR4" i="2"/>
  <c r="FQ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FS18" i="2"/>
  <c r="EA18" i="2"/>
  <c r="EX18" i="2"/>
  <c r="EV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H20" i="2"/>
  <c r="FS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C48" i="2"/>
  <c r="HH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HG75" i="2"/>
  <c r="EA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G85" i="2"/>
  <c r="EC85" i="2"/>
  <c r="EW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C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C118" i="2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HG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FS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HH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HH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FS156" i="2" l="1"/>
  <c r="DH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H157" i="2"/>
  <c r="EX157" i="2"/>
  <c r="EC157" i="2"/>
  <c r="EB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I160" i="2"/>
  <c r="DG160" i="2"/>
  <c r="ED159" i="2"/>
  <c r="HG160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HH161" i="2"/>
  <c r="EB161" i="2"/>
  <c r="EX161" i="2"/>
  <c r="HG161" i="2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G163" i="2"/>
  <c r="HH163" i="2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DH164" i="2"/>
  <c r="FS164" i="2"/>
  <c r="EA164" i="2"/>
  <c r="EX164" i="2"/>
  <c r="EV164" i="2"/>
  <c r="FR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FR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S178" i="2"/>
  <c r="EA178" i="2"/>
  <c r="HG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V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FS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S186" i="2"/>
  <c r="ED185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C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X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HG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I195" i="2" l="1"/>
  <c r="EB195" i="2"/>
  <c r="EX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C197" i="2"/>
  <c r="AA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H201" i="2" l="1"/>
  <c r="HG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HH202" i="2"/>
  <c r="FZ6" i="2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62" i="2" a="1"/>
  <c r="FY62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HG203" i="2" l="1"/>
  <c r="DN56" i="2" a="1"/>
  <c r="DN56" i="2" s="1"/>
  <c r="HH203" i="2"/>
  <c r="FY104" i="2" a="1"/>
  <c r="FY104" i="2" s="1"/>
  <c r="FY190" i="2" a="1"/>
  <c r="FY190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Y34" i="2" a="1"/>
  <c r="FY34" i="2" s="1"/>
  <c r="FY72" i="2" a="1"/>
  <c r="FY72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Y164" i="2" a="1"/>
  <c r="FY164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Y149" i="2" a="1"/>
  <c r="FY149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D59" i="2" a="1"/>
  <c r="FD59" i="2" s="1"/>
  <c r="FY24" i="2" a="1"/>
  <c r="FY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44" i="2" a="1"/>
  <c r="FD144" i="2" s="1"/>
  <c r="FY124" i="2" a="1"/>
  <c r="FY124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21" i="2" a="1"/>
  <c r="FD21" i="2" s="1"/>
  <c r="FY169" i="2" a="1"/>
  <c r="FY169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AH166" i="2" a="1"/>
  <c r="AH166" i="2" s="1"/>
  <c r="AH90" i="2" a="1"/>
  <c r="AH90" i="2" s="1"/>
  <c r="AH19" i="2" a="1"/>
  <c r="AH19" i="2" s="1"/>
  <c r="AH92" i="2" a="1"/>
  <c r="AH92" i="2" s="1"/>
  <c r="AH199" i="2" a="1"/>
  <c r="AH199" i="2" s="1"/>
  <c r="BP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tc={25D0F660-CF61-491F-99D3-01DFA8DFD7BC}</author>
    <author>tc={FEC9FC24-33FA-4703-B41E-938E03325EA2}</author>
    <author>tc={D39A5ABD-967C-49F4-B50F-67DEC02BA2A0}</author>
  </authors>
  <commentList>
    <comment ref="E17" authorId="0" shapeId="0" xr:uid="{25D0F660-CF61-491F-99D3-01DFA8DFD7B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Couts réel devis mis à l'hectare</t>
      </text>
    </comment>
    <comment ref="I20" authorId="1" shapeId="0" xr:uid="{FEC9FC24-33FA-4703-B41E-938E03325EA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Couts devis</t>
      </text>
    </comment>
    <comment ref="E48" authorId="2" shapeId="0" xr:uid="{D39A5ABD-967C-49F4-B50F-67DEC02BA2A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Couts réel devis mis à l'hectare</t>
      </text>
    </comment>
  </commentList>
</comments>
</file>

<file path=xl/sharedStrings.xml><?xml version="1.0" encoding="utf-8"?>
<sst xmlns="http://schemas.openxmlformats.org/spreadsheetml/2006/main" count="1171" uniqueCount="324">
  <si>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</si>
  <si>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</si>
  <si>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</si>
  <si>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</si>
  <si>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</si>
  <si>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</si>
  <si>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</si>
  <si>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</si>
  <si>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</si>
  <si>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</si>
  <si>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</si>
  <si>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</si>
  <si>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</si>
  <si>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</si>
  <si>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</si>
  <si>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</si>
  <si>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</si>
  <si>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</si>
  <si>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</si>
  <si>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Chêne tauzin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</si>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</sst>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285.22142675928535</c:v>
                </c:pt>
                <c:pt idx="26">
                  <c:v>310.68091299050434</c:v>
                </c:pt>
                <c:pt idx="27">
                  <c:v>336.09410044718135</c:v>
                </c:pt>
                <c:pt idx="28">
                  <c:v>361.46497943833401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415.9081583034108</c:v>
                </c:pt>
                <c:pt idx="36">
                  <c:v>434.78286654674827</c:v>
                </c:pt>
                <c:pt idx="37">
                  <c:v>453.6399917138902</c:v>
                </c:pt>
                <c:pt idx="38">
                  <c:v>472.48036714392646</c:v>
                </c:pt>
                <c:pt idx="39">
                  <c:v>491.30475433315274</c:v>
                </c:pt>
                <c:pt idx="40">
                  <c:v>510.11385170032503</c:v>
                </c:pt>
                <c:pt idx="41">
                  <c:v>524.10030854720571</c:v>
                </c:pt>
                <c:pt idx="42">
                  <c:v>538.07890319826026</c:v>
                </c:pt>
                <c:pt idx="43">
                  <c:v>552.04986860924294</c:v>
                </c:pt>
                <c:pt idx="44">
                  <c:v>566.01342498766189</c:v>
                </c:pt>
                <c:pt idx="45">
                  <c:v>579.96978079425332</c:v>
                </c:pt>
                <c:pt idx="46">
                  <c:v>593.91913364308118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2.8961771307666808</c:v>
                </c:pt>
                <c:pt idx="2">
                  <c:v>3.3019859536147678</c:v>
                </c:pt>
                <c:pt idx="3">
                  <c:v>3.7648576951805075</c:v>
                </c:pt>
                <c:pt idx="4">
                  <c:v>4.2928430413877097</c:v>
                </c:pt>
                <c:pt idx="5">
                  <c:v>4.8951320478758467</c:v>
                </c:pt>
                <c:pt idx="6">
                  <c:v>5.5822158563811621</c:v>
                </c:pt>
                <c:pt idx="7">
                  <c:v>6.3660714258299462</c:v>
                </c:pt>
                <c:pt idx="8">
                  <c:v>7.2603725615561814</c:v>
                </c:pt>
                <c:pt idx="9">
                  <c:v>8.2807309955415942</c:v>
                </c:pt>
                <c:pt idx="10">
                  <c:v>9.4449718073300684</c:v>
                </c:pt>
                <c:pt idx="11">
                  <c:v>10.773448088946672</c:v>
                </c:pt>
                <c:pt idx="12">
                  <c:v>12.289400458798582</c:v>
                </c:pt>
                <c:pt idx="13">
                  <c:v>14.019367831784123</c:v>
                </c:pt>
                <c:pt idx="14">
                  <c:v>15.993656770136946</c:v>
                </c:pt>
                <c:pt idx="15">
                  <c:v>18.246877788414086</c:v>
                </c:pt>
                <c:pt idx="16">
                  <c:v>20.818558185406825</c:v>
                </c:pt>
                <c:pt idx="17">
                  <c:v>23.75384234724072</c:v>
                </c:pt>
                <c:pt idx="18">
                  <c:v>27.104292034277432</c:v>
                </c:pt>
                <c:pt idx="19">
                  <c:v>30.928800957941164</c:v>
                </c:pt>
                <c:pt idx="20">
                  <c:v>35.294640004645778</c:v>
                </c:pt>
                <c:pt idx="21">
                  <c:v>40.278651809638959</c:v>
                </c:pt>
                <c:pt idx="22">
                  <c:v>45.968616066186307</c:v>
                </c:pt>
                <c:pt idx="23">
                  <c:v>52.464810023576398</c:v>
                </c:pt>
                <c:pt idx="24">
                  <c:v>59.881792136408279</c:v>
                </c:pt>
                <c:pt idx="25">
                  <c:v>68.350440840992832</c:v>
                </c:pt>
                <c:pt idx="26">
                  <c:v>78.964964478197544</c:v>
                </c:pt>
                <c:pt idx="27">
                  <c:v>89.543246141249099</c:v>
                </c:pt>
                <c:pt idx="28">
                  <c:v>100.09018128242467</c:v>
                </c:pt>
                <c:pt idx="29">
                  <c:v>110.60954503100668</c:v>
                </c:pt>
                <c:pt idx="30">
                  <c:v>121.10433338993421</c:v>
                </c:pt>
                <c:pt idx="31">
                  <c:v>132.01288994230126</c:v>
                </c:pt>
                <c:pt idx="32">
                  <c:v>142.89968505029853</c:v>
                </c:pt>
                <c:pt idx="33">
                  <c:v>153.76661212101567</c:v>
                </c:pt>
                <c:pt idx="34">
                  <c:v>164.61527459906236</c:v>
                </c:pt>
                <c:pt idx="35">
                  <c:v>175.44704698546437</c:v>
                </c:pt>
                <c:pt idx="36">
                  <c:v>158.97616013715961</c:v>
                </c:pt>
                <c:pt idx="37">
                  <c:v>170.683067921874</c:v>
                </c:pt>
                <c:pt idx="38">
                  <c:v>182.37107382631726</c:v>
                </c:pt>
                <c:pt idx="39">
                  <c:v>194.04156088484294</c:v>
                </c:pt>
                <c:pt idx="40">
                  <c:v>205.69573198483525</c:v>
                </c:pt>
                <c:pt idx="41">
                  <c:v>217.76543262779293</c:v>
                </c:pt>
                <c:pt idx="42">
                  <c:v>229.81975883085661</c:v>
                </c:pt>
                <c:pt idx="43">
                  <c:v>241.85963106688234</c:v>
                </c:pt>
                <c:pt idx="44">
                  <c:v>253.88587061369637</c:v>
                </c:pt>
                <c:pt idx="45">
                  <c:v>265.89921453765226</c:v>
                </c:pt>
                <c:pt idx="46">
                  <c:v>219.48839787126693</c:v>
                </c:pt>
                <c:pt idx="47">
                  <c:v>231.11042123109766</c:v>
                </c:pt>
                <c:pt idx="48">
                  <c:v>242.71909110275348</c:v>
                </c:pt>
                <c:pt idx="49">
                  <c:v>254.31513651503607</c:v>
                </c:pt>
                <c:pt idx="50">
                  <c:v>265.89921453765231</c:v>
                </c:pt>
                <c:pt idx="51">
                  <c:v>277.90032782489624</c:v>
                </c:pt>
                <c:pt idx="52">
                  <c:v>289.88981330557965</c:v>
                </c:pt>
                <c:pt idx="53">
                  <c:v>301.86821984910256</c:v>
                </c:pt>
                <c:pt idx="54">
                  <c:v>313.83604918967262</c:v>
                </c:pt>
                <c:pt idx="55">
                  <c:v>325.79376165566811</c:v>
                </c:pt>
                <c:pt idx="56">
                  <c:v>277.47192027708809</c:v>
                </c:pt>
                <c:pt idx="57">
                  <c:v>289.03379511615788</c:v>
                </c:pt>
                <c:pt idx="58">
                  <c:v>300.58533356518473</c:v>
                </c:pt>
                <c:pt idx="59">
                  <c:v>312.1269890042181</c:v>
                </c:pt>
                <c:pt idx="60">
                  <c:v>323.65917853100467</c:v>
                </c:pt>
                <c:pt idx="61">
                  <c:v>335.18228708152969</c:v>
                </c:pt>
                <c:pt idx="62">
                  <c:v>346.6966709540493</c:v>
                </c:pt>
                <c:pt idx="63">
                  <c:v>358.20266084031817</c:v>
                </c:pt>
                <c:pt idx="64">
                  <c:v>369.70056444686651</c:v>
                </c:pt>
                <c:pt idx="65">
                  <c:v>381.1906687730571</c:v>
                </c:pt>
                <c:pt idx="66">
                  <c:v>332.19566614415379</c:v>
                </c:pt>
                <c:pt idx="67">
                  <c:v>342.85949149560901</c:v>
                </c:pt>
                <c:pt idx="68">
                  <c:v>353.51602838820554</c:v>
                </c:pt>
                <c:pt idx="69">
                  <c:v>364.1655275890343</c:v>
                </c:pt>
                <c:pt idx="70">
                  <c:v>374.80822399573418</c:v>
                </c:pt>
                <c:pt idx="71">
                  <c:v>379.48891258338045</c:v>
                </c:pt>
                <c:pt idx="72">
                  <c:v>384.16834495549665</c:v>
                </c:pt>
                <c:pt idx="73">
                  <c:v>388.84653859104054</c:v>
                </c:pt>
                <c:pt idx="74">
                  <c:v>393.52351051358795</c:v>
                </c:pt>
                <c:pt idx="75">
                  <c:v>398.19927730859064</c:v>
                </c:pt>
                <c:pt idx="76">
                  <c:v>351.17220259857316</c:v>
                </c:pt>
                <c:pt idx="77">
                  <c:v>363.73967974925927</c:v>
                </c:pt>
                <c:pt idx="78">
                  <c:v>376.29767134593504</c:v>
                </c:pt>
                <c:pt idx="79">
                  <c:v>388.84653859104054</c:v>
                </c:pt>
                <c:pt idx="80">
                  <c:v>401.38661746821327</c:v>
                </c:pt>
                <c:pt idx="81">
                  <c:v>413.91822125259887</c:v>
                </c:pt>
                <c:pt idx="82">
                  <c:v>426.44164270126589</c:v>
                </c:pt>
                <c:pt idx="83">
                  <c:v>438.95715597288381</c:v>
                </c:pt>
                <c:pt idx="84">
                  <c:v>451.4650183170441</c:v>
                </c:pt>
                <c:pt idx="85">
                  <c:v>463.96547156661882</c:v>
                </c:pt>
                <c:pt idx="86">
                  <c:v>413.068882746474</c:v>
                </c:pt>
                <c:pt idx="87">
                  <c:v>421.56058619386414</c:v>
                </c:pt>
                <c:pt idx="88">
                  <c:v>430.04860694583391</c:v>
                </c:pt>
                <c:pt idx="89">
                  <c:v>438.53302797399652</c:v>
                </c:pt>
                <c:pt idx="90">
                  <c:v>447.01392877603956</c:v>
                </c:pt>
                <c:pt idx="91">
                  <c:v>455.49138558575549</c:v>
                </c:pt>
                <c:pt idx="92">
                  <c:v>463.96547156661882</c:v>
                </c:pt>
                <c:pt idx="93">
                  <c:v>472.43625699048152</c:v>
                </c:pt>
                <c:pt idx="94">
                  <c:v>480.90380940278004</c:v>
                </c:pt>
                <c:pt idx="95">
                  <c:v>489.36819377550097</c:v>
                </c:pt>
                <c:pt idx="96">
                  <c:v>437.26059113904131</c:v>
                </c:pt>
                <c:pt idx="97">
                  <c:v>444.47002356222691</c:v>
                </c:pt>
                <c:pt idx="98">
                  <c:v>451.67695146856295</c:v>
                </c:pt>
                <c:pt idx="99">
                  <c:v>458.8814204794034</c:v>
                </c:pt>
                <c:pt idx="100">
                  <c:v>466.08347466593341</c:v>
                </c:pt>
                <c:pt idx="101">
                  <c:v>473.28315662550841</c:v>
                </c:pt>
                <c:pt idx="102">
                  <c:v>480.48050755310402</c:v>
                </c:pt>
                <c:pt idx="103">
                  <c:v>487.67556730826072</c:v>
                </c:pt>
                <c:pt idx="104">
                  <c:v>494.86837447787121</c:v>
                </c:pt>
                <c:pt idx="105">
                  <c:v>502.0589664351258</c:v>
                </c:pt>
                <c:pt idx="106">
                  <c:v>448.92165417936985</c:v>
                </c:pt>
                <c:pt idx="107">
                  <c:v>455.06759339862316</c:v>
                </c:pt>
                <c:pt idx="108">
                  <c:v>461.2117590002124</c:v>
                </c:pt>
                <c:pt idx="109">
                  <c:v>467.35417796108709</c:v>
                </c:pt>
                <c:pt idx="110">
                  <c:v>473.49487649076718</c:v>
                </c:pt>
                <c:pt idx="111">
                  <c:v>479.63388006306349</c:v>
                </c:pt>
                <c:pt idx="112">
                  <c:v>485.77121344609031</c:v>
                </c:pt>
                <c:pt idx="113">
                  <c:v>491.906900730681</c:v>
                </c:pt>
                <c:pt idx="114">
                  <c:v>498.04096535731259</c:v>
                </c:pt>
                <c:pt idx="115">
                  <c:v>504.17343014163242</c:v>
                </c:pt>
                <c:pt idx="116">
                  <c:v>454.43188929866716</c:v>
                </c:pt>
                <c:pt idx="117">
                  <c:v>459.72884547202966</c:v>
                </c:pt>
                <c:pt idx="118">
                  <c:v>465.02449883304251</c:v>
                </c:pt>
                <c:pt idx="119">
                  <c:v>470.31886632272858</c:v>
                </c:pt>
                <c:pt idx="120">
                  <c:v>475.61196446929534</c:v>
                </c:pt>
                <c:pt idx="121">
                  <c:v>480.90380940278033</c:v>
                </c:pt>
                <c:pt idx="122">
                  <c:v>486.1944168690157</c:v>
                </c:pt>
                <c:pt idx="123">
                  <c:v>491.48380224295516</c:v>
                </c:pt>
                <c:pt idx="124">
                  <c:v>496.77198054139467</c:v>
                </c:pt>
                <c:pt idx="125">
                  <c:v>502.05896643512597</c:v>
                </c:pt>
                <c:pt idx="126">
                  <c:v>457.61022030308072</c:v>
                </c:pt>
                <c:pt idx="127">
                  <c:v>461.84726219579693</c:v>
                </c:pt>
                <c:pt idx="128">
                  <c:v>466.08347466593364</c:v>
                </c:pt>
                <c:pt idx="129">
                  <c:v>470.31886632272858</c:v>
                </c:pt>
                <c:pt idx="130">
                  <c:v>474.55344560757061</c:v>
                </c:pt>
                <c:pt idx="131">
                  <c:v>478.7872207987748</c:v>
                </c:pt>
                <c:pt idx="132">
                  <c:v>483.02020001617888</c:v>
                </c:pt>
                <c:pt idx="133">
                  <c:v>487.25239122557082</c:v>
                </c:pt>
                <c:pt idx="134">
                  <c:v>491.48380224295516</c:v>
                </c:pt>
                <c:pt idx="135">
                  <c:v>495.71444073866155</c:v>
                </c:pt>
                <c:pt idx="136">
                  <c:v>458.88142047940352</c:v>
                </c:pt>
                <c:pt idx="137">
                  <c:v>462.27092062343633</c:v>
                </c:pt>
                <c:pt idx="138">
                  <c:v>465.65989049624113</c:v>
                </c:pt>
                <c:pt idx="139">
                  <c:v>469.04833450563302</c:v>
                </c:pt>
                <c:pt idx="140">
                  <c:v>472.43625699048158</c:v>
                </c:pt>
                <c:pt idx="141">
                  <c:v>475.82366222228666</c:v>
                </c:pt>
                <c:pt idx="142">
                  <c:v>479.21055440670756</c:v>
                </c:pt>
                <c:pt idx="143">
                  <c:v>482.59693768504661</c:v>
                </c:pt>
                <c:pt idx="144">
                  <c:v>485.98281613568935</c:v>
                </c:pt>
                <c:pt idx="145">
                  <c:v>489.36819377550114</c:v>
                </c:pt>
                <c:pt idx="146">
                  <c:v>460.15254545728908</c:v>
                </c:pt>
                <c:pt idx="147">
                  <c:v>462.69457076567829</c:v>
                </c:pt>
                <c:pt idx="148">
                  <c:v>465.23629811002098</c:v>
                </c:pt>
                <c:pt idx="149">
                  <c:v>467.77772934982698</c:v>
                </c:pt>
                <c:pt idx="150">
                  <c:v>470.31886632272835</c:v>
                </c:pt>
                <c:pt idx="151">
                  <c:v>1.6849711895893119E-12</c:v>
                </c:pt>
                <c:pt idx="152">
                  <c:v>1.6849711895893119E-12</c:v>
                </c:pt>
                <c:pt idx="153">
                  <c:v>1.6849711895893119E-12</c:v>
                </c:pt>
                <c:pt idx="154">
                  <c:v>1.6849711895893119E-12</c:v>
                </c:pt>
                <c:pt idx="155">
                  <c:v>1.6849711895893119E-12</c:v>
                </c:pt>
                <c:pt idx="156">
                  <c:v>1.6849711895893119E-12</c:v>
                </c:pt>
                <c:pt idx="157">
                  <c:v>1.6849711895893119E-12</c:v>
                </c:pt>
                <c:pt idx="158">
                  <c:v>1.6849711895893119E-12</c:v>
                </c:pt>
                <c:pt idx="159">
                  <c:v>1.6849711895893119E-12</c:v>
                </c:pt>
                <c:pt idx="160">
                  <c:v>1.6849711895893119E-12</c:v>
                </c:pt>
                <c:pt idx="161">
                  <c:v>1.6849711895893119E-12</c:v>
                </c:pt>
                <c:pt idx="162">
                  <c:v>1.6849711895893119E-12</c:v>
                </c:pt>
                <c:pt idx="163">
                  <c:v>1.6849711895893119E-12</c:v>
                </c:pt>
                <c:pt idx="164">
                  <c:v>1.6849711895893119E-12</c:v>
                </c:pt>
                <c:pt idx="165">
                  <c:v>1.6849711895893119E-12</c:v>
                </c:pt>
                <c:pt idx="166">
                  <c:v>1.6849711895893119E-12</c:v>
                </c:pt>
                <c:pt idx="167">
                  <c:v>1.6849711895893119E-12</c:v>
                </c:pt>
                <c:pt idx="168">
                  <c:v>1.6849711895893119E-12</c:v>
                </c:pt>
                <c:pt idx="169">
                  <c:v>1.6849711895893119E-12</c:v>
                </c:pt>
                <c:pt idx="170">
                  <c:v>1.6849711895893119E-12</c:v>
                </c:pt>
                <c:pt idx="171">
                  <c:v>1.6849711895893119E-12</c:v>
                </c:pt>
                <c:pt idx="172">
                  <c:v>1.6849711895893119E-12</c:v>
                </c:pt>
                <c:pt idx="173">
                  <c:v>1.6849711895893119E-12</c:v>
                </c:pt>
                <c:pt idx="174">
                  <c:v>1.6849711895893119E-12</c:v>
                </c:pt>
                <c:pt idx="175">
                  <c:v>1.6849711895893119E-12</c:v>
                </c:pt>
                <c:pt idx="176">
                  <c:v>1.6849711895893119E-12</c:v>
                </c:pt>
                <c:pt idx="177">
                  <c:v>1.6849711895893119E-12</c:v>
                </c:pt>
                <c:pt idx="178">
                  <c:v>1.6849711895893119E-12</c:v>
                </c:pt>
                <c:pt idx="179">
                  <c:v>1.6849711895893119E-12</c:v>
                </c:pt>
                <c:pt idx="180">
                  <c:v>1.6849711895893119E-12</c:v>
                </c:pt>
                <c:pt idx="181">
                  <c:v>1.6849711895893119E-12</c:v>
                </c:pt>
                <c:pt idx="182">
                  <c:v>1.6849711895893119E-12</c:v>
                </c:pt>
                <c:pt idx="183">
                  <c:v>1.6849711895893119E-12</c:v>
                </c:pt>
                <c:pt idx="184">
                  <c:v>1.6849711895893119E-12</c:v>
                </c:pt>
                <c:pt idx="185">
                  <c:v>1.6849711895893119E-12</c:v>
                </c:pt>
                <c:pt idx="186">
                  <c:v>1.6849711895893119E-12</c:v>
                </c:pt>
                <c:pt idx="187">
                  <c:v>1.6849711895893119E-12</c:v>
                </c:pt>
                <c:pt idx="188">
                  <c:v>1.6849711895893119E-12</c:v>
                </c:pt>
                <c:pt idx="189">
                  <c:v>1.6849711895893119E-12</c:v>
                </c:pt>
                <c:pt idx="190">
                  <c:v>1.6849711895893119E-12</c:v>
                </c:pt>
                <c:pt idx="191">
                  <c:v>1.6849711895893119E-12</c:v>
                </c:pt>
                <c:pt idx="192">
                  <c:v>1.6849711895893119E-12</c:v>
                </c:pt>
                <c:pt idx="193">
                  <c:v>1.6849711895893119E-12</c:v>
                </c:pt>
                <c:pt idx="194">
                  <c:v>1.6849711895893119E-12</c:v>
                </c:pt>
                <c:pt idx="195">
                  <c:v>1.6849711895893119E-12</c:v>
                </c:pt>
                <c:pt idx="196">
                  <c:v>1.6849711895893119E-12</c:v>
                </c:pt>
                <c:pt idx="197">
                  <c:v>1.6849711895893119E-12</c:v>
                </c:pt>
                <c:pt idx="198">
                  <c:v>1.6849711895893119E-12</c:v>
                </c:pt>
                <c:pt idx="199">
                  <c:v>1.6849711895893119E-12</c:v>
                </c:pt>
                <c:pt idx="200">
                  <c:v>1.6849711895893119E-12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ugo Danjou" id="{CE28D8CD-3A1E-4E32-99E4-CC992177B1A5}" userId="S::hugo.danjou@acclena.fr::143acf70-84a0-41f4-afa7-7563fedfb6d7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7" dT="2023-11-20T15:39:07.40" personId="{CE28D8CD-3A1E-4E32-99E4-CC992177B1A5}" id="{25D0F660-CF61-491F-99D3-01DFA8DFD7BC}">
    <text>Couts réel devis mis à l'hectare</text>
  </threadedComment>
  <threadedComment ref="I20" dT="2023-11-24T16:07:19.37" personId="{CE28D8CD-3A1E-4E32-99E4-CC992177B1A5}" id="{FEC9FC24-33FA-4703-B41E-938E03325EA2}">
    <text>Couts devis</text>
  </threadedComment>
  <threadedComment ref="E48" dT="2023-11-20T15:35:49.62" personId="{CE28D8CD-3A1E-4E32-99E4-CC992177B1A5}" id="{D39A5ABD-967C-49F4-B50F-67DEC02BA2A0}">
    <text>Couts réel devis mis à l'hectare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3" zoomScale="80" zoomScaleNormal="80" workbookViewId="0">
      <selection activeCell="B12" sqref="B12:M16"/>
    </sheetView>
  </sheetViews>
  <sheetFormatPr baseColWidth="10" defaultColWidth="11.42578125" defaultRowHeight="15" x14ac:dyDescent="0.25"/>
  <cols>
    <col min="1" max="1" width="6.5703125" customWidth="1"/>
    <col min="2" max="13" width="15.85546875" customWidth="1"/>
  </cols>
  <sheetData>
    <row r="12" spans="2:13" ht="15" customHeight="1" x14ac:dyDescent="0.2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abSelected="1" topLeftCell="A229" zoomScale="80" zoomScaleNormal="80" workbookViewId="0">
      <selection activeCell="H15" sqref="H15"/>
    </sheetView>
  </sheetViews>
  <sheetFormatPr baseColWidth="10" defaultColWidth="11.42578125" defaultRowHeight="15" x14ac:dyDescent="0.25"/>
  <cols>
    <col min="1" max="1" width="13.570312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42578125" style="23" customWidth="1"/>
    <col min="6" max="6" width="28.85546875" style="23" bestFit="1" customWidth="1"/>
    <col min="7" max="8" width="14.570312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7</v>
      </c>
      <c r="B5" s="268"/>
      <c r="C5" s="24">
        <v>1.53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15</v>
      </c>
      <c r="B9" s="31" t="s">
        <v>16</v>
      </c>
      <c r="C9" s="32">
        <v>0.94769999999999999</v>
      </c>
      <c r="D9" s="33">
        <f t="shared" ref="D9:D18" si="0">C9*$C$5</f>
        <v>1.449981</v>
      </c>
      <c r="E9" s="34">
        <v>46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18</v>
      </c>
      <c r="B10" s="31" t="s">
        <v>19</v>
      </c>
      <c r="C10" s="32">
        <v>5.2299999999999999E-2</v>
      </c>
      <c r="D10" s="33">
        <f t="shared" si="0"/>
        <v>8.0019000000000007E-2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20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21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22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23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24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25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26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27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28</v>
      </c>
      <c r="C19" s="37">
        <f>SUM(C9:C18)</f>
        <v>1</v>
      </c>
      <c r="D19" s="38">
        <f>SUM(D9:D18)</f>
        <v>1.53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29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30</v>
      </c>
      <c r="B24" s="42" t="s">
        <v>31</v>
      </c>
      <c r="C24" s="43">
        <v>0</v>
      </c>
      <c r="D24" s="44" t="s">
        <v>32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33</v>
      </c>
      <c r="B25" s="42" t="s">
        <v>34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35</v>
      </c>
      <c r="B26" s="42" t="s">
        <v>36</v>
      </c>
      <c r="C26" s="43">
        <v>0.15</v>
      </c>
      <c r="D26" s="44" t="s">
        <v>37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38</v>
      </c>
      <c r="B27" s="42" t="s">
        <v>39</v>
      </c>
      <c r="C27" s="43">
        <v>0</v>
      </c>
      <c r="D27" s="44" t="s">
        <v>40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41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15</v>
      </c>
      <c r="B32" s="47" t="str">
        <f>IF(B9="","",B9)</f>
        <v>Pin maritime</v>
      </c>
      <c r="D32" s="229" t="s">
        <v>42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43</v>
      </c>
      <c r="C34" s="258" t="s">
        <v>44</v>
      </c>
      <c r="D34" s="258"/>
      <c r="E34" s="259" t="s">
        <v>45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46</v>
      </c>
      <c r="B35" s="36" t="s">
        <v>47</v>
      </c>
      <c r="C35" s="48" t="s">
        <v>48</v>
      </c>
      <c r="D35" s="48" t="s">
        <v>49</v>
      </c>
      <c r="E35" s="36" t="s">
        <v>50</v>
      </c>
      <c r="F35" s="36" t="s">
        <v>51</v>
      </c>
      <c r="G35" s="36" t="s">
        <v>52</v>
      </c>
      <c r="H35" s="36" t="s">
        <v>53</v>
      </c>
      <c r="I35" s="48" t="s">
        <v>54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12</v>
      </c>
      <c r="B36" s="60">
        <v>46.2</v>
      </c>
      <c r="C36" s="60"/>
      <c r="D36" s="60"/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16</v>
      </c>
      <c r="B37" s="60">
        <v>107.5</v>
      </c>
      <c r="C37" s="60">
        <v>1</v>
      </c>
      <c r="D37" s="60">
        <v>25</v>
      </c>
      <c r="E37" s="51"/>
      <c r="F37" s="51"/>
      <c r="G37" s="51"/>
      <c r="H37" s="51">
        <v>1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20</v>
      </c>
      <c r="B38" s="60">
        <f>176.3-D37</f>
        <v>151.30000000000001</v>
      </c>
      <c r="C38" s="60">
        <v>2</v>
      </c>
      <c r="D38" s="60">
        <v>33.700000000000003</v>
      </c>
      <c r="E38" s="51"/>
      <c r="F38" s="51"/>
      <c r="G38" s="51">
        <v>0.25</v>
      </c>
      <c r="H38" s="51">
        <v>0.75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24</v>
      </c>
      <c r="B39" s="60">
        <f>255.9-D38-D37</f>
        <v>197.2</v>
      </c>
      <c r="C39" s="60"/>
      <c r="D39" s="60"/>
      <c r="E39" s="51"/>
      <c r="F39" s="51"/>
      <c r="G39" s="51"/>
      <c r="H39" s="51"/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28</v>
      </c>
      <c r="B40" s="60">
        <f>335.4-D38-D37</f>
        <v>276.7</v>
      </c>
      <c r="C40" s="60">
        <v>3</v>
      </c>
      <c r="D40" s="60">
        <f>42.9+41.4</f>
        <v>84.3</v>
      </c>
      <c r="E40" s="51">
        <v>0.3</v>
      </c>
      <c r="F40" s="51">
        <v>0.3</v>
      </c>
      <c r="G40" s="51">
        <v>0.4</v>
      </c>
      <c r="H40" s="51"/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34</v>
      </c>
      <c r="B41" s="60">
        <f>447.6-D40-D38-D37</f>
        <v>304.60000000000002</v>
      </c>
      <c r="C41" s="60"/>
      <c r="D41" s="60"/>
      <c r="E41" s="51"/>
      <c r="F41" s="51"/>
      <c r="G41" s="51"/>
      <c r="H41" s="51"/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40</v>
      </c>
      <c r="B42" s="60">
        <f>536.7-D40-D38-D37</f>
        <v>393.70000000000005</v>
      </c>
      <c r="C42" s="60"/>
      <c r="D42" s="60"/>
      <c r="E42" s="51"/>
      <c r="F42" s="51"/>
      <c r="G42" s="51"/>
      <c r="H42" s="51"/>
      <c r="I42" s="53">
        <f t="shared" si="1"/>
        <v>14.850000000000003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46</v>
      </c>
      <c r="B43" s="60">
        <f>603-D40-D38-D37</f>
        <v>460.00000000000006</v>
      </c>
      <c r="C43" s="60">
        <v>5</v>
      </c>
      <c r="D43" s="60">
        <v>460</v>
      </c>
      <c r="E43" s="51"/>
      <c r="F43" s="51"/>
      <c r="G43" s="51"/>
      <c r="H43" s="51"/>
      <c r="I43" s="49">
        <f t="shared" si="1"/>
        <v>11.050000000000002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18</v>
      </c>
      <c r="B58" s="52" t="str">
        <f>IF(B10="","",B10)</f>
        <v>Chêne tauzin</v>
      </c>
      <c r="D58" s="229" t="s">
        <v>42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43</v>
      </c>
      <c r="C60" s="258" t="s">
        <v>44</v>
      </c>
      <c r="D60" s="258"/>
      <c r="E60" s="259" t="s">
        <v>45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46</v>
      </c>
      <c r="B61" s="36" t="s">
        <v>47</v>
      </c>
      <c r="C61" s="48" t="s">
        <v>48</v>
      </c>
      <c r="D61" s="48" t="s">
        <v>49</v>
      </c>
      <c r="E61" s="36" t="s">
        <v>50</v>
      </c>
      <c r="F61" s="36" t="s">
        <v>51</v>
      </c>
      <c r="G61" s="36" t="s">
        <v>52</v>
      </c>
      <c r="H61" s="36" t="s">
        <v>53</v>
      </c>
      <c r="I61" s="48" t="s">
        <v>54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25</v>
      </c>
      <c r="B62" s="60">
        <v>30</v>
      </c>
      <c r="C62" s="60"/>
      <c r="D62" s="60"/>
      <c r="E62" s="51"/>
      <c r="F62" s="51"/>
      <c r="G62" s="51"/>
      <c r="H62" s="51"/>
      <c r="I62" s="53">
        <f>IFERROR(B62/A62,"")</f>
        <v>1.2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54</v>
      </c>
      <c r="C63" s="60"/>
      <c r="D63" s="60"/>
      <c r="E63" s="51"/>
      <c r="F63" s="51"/>
      <c r="G63" s="51"/>
      <c r="H63" s="51"/>
      <c r="I63" s="49">
        <f>IF(A63&lt;&gt;0,(B63-(B62-D62))/(A63-A62),"")</f>
        <v>4.8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35</v>
      </c>
      <c r="B64" s="60">
        <v>79</v>
      </c>
      <c r="C64" s="60">
        <v>1</v>
      </c>
      <c r="D64" s="60">
        <v>13</v>
      </c>
      <c r="E64" s="51"/>
      <c r="F64" s="51"/>
      <c r="G64" s="51"/>
      <c r="H64" s="51"/>
      <c r="I64" s="49">
        <f>IF(A64&lt;&gt;0,(B64-(B63-D63))/(A64-A63),"")</f>
        <v>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93</v>
      </c>
      <c r="C65" s="60"/>
      <c r="D65" s="60"/>
      <c r="E65" s="51"/>
      <c r="F65" s="51"/>
      <c r="G65" s="51"/>
      <c r="H65" s="51"/>
      <c r="I65" s="49">
        <f>IF(A65&lt;&gt;0,(B65-(B64-D64))/(A65-A64),"")</f>
        <v>5.4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45</v>
      </c>
      <c r="B66" s="60">
        <v>121</v>
      </c>
      <c r="C66" s="60">
        <v>2</v>
      </c>
      <c r="D66" s="60">
        <v>27</v>
      </c>
      <c r="E66" s="51"/>
      <c r="F66" s="51"/>
      <c r="G66" s="51"/>
      <c r="H66" s="51"/>
      <c r="I66" s="49">
        <f t="shared" ref="I66:I81" si="2">IF(A66&lt;&gt;0,(B66-(B65-D65))/(A66-A65),"")</f>
        <v>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50</v>
      </c>
      <c r="B67" s="60">
        <v>121</v>
      </c>
      <c r="C67" s="60"/>
      <c r="D67" s="60"/>
      <c r="E67" s="51"/>
      <c r="F67" s="51"/>
      <c r="G67" s="51"/>
      <c r="H67" s="51"/>
      <c r="I67" s="49">
        <f t="shared" si="2"/>
        <v>5.4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55</v>
      </c>
      <c r="B68" s="60">
        <v>149</v>
      </c>
      <c r="C68" s="60">
        <v>3</v>
      </c>
      <c r="D68" s="60">
        <v>28</v>
      </c>
      <c r="E68" s="51"/>
      <c r="F68" s="51"/>
      <c r="G68" s="51"/>
      <c r="H68" s="51"/>
      <c r="I68" s="49">
        <f t="shared" si="2"/>
        <v>5.6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60</v>
      </c>
      <c r="B69" s="50">
        <v>148</v>
      </c>
      <c r="C69" s="50"/>
      <c r="D69" s="50"/>
      <c r="E69" s="51"/>
      <c r="F69" s="51"/>
      <c r="G69" s="51"/>
      <c r="H69" s="51"/>
      <c r="I69" s="49">
        <f t="shared" si="2"/>
        <v>5.4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65</v>
      </c>
      <c r="B70" s="50">
        <v>175</v>
      </c>
      <c r="C70" s="50">
        <v>4</v>
      </c>
      <c r="D70" s="50">
        <v>28</v>
      </c>
      <c r="E70" s="51"/>
      <c r="F70" s="51"/>
      <c r="G70" s="51"/>
      <c r="H70" s="51"/>
      <c r="I70" s="49">
        <f t="shared" si="2"/>
        <v>5.4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70</v>
      </c>
      <c r="B71" s="50">
        <v>172</v>
      </c>
      <c r="C71" s="50"/>
      <c r="D71" s="50"/>
      <c r="E71" s="51"/>
      <c r="F71" s="51"/>
      <c r="G71" s="51"/>
      <c r="H71" s="51"/>
      <c r="I71" s="49">
        <f t="shared" si="2"/>
        <v>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75</v>
      </c>
      <c r="B72" s="50">
        <v>183</v>
      </c>
      <c r="C72" s="50">
        <v>5</v>
      </c>
      <c r="D72" s="50">
        <v>28</v>
      </c>
      <c r="E72" s="51"/>
      <c r="F72" s="51"/>
      <c r="G72" s="51"/>
      <c r="H72" s="51"/>
      <c r="I72" s="49">
        <f t="shared" si="2"/>
        <v>2.2000000000000002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85</v>
      </c>
      <c r="B73" s="50">
        <v>214</v>
      </c>
      <c r="C73" s="50">
        <v>6</v>
      </c>
      <c r="D73" s="50">
        <v>28</v>
      </c>
      <c r="E73" s="51"/>
      <c r="F73" s="51"/>
      <c r="G73" s="51"/>
      <c r="H73" s="51"/>
      <c r="I73" s="49">
        <f t="shared" si="2"/>
        <v>5.9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95</v>
      </c>
      <c r="B74" s="50">
        <v>226</v>
      </c>
      <c r="C74" s="50">
        <v>7</v>
      </c>
      <c r="D74" s="50">
        <v>28</v>
      </c>
      <c r="E74" s="51"/>
      <c r="F74" s="51"/>
      <c r="G74" s="51"/>
      <c r="H74" s="51"/>
      <c r="I74" s="49">
        <f t="shared" si="2"/>
        <v>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105</v>
      </c>
      <c r="B75" s="50">
        <v>232</v>
      </c>
      <c r="C75" s="50">
        <v>8</v>
      </c>
      <c r="D75" s="50">
        <v>28</v>
      </c>
      <c r="E75" s="51"/>
      <c r="F75" s="51"/>
      <c r="G75" s="51"/>
      <c r="H75" s="51"/>
      <c r="I75" s="49">
        <f t="shared" si="2"/>
        <v>3.4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115</v>
      </c>
      <c r="B76" s="50">
        <v>233</v>
      </c>
      <c r="C76" s="50">
        <v>9</v>
      </c>
      <c r="D76" s="50">
        <v>26</v>
      </c>
      <c r="E76" s="51"/>
      <c r="F76" s="51"/>
      <c r="G76" s="51"/>
      <c r="H76" s="51"/>
      <c r="I76" s="49">
        <f t="shared" si="2"/>
        <v>2.9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125</v>
      </c>
      <c r="B77" s="50">
        <v>232</v>
      </c>
      <c r="C77" s="50">
        <v>10</v>
      </c>
      <c r="D77" s="50">
        <v>23</v>
      </c>
      <c r="E77" s="51"/>
      <c r="F77" s="51"/>
      <c r="G77" s="51"/>
      <c r="H77" s="51"/>
      <c r="I77" s="49">
        <f t="shared" si="2"/>
        <v>2.5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135</v>
      </c>
      <c r="B78" s="50">
        <v>229</v>
      </c>
      <c r="C78" s="50">
        <v>11</v>
      </c>
      <c r="D78" s="50">
        <v>19</v>
      </c>
      <c r="E78" s="51"/>
      <c r="F78" s="51"/>
      <c r="G78" s="51"/>
      <c r="H78" s="51"/>
      <c r="I78" s="49">
        <f t="shared" si="2"/>
        <v>2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145</v>
      </c>
      <c r="B79" s="50">
        <v>226</v>
      </c>
      <c r="C79" s="50">
        <v>12</v>
      </c>
      <c r="D79" s="50">
        <v>15</v>
      </c>
      <c r="E79" s="51"/>
      <c r="F79" s="51"/>
      <c r="G79" s="51"/>
      <c r="H79" s="51"/>
      <c r="I79" s="49">
        <f t="shared" si="2"/>
        <v>1.6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>
        <v>150</v>
      </c>
      <c r="B80" s="50">
        <v>217</v>
      </c>
      <c r="C80" s="50">
        <v>13</v>
      </c>
      <c r="D80" s="50">
        <v>217</v>
      </c>
      <c r="E80" s="51"/>
      <c r="F80" s="51"/>
      <c r="G80" s="51"/>
      <c r="H80" s="51"/>
      <c r="I80" s="49">
        <f t="shared" si="2"/>
        <v>1.2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20</v>
      </c>
      <c r="B84" s="52" t="str">
        <f>IF(B11="","",B11)</f>
        <v/>
      </c>
      <c r="D84" s="229" t="s">
        <v>42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43</v>
      </c>
      <c r="C86" s="258" t="s">
        <v>44</v>
      </c>
      <c r="D86" s="258"/>
      <c r="E86" s="259" t="s">
        <v>45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46</v>
      </c>
      <c r="B87" s="36" t="s">
        <v>47</v>
      </c>
      <c r="C87" s="48" t="s">
        <v>48</v>
      </c>
      <c r="D87" s="48" t="s">
        <v>49</v>
      </c>
      <c r="E87" s="36" t="s">
        <v>50</v>
      </c>
      <c r="F87" s="36" t="s">
        <v>51</v>
      </c>
      <c r="G87" s="36" t="s">
        <v>52</v>
      </c>
      <c r="H87" s="36" t="s">
        <v>53</v>
      </c>
      <c r="I87" s="48" t="s">
        <v>54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21</v>
      </c>
      <c r="B110" s="52" t="str">
        <f>IF(B12="","",B12)</f>
        <v/>
      </c>
      <c r="D110" s="229" t="s">
        <v>42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43</v>
      </c>
      <c r="C112" s="258" t="s">
        <v>44</v>
      </c>
      <c r="D112" s="258"/>
      <c r="E112" s="259" t="s">
        <v>45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46</v>
      </c>
      <c r="B113" s="36" t="s">
        <v>47</v>
      </c>
      <c r="C113" s="48" t="s">
        <v>48</v>
      </c>
      <c r="D113" s="48" t="s">
        <v>49</v>
      </c>
      <c r="E113" s="36" t="s">
        <v>50</v>
      </c>
      <c r="F113" s="36" t="s">
        <v>51</v>
      </c>
      <c r="G113" s="36" t="s">
        <v>52</v>
      </c>
      <c r="H113" s="36" t="s">
        <v>53</v>
      </c>
      <c r="I113" s="48" t="s">
        <v>54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22</v>
      </c>
      <c r="B136" s="52" t="str">
        <f>IF(B13="","",B13)</f>
        <v/>
      </c>
      <c r="D136" s="229" t="s">
        <v>42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43</v>
      </c>
      <c r="C138" s="258" t="s">
        <v>44</v>
      </c>
      <c r="D138" s="258"/>
      <c r="E138" s="259" t="s">
        <v>45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46</v>
      </c>
      <c r="B139" s="36" t="s">
        <v>47</v>
      </c>
      <c r="C139" s="48" t="s">
        <v>48</v>
      </c>
      <c r="D139" s="48" t="s">
        <v>49</v>
      </c>
      <c r="E139" s="36" t="s">
        <v>50</v>
      </c>
      <c r="F139" s="36" t="s">
        <v>51</v>
      </c>
      <c r="G139" s="36" t="s">
        <v>52</v>
      </c>
      <c r="H139" s="36" t="s">
        <v>53</v>
      </c>
      <c r="I139" s="48" t="s">
        <v>54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23</v>
      </c>
      <c r="B162" s="52" t="str">
        <f>IF(B14="","",B14)</f>
        <v/>
      </c>
      <c r="D162" s="229" t="s">
        <v>42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43</v>
      </c>
      <c r="C164" s="258" t="s">
        <v>44</v>
      </c>
      <c r="D164" s="258"/>
      <c r="E164" s="259" t="s">
        <v>45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46</v>
      </c>
      <c r="B165" s="36" t="s">
        <v>47</v>
      </c>
      <c r="C165" s="48" t="s">
        <v>48</v>
      </c>
      <c r="D165" s="48" t="s">
        <v>49</v>
      </c>
      <c r="E165" s="36" t="s">
        <v>50</v>
      </c>
      <c r="F165" s="36" t="s">
        <v>51</v>
      </c>
      <c r="G165" s="36" t="s">
        <v>52</v>
      </c>
      <c r="H165" s="36" t="s">
        <v>53</v>
      </c>
      <c r="I165" s="48" t="s">
        <v>54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24</v>
      </c>
      <c r="B188" s="52" t="str">
        <f>IF(B15="","",B15)</f>
        <v/>
      </c>
      <c r="D188" s="229" t="s">
        <v>42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43</v>
      </c>
      <c r="C190" s="258" t="s">
        <v>44</v>
      </c>
      <c r="D190" s="258"/>
      <c r="E190" s="259" t="s">
        <v>45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46</v>
      </c>
      <c r="B191" s="36" t="s">
        <v>47</v>
      </c>
      <c r="C191" s="48" t="s">
        <v>48</v>
      </c>
      <c r="D191" s="48" t="s">
        <v>49</v>
      </c>
      <c r="E191" s="36" t="s">
        <v>50</v>
      </c>
      <c r="F191" s="36" t="s">
        <v>51</v>
      </c>
      <c r="G191" s="36" t="s">
        <v>52</v>
      </c>
      <c r="H191" s="36" t="s">
        <v>53</v>
      </c>
      <c r="I191" s="48" t="s">
        <v>54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25</v>
      </c>
      <c r="B214" s="52" t="str">
        <f>IF(B16="","",B16)</f>
        <v/>
      </c>
      <c r="D214" s="229" t="s">
        <v>42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43</v>
      </c>
      <c r="C216" s="258" t="s">
        <v>44</v>
      </c>
      <c r="D216" s="258"/>
      <c r="E216" s="259" t="s">
        <v>45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46</v>
      </c>
      <c r="B217" s="36" t="s">
        <v>47</v>
      </c>
      <c r="C217" s="48" t="s">
        <v>48</v>
      </c>
      <c r="D217" s="48" t="s">
        <v>49</v>
      </c>
      <c r="E217" s="36" t="s">
        <v>50</v>
      </c>
      <c r="F217" s="36" t="s">
        <v>51</v>
      </c>
      <c r="G217" s="36" t="s">
        <v>52</v>
      </c>
      <c r="H217" s="36" t="s">
        <v>53</v>
      </c>
      <c r="I217" s="48" t="s">
        <v>54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26</v>
      </c>
      <c r="B240" s="52" t="str">
        <f>IF(B17="","",B17)</f>
        <v/>
      </c>
      <c r="D240" s="229" t="s">
        <v>42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43</v>
      </c>
      <c r="C242" s="258" t="s">
        <v>44</v>
      </c>
      <c r="D242" s="258"/>
      <c r="E242" s="259" t="s">
        <v>45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46</v>
      </c>
      <c r="B243" s="36" t="s">
        <v>47</v>
      </c>
      <c r="C243" s="48" t="s">
        <v>48</v>
      </c>
      <c r="D243" s="48" t="s">
        <v>49</v>
      </c>
      <c r="E243" s="36" t="s">
        <v>50</v>
      </c>
      <c r="F243" s="36" t="s">
        <v>51</v>
      </c>
      <c r="G243" s="36" t="s">
        <v>52</v>
      </c>
      <c r="H243" s="36" t="s">
        <v>53</v>
      </c>
      <c r="I243" s="48" t="s">
        <v>54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27</v>
      </c>
      <c r="B266" s="52" t="str">
        <f>IF(B18="","",B18)</f>
        <v/>
      </c>
      <c r="D266" s="229" t="s">
        <v>42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43</v>
      </c>
      <c r="C268" s="258" t="s">
        <v>44</v>
      </c>
      <c r="D268" s="258"/>
      <c r="E268" s="259" t="s">
        <v>45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46</v>
      </c>
      <c r="B269" s="36" t="s">
        <v>47</v>
      </c>
      <c r="C269" s="48" t="s">
        <v>48</v>
      </c>
      <c r="D269" s="48" t="s">
        <v>49</v>
      </c>
      <c r="E269" s="36" t="s">
        <v>50</v>
      </c>
      <c r="F269" s="36" t="s">
        <v>51</v>
      </c>
      <c r="G269" s="36" t="s">
        <v>52</v>
      </c>
      <c r="H269" s="36" t="s">
        <v>53</v>
      </c>
      <c r="I269" s="48" t="s">
        <v>54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3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42578125" style="1" customWidth="1"/>
    <col min="6" max="6" width="14.42578125" style="1" customWidth="1"/>
    <col min="7" max="7" width="73.425781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55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56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57</v>
      </c>
      <c r="C7" s="100" t="s">
        <v>58</v>
      </c>
      <c r="D7" s="215"/>
      <c r="E7" s="101"/>
      <c r="F7" s="26" t="s">
        <v>57</v>
      </c>
      <c r="G7" s="100" t="s">
        <v>59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60</v>
      </c>
      <c r="D8" s="23"/>
      <c r="E8" s="105">
        <v>4</v>
      </c>
      <c r="F8" s="61">
        <v>0</v>
      </c>
      <c r="G8" s="102" t="s">
        <v>61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1</v>
      </c>
      <c r="C9" s="108" t="s">
        <v>62</v>
      </c>
      <c r="D9" s="23"/>
      <c r="E9" s="105">
        <v>5</v>
      </c>
      <c r="F9" s="61">
        <v>0</v>
      </c>
      <c r="G9" s="103" t="s">
        <v>63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64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65</v>
      </c>
      <c r="D13" s="216"/>
      <c r="E13" s="99"/>
      <c r="F13" s="107"/>
      <c r="G13" s="98" t="s">
        <v>66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67</v>
      </c>
      <c r="D14" s="216"/>
      <c r="E14" s="99"/>
      <c r="F14" s="107"/>
      <c r="G14" s="98" t="s">
        <v>68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57</v>
      </c>
      <c r="C15" s="4"/>
      <c r="D15" s="23"/>
      <c r="E15" s="4"/>
      <c r="F15" s="4"/>
      <c r="G15" s="2" t="s">
        <v>69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70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71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72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570312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5703125" style="4" bestFit="1" customWidth="1"/>
    <col min="25" max="25" width="14.5703125" style="4" bestFit="1" customWidth="1"/>
    <col min="26" max="26" width="12.42578125" style="4" bestFit="1" customWidth="1"/>
    <col min="27" max="27" width="9.570312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42578125" style="4" bestFit="1" customWidth="1"/>
    <col min="45" max="45" width="11.5703125" style="4" bestFit="1" customWidth="1"/>
    <col min="46" max="46" width="8.42578125" style="4" bestFit="1" customWidth="1"/>
    <col min="47" max="47" width="9.42578125" style="4" bestFit="1" customWidth="1"/>
    <col min="48" max="48" width="9.570312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425781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42578125" style="4" bestFit="1" customWidth="1"/>
    <col min="66" max="66" width="11.5703125" style="4" bestFit="1" customWidth="1"/>
    <col min="67" max="67" width="8.42578125" style="4" bestFit="1" customWidth="1"/>
    <col min="68" max="68" width="9.42578125" style="4" bestFit="1" customWidth="1"/>
    <col min="69" max="69" width="9.570312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42578125" style="4" bestFit="1" customWidth="1"/>
    <col min="87" max="87" width="11.5703125" style="4" bestFit="1" customWidth="1"/>
    <col min="88" max="88" width="8.42578125" style="4" bestFit="1" customWidth="1"/>
    <col min="89" max="89" width="9.42578125" style="4" bestFit="1" customWidth="1"/>
    <col min="90" max="90" width="9.570312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42578125" style="4" bestFit="1" customWidth="1"/>
    <col min="108" max="108" width="11.5703125" style="4" bestFit="1" customWidth="1"/>
    <col min="109" max="109" width="8.42578125" style="4" bestFit="1" customWidth="1"/>
    <col min="110" max="110" width="9.42578125" style="4" bestFit="1" customWidth="1"/>
    <col min="111" max="111" width="9.570312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425781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42578125" style="4" bestFit="1" customWidth="1"/>
    <col min="129" max="129" width="11.5703125" style="4" bestFit="1" customWidth="1"/>
    <col min="130" max="130" width="8.42578125" style="4" bestFit="1" customWidth="1"/>
    <col min="131" max="131" width="9.42578125" style="4" bestFit="1" customWidth="1"/>
    <col min="132" max="132" width="9.570312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42578125" style="4" bestFit="1" customWidth="1"/>
    <col min="150" max="150" width="11.5703125" style="4" bestFit="1" customWidth="1"/>
    <col min="151" max="151" width="8.42578125" style="4" bestFit="1" customWidth="1"/>
    <col min="152" max="152" width="9.42578125" style="4" bestFit="1" customWidth="1"/>
    <col min="153" max="153" width="9.570312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42578125" style="4" bestFit="1" customWidth="1"/>
    <col min="171" max="171" width="11.5703125" style="4" bestFit="1" customWidth="1"/>
    <col min="172" max="172" width="8.140625" style="4" bestFit="1" customWidth="1"/>
    <col min="173" max="173" width="9.42578125" style="4" bestFit="1" customWidth="1"/>
    <col min="174" max="174" width="9.570312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425781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570312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425781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42578125" style="4" bestFit="1" customWidth="1"/>
    <col min="213" max="213" width="11.5703125" style="4" bestFit="1" customWidth="1"/>
    <col min="214" max="214" width="8.42578125" style="4" bestFit="1" customWidth="1"/>
    <col min="215" max="215" width="9.42578125" style="4" bestFit="1" customWidth="1"/>
    <col min="216" max="216" width="9.570312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73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tauzin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74</v>
      </c>
      <c r="B2" s="72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80</v>
      </c>
      <c r="H2" s="66" t="s">
        <v>81</v>
      </c>
      <c r="I2" s="68" t="s">
        <v>78</v>
      </c>
      <c r="J2" s="69" t="s">
        <v>79</v>
      </c>
      <c r="K2" s="6" t="s">
        <v>82</v>
      </c>
      <c r="L2" s="6" t="s">
        <v>83</v>
      </c>
      <c r="M2" s="6" t="s">
        <v>83</v>
      </c>
      <c r="N2" s="6" t="s">
        <v>84</v>
      </c>
      <c r="O2" s="6" t="s">
        <v>85</v>
      </c>
      <c r="P2" s="6" t="s">
        <v>86</v>
      </c>
      <c r="Q2" s="6" t="s">
        <v>80</v>
      </c>
      <c r="R2" s="6" t="s">
        <v>87</v>
      </c>
      <c r="S2" s="6" t="s">
        <v>88</v>
      </c>
      <c r="T2" s="6" t="s">
        <v>89</v>
      </c>
      <c r="U2" s="7" t="s">
        <v>90</v>
      </c>
      <c r="V2" s="8" t="s">
        <v>91</v>
      </c>
      <c r="W2" s="7" t="s">
        <v>50</v>
      </c>
      <c r="X2" s="7" t="s">
        <v>51</v>
      </c>
      <c r="Y2" s="7" t="s">
        <v>92</v>
      </c>
      <c r="Z2" s="8" t="s">
        <v>93</v>
      </c>
      <c r="AA2" s="8" t="s">
        <v>94</v>
      </c>
      <c r="AB2" s="8" t="s">
        <v>95</v>
      </c>
      <c r="AC2" s="9" t="s">
        <v>96</v>
      </c>
      <c r="AD2" s="69" t="s">
        <v>78</v>
      </c>
      <c r="AE2" s="69" t="s">
        <v>79</v>
      </c>
      <c r="AF2" s="6" t="s">
        <v>82</v>
      </c>
      <c r="AG2" s="6" t="s">
        <v>83</v>
      </c>
      <c r="AH2" s="6" t="s">
        <v>83</v>
      </c>
      <c r="AI2" s="6" t="s">
        <v>84</v>
      </c>
      <c r="AJ2" s="6" t="s">
        <v>85</v>
      </c>
      <c r="AK2" s="6" t="s">
        <v>86</v>
      </c>
      <c r="AL2" s="6" t="s">
        <v>80</v>
      </c>
      <c r="AM2" s="6" t="s">
        <v>87</v>
      </c>
      <c r="AN2" s="6" t="s">
        <v>88</v>
      </c>
      <c r="AO2" s="6" t="s">
        <v>89</v>
      </c>
      <c r="AP2" s="7" t="s">
        <v>90</v>
      </c>
      <c r="AQ2" s="8" t="s">
        <v>91</v>
      </c>
      <c r="AR2" s="7" t="s">
        <v>50</v>
      </c>
      <c r="AS2" s="7" t="s">
        <v>51</v>
      </c>
      <c r="AT2" s="8" t="s">
        <v>97</v>
      </c>
      <c r="AU2" s="8" t="s">
        <v>93</v>
      </c>
      <c r="AV2" s="8" t="s">
        <v>94</v>
      </c>
      <c r="AW2" s="8" t="s">
        <v>95</v>
      </c>
      <c r="AX2" s="8" t="s">
        <v>96</v>
      </c>
      <c r="AY2" s="68" t="s">
        <v>78</v>
      </c>
      <c r="AZ2" s="69" t="s">
        <v>79</v>
      </c>
      <c r="BA2" s="6" t="s">
        <v>82</v>
      </c>
      <c r="BB2" s="6" t="s">
        <v>83</v>
      </c>
      <c r="BC2" s="6" t="s">
        <v>83</v>
      </c>
      <c r="BD2" s="6" t="s">
        <v>84</v>
      </c>
      <c r="BE2" s="6" t="s">
        <v>85</v>
      </c>
      <c r="BF2" s="6" t="s">
        <v>86</v>
      </c>
      <c r="BG2" s="6" t="s">
        <v>80</v>
      </c>
      <c r="BH2" s="6" t="s">
        <v>87</v>
      </c>
      <c r="BI2" s="6" t="s">
        <v>88</v>
      </c>
      <c r="BJ2" s="6" t="s">
        <v>89</v>
      </c>
      <c r="BK2" s="7" t="s">
        <v>90</v>
      </c>
      <c r="BL2" s="8" t="s">
        <v>91</v>
      </c>
      <c r="BM2" s="7" t="s">
        <v>50</v>
      </c>
      <c r="BN2" s="7" t="s">
        <v>51</v>
      </c>
      <c r="BO2" s="8" t="s">
        <v>97</v>
      </c>
      <c r="BP2" s="8" t="s">
        <v>93</v>
      </c>
      <c r="BQ2" s="8" t="s">
        <v>94</v>
      </c>
      <c r="BR2" s="8" t="s">
        <v>95</v>
      </c>
      <c r="BS2" s="9" t="s">
        <v>96</v>
      </c>
      <c r="BT2" s="68" t="s">
        <v>78</v>
      </c>
      <c r="BU2" s="69" t="s">
        <v>79</v>
      </c>
      <c r="BV2" s="6" t="s">
        <v>82</v>
      </c>
      <c r="BW2" s="6" t="s">
        <v>83</v>
      </c>
      <c r="BX2" s="6" t="s">
        <v>83</v>
      </c>
      <c r="BY2" s="6" t="s">
        <v>84</v>
      </c>
      <c r="BZ2" s="6" t="s">
        <v>85</v>
      </c>
      <c r="CA2" s="6" t="s">
        <v>86</v>
      </c>
      <c r="CB2" s="6" t="s">
        <v>80</v>
      </c>
      <c r="CC2" s="6" t="s">
        <v>87</v>
      </c>
      <c r="CD2" s="6" t="s">
        <v>88</v>
      </c>
      <c r="CE2" s="6" t="s">
        <v>89</v>
      </c>
      <c r="CF2" s="7" t="s">
        <v>90</v>
      </c>
      <c r="CG2" s="8" t="s">
        <v>91</v>
      </c>
      <c r="CH2" s="7" t="s">
        <v>50</v>
      </c>
      <c r="CI2" s="7" t="s">
        <v>51</v>
      </c>
      <c r="CJ2" s="8" t="s">
        <v>97</v>
      </c>
      <c r="CK2" s="8" t="s">
        <v>93</v>
      </c>
      <c r="CL2" s="8" t="s">
        <v>94</v>
      </c>
      <c r="CM2" s="8" t="s">
        <v>95</v>
      </c>
      <c r="CN2" s="9" t="s">
        <v>96</v>
      </c>
      <c r="CO2" s="68" t="s">
        <v>78</v>
      </c>
      <c r="CP2" s="69" t="s">
        <v>79</v>
      </c>
      <c r="CQ2" s="6" t="s">
        <v>82</v>
      </c>
      <c r="CR2" s="6" t="s">
        <v>83</v>
      </c>
      <c r="CS2" s="6" t="s">
        <v>83</v>
      </c>
      <c r="CT2" s="6" t="s">
        <v>84</v>
      </c>
      <c r="CU2" s="6" t="s">
        <v>85</v>
      </c>
      <c r="CV2" s="6" t="s">
        <v>86</v>
      </c>
      <c r="CW2" s="6" t="s">
        <v>80</v>
      </c>
      <c r="CX2" s="6" t="s">
        <v>87</v>
      </c>
      <c r="CY2" s="6" t="s">
        <v>88</v>
      </c>
      <c r="CZ2" s="6" t="s">
        <v>89</v>
      </c>
      <c r="DA2" s="7" t="s">
        <v>90</v>
      </c>
      <c r="DB2" s="8" t="s">
        <v>91</v>
      </c>
      <c r="DC2" s="7" t="s">
        <v>50</v>
      </c>
      <c r="DD2" s="7" t="s">
        <v>51</v>
      </c>
      <c r="DE2" s="8" t="s">
        <v>97</v>
      </c>
      <c r="DF2" s="8" t="s">
        <v>93</v>
      </c>
      <c r="DG2" s="8" t="s">
        <v>94</v>
      </c>
      <c r="DH2" s="8" t="s">
        <v>95</v>
      </c>
      <c r="DI2" s="9" t="s">
        <v>96</v>
      </c>
      <c r="DJ2" s="68" t="s">
        <v>78</v>
      </c>
      <c r="DK2" s="69" t="s">
        <v>79</v>
      </c>
      <c r="DL2" s="6" t="s">
        <v>82</v>
      </c>
      <c r="DM2" s="6" t="s">
        <v>83</v>
      </c>
      <c r="DN2" s="6" t="s">
        <v>83</v>
      </c>
      <c r="DO2" s="6" t="s">
        <v>84</v>
      </c>
      <c r="DP2" s="6" t="s">
        <v>85</v>
      </c>
      <c r="DQ2" s="6" t="s">
        <v>86</v>
      </c>
      <c r="DR2" s="6" t="s">
        <v>80</v>
      </c>
      <c r="DS2" s="6" t="s">
        <v>87</v>
      </c>
      <c r="DT2" s="6" t="s">
        <v>88</v>
      </c>
      <c r="DU2" s="6" t="s">
        <v>89</v>
      </c>
      <c r="DV2" s="7" t="s">
        <v>90</v>
      </c>
      <c r="DW2" s="8" t="s">
        <v>91</v>
      </c>
      <c r="DX2" s="7" t="s">
        <v>50</v>
      </c>
      <c r="DY2" s="7" t="s">
        <v>51</v>
      </c>
      <c r="DZ2" s="8" t="s">
        <v>97</v>
      </c>
      <c r="EA2" s="8" t="s">
        <v>93</v>
      </c>
      <c r="EB2" s="8" t="s">
        <v>94</v>
      </c>
      <c r="EC2" s="8" t="s">
        <v>95</v>
      </c>
      <c r="ED2" s="9" t="s">
        <v>96</v>
      </c>
      <c r="EE2" s="68" t="s">
        <v>78</v>
      </c>
      <c r="EF2" s="69" t="s">
        <v>79</v>
      </c>
      <c r="EG2" s="6" t="s">
        <v>82</v>
      </c>
      <c r="EH2" s="6" t="s">
        <v>83</v>
      </c>
      <c r="EI2" s="6" t="s">
        <v>83</v>
      </c>
      <c r="EJ2" s="6" t="s">
        <v>84</v>
      </c>
      <c r="EK2" s="6" t="s">
        <v>85</v>
      </c>
      <c r="EL2" s="6" t="s">
        <v>86</v>
      </c>
      <c r="EM2" s="6" t="s">
        <v>80</v>
      </c>
      <c r="EN2" s="6" t="s">
        <v>87</v>
      </c>
      <c r="EO2" s="6" t="s">
        <v>88</v>
      </c>
      <c r="EP2" s="6" t="s">
        <v>89</v>
      </c>
      <c r="EQ2" s="7" t="s">
        <v>90</v>
      </c>
      <c r="ER2" s="8" t="s">
        <v>91</v>
      </c>
      <c r="ES2" s="7" t="s">
        <v>50</v>
      </c>
      <c r="ET2" s="7" t="s">
        <v>51</v>
      </c>
      <c r="EU2" s="8" t="s">
        <v>97</v>
      </c>
      <c r="EV2" s="8" t="s">
        <v>93</v>
      </c>
      <c r="EW2" s="8" t="s">
        <v>94</v>
      </c>
      <c r="EX2" s="8" t="s">
        <v>95</v>
      </c>
      <c r="EY2" s="9" t="s">
        <v>96</v>
      </c>
      <c r="EZ2" s="68" t="s">
        <v>78</v>
      </c>
      <c r="FA2" s="69" t="s">
        <v>79</v>
      </c>
      <c r="FB2" s="6" t="s">
        <v>82</v>
      </c>
      <c r="FC2" s="6" t="s">
        <v>83</v>
      </c>
      <c r="FD2" s="6" t="s">
        <v>83</v>
      </c>
      <c r="FE2" s="6" t="s">
        <v>84</v>
      </c>
      <c r="FF2" s="6" t="s">
        <v>85</v>
      </c>
      <c r="FG2" s="6" t="s">
        <v>86</v>
      </c>
      <c r="FH2" s="6" t="s">
        <v>80</v>
      </c>
      <c r="FI2" s="6" t="s">
        <v>87</v>
      </c>
      <c r="FJ2" s="6" t="s">
        <v>88</v>
      </c>
      <c r="FK2" s="6" t="s">
        <v>89</v>
      </c>
      <c r="FL2" s="7" t="s">
        <v>90</v>
      </c>
      <c r="FM2" s="8" t="s">
        <v>91</v>
      </c>
      <c r="FN2" s="7" t="s">
        <v>50</v>
      </c>
      <c r="FO2" s="7" t="s">
        <v>51</v>
      </c>
      <c r="FP2" s="8" t="s">
        <v>98</v>
      </c>
      <c r="FQ2" s="8" t="s">
        <v>93</v>
      </c>
      <c r="FR2" s="8" t="s">
        <v>94</v>
      </c>
      <c r="FS2" s="8" t="s">
        <v>95</v>
      </c>
      <c r="FT2" s="9" t="s">
        <v>96</v>
      </c>
      <c r="FU2" s="68" t="s">
        <v>78</v>
      </c>
      <c r="FV2" s="69" t="s">
        <v>79</v>
      </c>
      <c r="FW2" s="6" t="s">
        <v>82</v>
      </c>
      <c r="FX2" s="6" t="s">
        <v>83</v>
      </c>
      <c r="FY2" s="6" t="s">
        <v>83</v>
      </c>
      <c r="FZ2" s="6" t="s">
        <v>84</v>
      </c>
      <c r="GA2" s="6" t="s">
        <v>85</v>
      </c>
      <c r="GB2" s="6" t="s">
        <v>86</v>
      </c>
      <c r="GC2" s="6" t="s">
        <v>80</v>
      </c>
      <c r="GD2" s="6" t="s">
        <v>87</v>
      </c>
      <c r="GE2" s="6" t="s">
        <v>88</v>
      </c>
      <c r="GF2" s="6" t="s">
        <v>89</v>
      </c>
      <c r="GG2" s="7" t="s">
        <v>90</v>
      </c>
      <c r="GH2" s="8" t="s">
        <v>91</v>
      </c>
      <c r="GI2" s="7" t="s">
        <v>50</v>
      </c>
      <c r="GJ2" s="7" t="s">
        <v>51</v>
      </c>
      <c r="GK2" s="8" t="s">
        <v>97</v>
      </c>
      <c r="GL2" s="8" t="s">
        <v>93</v>
      </c>
      <c r="GM2" s="8" t="s">
        <v>94</v>
      </c>
      <c r="GN2" s="8" t="s">
        <v>95</v>
      </c>
      <c r="GO2" s="8" t="s">
        <v>96</v>
      </c>
      <c r="GP2" s="68" t="s">
        <v>78</v>
      </c>
      <c r="GQ2" s="69" t="s">
        <v>79</v>
      </c>
      <c r="GR2" s="6" t="s">
        <v>82</v>
      </c>
      <c r="GS2" s="6" t="s">
        <v>83</v>
      </c>
      <c r="GT2" s="6" t="s">
        <v>83</v>
      </c>
      <c r="GU2" s="6" t="s">
        <v>84</v>
      </c>
      <c r="GV2" s="6" t="s">
        <v>85</v>
      </c>
      <c r="GW2" s="6" t="s">
        <v>86</v>
      </c>
      <c r="GX2" s="6" t="s">
        <v>80</v>
      </c>
      <c r="GY2" s="6" t="s">
        <v>87</v>
      </c>
      <c r="GZ2" s="6" t="s">
        <v>88</v>
      </c>
      <c r="HA2" s="6" t="s">
        <v>89</v>
      </c>
      <c r="HB2" s="7" t="s">
        <v>90</v>
      </c>
      <c r="HC2" s="8" t="s">
        <v>91</v>
      </c>
      <c r="HD2" s="7" t="s">
        <v>50</v>
      </c>
      <c r="HE2" s="7" t="s">
        <v>51</v>
      </c>
      <c r="HF2" s="8" t="s">
        <v>97</v>
      </c>
      <c r="HG2" s="8" t="s">
        <v>93</v>
      </c>
      <c r="HH2" s="8" t="s">
        <v>94</v>
      </c>
      <c r="HI2" s="8" t="s">
        <v>95</v>
      </c>
      <c r="HJ2" s="9" t="s">
        <v>96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244.06766379043052</v>
      </c>
      <c r="T3" s="59">
        <f>IF('Données projet'!E9&gt;30,$R$33-$H$33,LOOKUP('Données projet'!$E$9,$A$3:$A$203,R3:R203)-LOOKUP('Données projet'!$E$9,$A$3:$A$203,$H$3:$H$203))</f>
        <v>300.17085261974006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260.68055529826694</v>
      </c>
      <c r="AO3" s="59">
        <f>IF('Données projet'!E10&gt;30,$AM$33-$H$33,LOOKUP('Données projet'!$E$10,$A$3:$A$203,AM3:AM203)-LOOKUP('Données projet'!$E$10,$A$3:$A$203,$H$3:$H$203))</f>
        <v>119.74772096645967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258.08783604613262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259.99809744566926</v>
      </c>
      <c r="S4" s="59">
        <f ca="1">AVERAGE(OFFSET($R$3,0,0,'Données projet'!$E$9+1,1))-AVERAGE(OFFSET($H$3,0,0,'Données projet'!$E$9+1,1))</f>
        <v>244.06766379043052</v>
      </c>
      <c r="T4" s="59">
        <f>$T$3</f>
        <v>300.17085261974006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1.2</v>
      </c>
      <c r="AI4" s="13">
        <f>IF('Données projet'!$A$62&gt;35,AI3+AH4-AQ3,IF(A4&lt;'Données projet'!$A$62,$AF$205^A4,IF(A4='Données projet'!$A$62,'Données projet'!$B$62,AI3+AH4-AQ3)))</f>
        <v>1.1457367676485573</v>
      </c>
      <c r="AJ4" s="13">
        <f>AI4*VLOOKUP('Données projet'!$B$10,Paramètres!$A$1:$I$89,3,0)*VLOOKUP('Données projet'!$B$10,Paramètres!$A$1:$I$89,5,0)</f>
        <v>1.1439035888203195</v>
      </c>
      <c r="AK4" s="13">
        <f>EXP(-1.0587+0.8836*LN(AJ4)+0.284)</f>
        <v>0.51897323267251172</v>
      </c>
      <c r="AL4" s="20">
        <f t="shared" ref="AL4:AL67" si="4">(AJ4+AK4)*0.475*44/12</f>
        <v>2.8961771307666808</v>
      </c>
      <c r="AM4" s="59">
        <f t="shared" ref="AM4:AM67" si="5">AL4+(AD4+AE4)*44/12</f>
        <v>260.78506601965552</v>
      </c>
      <c r="AN4" s="59">
        <f ca="1">AVERAGE(OFFSET($AM$3,0,0,'Données projet'!$E$10+1,1))-AVERAGE(OFFSET($H$3,0,0,'Données projet'!$E$10+1,1))</f>
        <v>260.68055529826694</v>
      </c>
      <c r="AO4" s="59">
        <f>$AO$3</f>
        <v>119.74772096645967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259.43610890414124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261.98011797848278</v>
      </c>
      <c r="S5" s="59">
        <f ca="1">AVERAGE(OFFSET($R$3,0,0,'Données projet'!$E$9+1,1))-AVERAGE(OFFSET($H$3,0,0,'Données projet'!$E$9+1,1))</f>
        <v>244.06766379043052</v>
      </c>
      <c r="T5" s="59">
        <f t="shared" ref="T5:T68" si="34">$T$3</f>
        <v>300.17085261974006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1.2</v>
      </c>
      <c r="AI5" s="13">
        <f>IF('Données projet'!$A$62&gt;35,AI4+AH5-AQ4,IF(A5&lt;'Données projet'!$A$62,$AF$205^A5,IF(A5='Données projet'!$A$62,'Données projet'!$B$62,AI4+AH5-AQ4)))</f>
        <v>1.312712740741764</v>
      </c>
      <c r="AJ5" s="13">
        <f>AI5*VLOOKUP('Données projet'!$B$10,Paramètres!$A$1:$I$89,3,0)*VLOOKUP('Données projet'!$B$10,Paramètres!$A$1:$I$89,5,0)</f>
        <v>1.3106124003565773</v>
      </c>
      <c r="AK5" s="13">
        <f t="shared" ref="AK5:AK68" si="35">EXP(-1.0587+0.8836*LN(AJ5)+0.284)</f>
        <v>0.58526470219735627</v>
      </c>
      <c r="AL5" s="20">
        <f t="shared" si="4"/>
        <v>3.3019859536147678</v>
      </c>
      <c r="AM5" s="59">
        <f t="shared" si="5"/>
        <v>262.41309706472589</v>
      </c>
      <c r="AN5" s="59">
        <f ca="1">AVERAGE(OFFSET($AM$3,0,0,'Données projet'!$E$10+1,1))-AVERAGE(OFFSET($H$3,0,0,'Données projet'!$E$10+1,1))</f>
        <v>260.68055529826694</v>
      </c>
      <c r="AO5" s="59">
        <f t="shared" ref="AO5:AO68" si="36">$AO$3</f>
        <v>119.74772096645967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260.7608398448956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264.23699878106424</v>
      </c>
      <c r="S6" s="59">
        <f ca="1">AVERAGE(OFFSET($R$3,0,0,'Données projet'!$E$9+1,1))-AVERAGE(OFFSET($H$3,0,0,'Données projet'!$E$9+1,1))</f>
        <v>244.06766379043052</v>
      </c>
      <c r="T6" s="59">
        <f t="shared" si="34"/>
        <v>300.17085261974006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1.2</v>
      </c>
      <c r="AI6" s="13">
        <f>IF('Données projet'!$A$62&gt;35,AI5+AH6-AQ5,IF(A6&lt;'Données projet'!$A$62,$AF$205^A6,IF(A6='Données projet'!$A$62,'Données projet'!$B$62,AI5+AH6-AQ5)))</f>
        <v>1.5040232524285473</v>
      </c>
      <c r="AJ6" s="13">
        <f>AI6*VLOOKUP('Données projet'!$B$10,Paramètres!$A$1:$I$89,3,0)*VLOOKUP('Données projet'!$B$10,Paramètres!$A$1:$I$89,5,0)</f>
        <v>1.5016168152246616</v>
      </c>
      <c r="AK6" s="13">
        <f t="shared" si="35"/>
        <v>0.66002396669716124</v>
      </c>
      <c r="AL6" s="20">
        <f t="shared" si="4"/>
        <v>3.7648576951805075</v>
      </c>
      <c r="AM6" s="59">
        <f t="shared" si="5"/>
        <v>264.09819102851384</v>
      </c>
      <c r="AN6" s="59">
        <f ca="1">AVERAGE(OFFSET($AM$3,0,0,'Données projet'!$E$10+1,1))-AVERAGE(OFFSET($H$3,0,0,'Données projet'!$E$10+1,1))</f>
        <v>260.68055529826694</v>
      </c>
      <c r="AO6" s="59">
        <f t="shared" si="36"/>
        <v>119.74772096645967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262.07105900009446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266.86856648139224</v>
      </c>
      <c r="S7" s="59">
        <f ca="1">AVERAGE(OFFSET($R$3,0,0,'Données projet'!$E$9+1,1))-AVERAGE(OFFSET($H$3,0,0,'Données projet'!$E$9+1,1))</f>
        <v>244.06766379043052</v>
      </c>
      <c r="T7" s="59">
        <f t="shared" si="34"/>
        <v>300.17085261974006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1.2</v>
      </c>
      <c r="AI7" s="13">
        <f>IF('Données projet'!$A$62&gt;35,AI6+AH7-AQ6,IF(A7&lt;'Données projet'!$A$62,$AF$205^A7,IF(A7='Données projet'!$A$62,'Données projet'!$B$62,AI6+AH7-AQ6)))</f>
        <v>1.7232147397057538</v>
      </c>
      <c r="AJ7" s="13">
        <f>AI7*VLOOKUP('Données projet'!$B$10,Paramètres!$A$1:$I$89,3,0)*VLOOKUP('Données projet'!$B$10,Paramètres!$A$1:$I$89,5,0)</f>
        <v>1.7204575961222248</v>
      </c>
      <c r="AK7" s="13">
        <f t="shared" si="35"/>
        <v>0.74433266687550348</v>
      </c>
      <c r="AL7" s="20">
        <f t="shared" si="4"/>
        <v>4.2928430413877097</v>
      </c>
      <c r="AM7" s="59">
        <f t="shared" si="5"/>
        <v>265.84839859694324</v>
      </c>
      <c r="AN7" s="59">
        <f ca="1">AVERAGE(OFFSET($AM$3,0,0,'Données projet'!$E$10+1,1))-AVERAGE(OFFSET($H$3,0,0,'Données projet'!$E$10+1,1))</f>
        <v>260.68055529826694</v>
      </c>
      <c r="AO7" s="59">
        <f t="shared" si="36"/>
        <v>119.74772096645967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263.37085912145096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270.01103769668663</v>
      </c>
      <c r="S8" s="59">
        <f ca="1">AVERAGE(OFFSET($R$3,0,0,'Données projet'!$E$9+1,1))-AVERAGE(OFFSET($H$3,0,0,'Données projet'!$E$9+1,1))</f>
        <v>244.06766379043052</v>
      </c>
      <c r="T8" s="59">
        <f t="shared" si="34"/>
        <v>300.17085261974006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1.2</v>
      </c>
      <c r="AI8" s="13">
        <f>IF('Données projet'!$A$62&gt;35,AI7+AH8-AQ7,IF(A8&lt;'Données projet'!$A$62,$AF$205^A8,IF(A8='Données projet'!$A$62,'Données projet'!$B$62,AI7+AH8-AQ7)))</f>
        <v>1.9743504858348202</v>
      </c>
      <c r="AJ8" s="13">
        <f>AI8*VLOOKUP('Données projet'!$B$10,Paramètres!$A$1:$I$89,3,0)*VLOOKUP('Données projet'!$B$10,Paramètres!$A$1:$I$89,5,0)</f>
        <v>1.9711915250574847</v>
      </c>
      <c r="AK8" s="13">
        <f t="shared" si="35"/>
        <v>0.83941060769419773</v>
      </c>
      <c r="AL8" s="20">
        <f t="shared" si="4"/>
        <v>4.8951320478758467</v>
      </c>
      <c r="AM8" s="59">
        <f t="shared" si="5"/>
        <v>267.67290982565362</v>
      </c>
      <c r="AN8" s="59">
        <f ca="1">AVERAGE(OFFSET($AM$3,0,0,'Données projet'!$E$10+1,1))-AVERAGE(OFFSET($H$3,0,0,'Données projet'!$E$10+1,1))</f>
        <v>260.68055529826694</v>
      </c>
      <c r="AO8" s="59">
        <f t="shared" si="36"/>
        <v>119.74772096645967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264.66257488541947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273.85032959063091</v>
      </c>
      <c r="S9" s="59">
        <f ca="1">AVERAGE(OFFSET($R$3,0,0,'Données projet'!$E$9+1,1))-AVERAGE(OFFSET($H$3,0,0,'Données projet'!$E$9+1,1))</f>
        <v>244.06766379043052</v>
      </c>
      <c r="T9" s="59">
        <f t="shared" si="34"/>
        <v>300.17085261974006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1.2</v>
      </c>
      <c r="AI9" s="13">
        <f>IF('Données projet'!$A$62&gt;35,AI8+AH9-AQ8,IF(A9&lt;'Données projet'!$A$62,$AF$205^A9,IF(A9='Données projet'!$A$62,'Données projet'!$B$62,AI8+AH9-AQ8)))</f>
        <v>2.2620859438457455</v>
      </c>
      <c r="AJ9" s="13">
        <f>AI9*VLOOKUP('Données projet'!$B$10,Paramètres!$A$1:$I$89,3,0)*VLOOKUP('Données projet'!$B$10,Paramètres!$A$1:$I$89,5,0)</f>
        <v>2.2584666063355923</v>
      </c>
      <c r="AK9" s="13">
        <f t="shared" si="35"/>
        <v>0.94663340689761111</v>
      </c>
      <c r="AL9" s="20">
        <f t="shared" si="4"/>
        <v>5.5822158563811621</v>
      </c>
      <c r="AM9" s="59">
        <f t="shared" si="5"/>
        <v>269.58221585638114</v>
      </c>
      <c r="AN9" s="59">
        <f ca="1">AVERAGE(OFFSET($AM$3,0,0,'Données projet'!$E$10+1,1))-AVERAGE(OFFSET($H$3,0,0,'Données projet'!$E$10+1,1))</f>
        <v>260.68055529826694</v>
      </c>
      <c r="AO9" s="59">
        <f t="shared" si="36"/>
        <v>119.74772096645967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265.94771136763848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278.64025433432425</v>
      </c>
      <c r="S10" s="59">
        <f ca="1">AVERAGE(OFFSET($R$3,0,0,'Données projet'!$E$9+1,1))-AVERAGE(OFFSET($H$3,0,0,'Données projet'!$E$9+1,1))</f>
        <v>244.06766379043052</v>
      </c>
      <c r="T10" s="59">
        <f t="shared" si="34"/>
        <v>300.17085261974006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1.2</v>
      </c>
      <c r="AI10" s="13">
        <f>IF('Données projet'!$A$62&gt;35,AI9+AH10-AQ9,IF(A10&lt;'Données projet'!$A$62,$AF$205^A10,IF(A10='Données projet'!$A$62,'Données projet'!$B$62,AI9+AH10-AQ9)))</f>
        <v>2.5917550374450604</v>
      </c>
      <c r="AJ10" s="13">
        <f>AI10*VLOOKUP('Données projet'!$B$10,Paramètres!$A$1:$I$89,3,0)*VLOOKUP('Données projet'!$B$10,Paramètres!$A$1:$I$89,5,0)</f>
        <v>2.5876082293851481</v>
      </c>
      <c r="AK10" s="13">
        <f t="shared" si="35"/>
        <v>1.0675523978856341</v>
      </c>
      <c r="AL10" s="20">
        <f t="shared" si="4"/>
        <v>6.3660714258299462</v>
      </c>
      <c r="AM10" s="59">
        <f t="shared" si="5"/>
        <v>271.58829364805217</v>
      </c>
      <c r="AN10" s="59">
        <f ca="1">AVERAGE(OFFSET($AM$3,0,0,'Données projet'!$E$10+1,1))-AVERAGE(OFFSET($H$3,0,0,'Données projet'!$E$10+1,1))</f>
        <v>260.68055529826694</v>
      </c>
      <c r="AO10" s="59">
        <f t="shared" si="36"/>
        <v>119.74772096645967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267.22731691271065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284.72739458078087</v>
      </c>
      <c r="S11" s="59">
        <f ca="1">AVERAGE(OFFSET($R$3,0,0,'Données projet'!$E$9+1,1))-AVERAGE(OFFSET($H$3,0,0,'Données projet'!$E$9+1,1))</f>
        <v>244.06766379043052</v>
      </c>
      <c r="T11" s="59">
        <f t="shared" si="34"/>
        <v>300.17085261974006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1.2</v>
      </c>
      <c r="AI11" s="13">
        <f>IF('Données projet'!$A$62&gt;35,AI10+AH11-AQ10,IF(A11&lt;'Données projet'!$A$62,$AF$205^A11,IF(A11='Données projet'!$A$62,'Données projet'!$B$62,AI10+AH11-AQ10)))</f>
        <v>2.9694690391391689</v>
      </c>
      <c r="AJ11" s="13">
        <f>AI11*VLOOKUP('Données projet'!$B$10,Paramètres!$A$1:$I$89,3,0)*VLOOKUP('Données projet'!$B$10,Paramètres!$A$1:$I$89,5,0)</f>
        <v>2.9647178886765464</v>
      </c>
      <c r="AK11" s="13">
        <f t="shared" si="35"/>
        <v>1.2039170748963808</v>
      </c>
      <c r="AL11" s="20">
        <f t="shared" si="4"/>
        <v>7.2603725615561814</v>
      </c>
      <c r="AM11" s="59">
        <f t="shared" si="5"/>
        <v>273.70481700600067</v>
      </c>
      <c r="AN11" s="59">
        <f ca="1">AVERAGE(OFFSET($AM$3,0,0,'Données projet'!$E$10+1,1))-AVERAGE(OFFSET($H$3,0,0,'Données projet'!$E$10+1,1))</f>
        <v>260.68055529826694</v>
      </c>
      <c r="AO11" s="59">
        <f t="shared" si="36"/>
        <v>119.74772096645967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268.5021620672548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292.58512004687776</v>
      </c>
      <c r="S12" s="59">
        <f ca="1">AVERAGE(OFFSET($R$3,0,0,'Données projet'!$E$9+1,1))-AVERAGE(OFFSET($H$3,0,0,'Données projet'!$E$9+1,1))</f>
        <v>244.06766379043052</v>
      </c>
      <c r="T12" s="59">
        <f t="shared" si="34"/>
        <v>300.17085261974006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1.2</v>
      </c>
      <c r="AI12" s="13">
        <f>IF('Données projet'!$A$62&gt;35,AI11+AH12-AQ11,IF(A12&lt;'Données projet'!$A$62,$AF$205^A12,IF(A12='Données projet'!$A$62,'Données projet'!$B$62,AI11+AH12-AQ11)))</f>
        <v>3.4022298585357786</v>
      </c>
      <c r="AJ12" s="13">
        <f>AI12*VLOOKUP('Données projet'!$B$10,Paramètres!$A$1:$I$89,3,0)*VLOOKUP('Données projet'!$B$10,Paramètres!$A$1:$I$89,5,0)</f>
        <v>3.396786290762122</v>
      </c>
      <c r="AK12" s="13">
        <f t="shared" si="35"/>
        <v>1.3577004052426216</v>
      </c>
      <c r="AL12" s="20">
        <f t="shared" si="4"/>
        <v>8.2807309955415942</v>
      </c>
      <c r="AM12" s="59">
        <f t="shared" si="5"/>
        <v>275.94739766220829</v>
      </c>
      <c r="AN12" s="59">
        <f ca="1">AVERAGE(OFFSET($AM$3,0,0,'Données projet'!$E$10+1,1))-AVERAGE(OFFSET($H$3,0,0,'Données projet'!$E$10+1,1))</f>
        <v>260.68055529826694</v>
      </c>
      <c r="AO12" s="59">
        <f t="shared" si="36"/>
        <v>119.74772096645967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269.77283609992622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302.8601134366956</v>
      </c>
      <c r="S13" s="59">
        <f ca="1">AVERAGE(OFFSET($R$3,0,0,'Données projet'!$E$9+1,1))-AVERAGE(OFFSET($H$3,0,0,'Données projet'!$E$9+1,1))</f>
        <v>244.06766379043052</v>
      </c>
      <c r="T13" s="59">
        <f t="shared" si="34"/>
        <v>300.17085261974006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1.2</v>
      </c>
      <c r="AI13" s="13">
        <f>IF('Données projet'!$A$62&gt;35,AI12+AH13-AQ12,IF(A13&lt;'Données projet'!$A$62,$AF$205^A13,IF(A13='Données projet'!$A$62,'Données projet'!$B$62,AI12+AH13-AQ12)))</f>
        <v>3.8980598409161908</v>
      </c>
      <c r="AJ13" s="13">
        <f>AI13*VLOOKUP('Données projet'!$B$10,Paramètres!$A$1:$I$89,3,0)*VLOOKUP('Données projet'!$B$10,Paramètres!$A$1:$I$89,5,0)</f>
        <v>3.8918229451707251</v>
      </c>
      <c r="AK13" s="13">
        <f t="shared" si="35"/>
        <v>1.5311273748274004</v>
      </c>
      <c r="AL13" s="20">
        <f t="shared" si="4"/>
        <v>9.4449718073300684</v>
      </c>
      <c r="AM13" s="59">
        <f t="shared" si="5"/>
        <v>278.33386069621895</v>
      </c>
      <c r="AN13" s="59">
        <f ca="1">AVERAGE(OFFSET($AM$3,0,0,'Données projet'!$E$10+1,1))-AVERAGE(OFFSET($H$3,0,0,'Données projet'!$E$10+1,1))</f>
        <v>260.68055529826694</v>
      </c>
      <c r="AO13" s="59">
        <f t="shared" si="36"/>
        <v>119.74772096645967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271.03980360576855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316.43601807869635</v>
      </c>
      <c r="S14" s="59">
        <f ca="1">AVERAGE(OFFSET($R$3,0,0,'Données projet'!$E$9+1,1))-AVERAGE(OFFSET($H$3,0,0,'Données projet'!$E$9+1,1))</f>
        <v>244.06766379043052</v>
      </c>
      <c r="T14" s="59">
        <f t="shared" si="34"/>
        <v>300.17085261974006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1.2</v>
      </c>
      <c r="AI14" s="13">
        <f>IF('Données projet'!$A$62&gt;35,AI13+AH14-AQ13,IF(A14&lt;'Données projet'!$A$62,$AF$205^A14,IF(A14='Données projet'!$A$62,'Données projet'!$B$62,AI13+AH14-AQ13)))</f>
        <v>4.4661504822319662</v>
      </c>
      <c r="AJ14" s="13">
        <f>AI14*VLOOKUP('Données projet'!$B$10,Paramètres!$A$1:$I$89,3,0)*VLOOKUP('Données projet'!$B$10,Paramètres!$A$1:$I$89,5,0)</f>
        <v>4.4590046414603952</v>
      </c>
      <c r="AK14" s="13">
        <f t="shared" si="35"/>
        <v>1.7267071799443934</v>
      </c>
      <c r="AL14" s="20">
        <f t="shared" si="4"/>
        <v>10.773448088946672</v>
      </c>
      <c r="AM14" s="59">
        <f t="shared" si="5"/>
        <v>280.88455920005782</v>
      </c>
      <c r="AN14" s="59">
        <f ca="1">AVERAGE(OFFSET($AM$3,0,0,'Données projet'!$E$10+1,1))-AVERAGE(OFFSET($H$3,0,0,'Données projet'!$E$10+1,1))</f>
        <v>260.68055529826694</v>
      </c>
      <c r="AO14" s="59">
        <f t="shared" si="36"/>
        <v>119.74772096645967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272.30343986297339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334.52052435324754</v>
      </c>
      <c r="S15" s="59">
        <f ca="1">AVERAGE(OFFSET($R$3,0,0,'Données projet'!$E$9+1,1))-AVERAGE(OFFSET($H$3,0,0,'Données projet'!$E$9+1,1))</f>
        <v>244.06766379043052</v>
      </c>
      <c r="T15" s="59">
        <f t="shared" si="34"/>
        <v>300.17085261974006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1.2</v>
      </c>
      <c r="AI15" s="13">
        <f>IF('Données projet'!$A$62&gt;35,AI14+AH15-AQ14,IF(A15&lt;'Données projet'!$A$62,$AF$205^A15,IF(A15='Données projet'!$A$62,'Données projet'!$B$62,AI14+AH15-AQ14)))</f>
        <v>5.1170328173444979</v>
      </c>
      <c r="AJ15" s="13">
        <f>AI15*VLOOKUP('Données projet'!$B$10,Paramètres!$A$1:$I$89,3,0)*VLOOKUP('Données projet'!$B$10,Paramètres!$A$1:$I$89,5,0)</f>
        <v>5.1088455648367468</v>
      </c>
      <c r="AK15" s="13">
        <f t="shared" si="35"/>
        <v>1.9472695311241608</v>
      </c>
      <c r="AL15" s="20">
        <f t="shared" si="4"/>
        <v>12.289400458798582</v>
      </c>
      <c r="AM15" s="59">
        <f t="shared" si="5"/>
        <v>283.6227337921319</v>
      </c>
      <c r="AN15" s="59">
        <f ca="1">AVERAGE(OFFSET($AM$3,0,0,'Données projet'!$E$10+1,1))-AVERAGE(OFFSET($H$3,0,0,'Données projet'!$E$10+1,1))</f>
        <v>260.68055529826694</v>
      </c>
      <c r="AO15" s="59">
        <f t="shared" si="36"/>
        <v>119.74772096645967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273.56405403670931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356.04445503109582</v>
      </c>
      <c r="S16" s="59">
        <f ca="1">AVERAGE(OFFSET($R$3,0,0,'Données projet'!$E$9+1,1))-AVERAGE(OFFSET($H$3,0,0,'Données projet'!$E$9+1,1))</f>
        <v>244.06766379043052</v>
      </c>
      <c r="T16" s="59">
        <f t="shared" si="34"/>
        <v>300.17085261974006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1.2</v>
      </c>
      <c r="AI16" s="13">
        <f>IF('Données projet'!$A$62&gt;35,AI15+AH16-AQ15,IF(A16&lt;'Données projet'!$A$62,$AF$205^A16,IF(A16='Données projet'!$A$62,'Données projet'!$B$62,AI15+AH16-AQ15)))</f>
        <v>5.8627726400958746</v>
      </c>
      <c r="AJ16" s="13">
        <f>AI16*VLOOKUP('Données projet'!$B$10,Paramètres!$A$1:$I$89,3,0)*VLOOKUP('Données projet'!$B$10,Paramètres!$A$1:$I$89,5,0)</f>
        <v>5.8533922038717217</v>
      </c>
      <c r="AK16" s="13">
        <f t="shared" si="35"/>
        <v>2.1960055942818411</v>
      </c>
      <c r="AL16" s="20">
        <f t="shared" si="4"/>
        <v>14.019367831784123</v>
      </c>
      <c r="AM16" s="59">
        <f t="shared" si="5"/>
        <v>286.57492338733965</v>
      </c>
      <c r="AN16" s="59">
        <f ca="1">AVERAGE(OFFSET($AM$3,0,0,'Données projet'!$E$10+1,1))-AVERAGE(OFFSET($H$3,0,0,'Données projet'!$E$10+1,1))</f>
        <v>260.68055529826694</v>
      </c>
      <c r="AO16" s="59">
        <f t="shared" si="36"/>
        <v>119.74772096645967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274.82190502633887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377.44297344514467</v>
      </c>
      <c r="S17" s="59">
        <f ca="1">AVERAGE(OFFSET($R$3,0,0,'Données projet'!$E$9+1,1))-AVERAGE(OFFSET($H$3,0,0,'Données projet'!$E$9+1,1))</f>
        <v>244.06766379043052</v>
      </c>
      <c r="T17" s="59">
        <f t="shared" si="34"/>
        <v>300.17085261974006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1.2</v>
      </c>
      <c r="AI17" s="13">
        <f>IF('Données projet'!$A$62&gt;35,AI16+AH17-AQ16,IF(A17&lt;'Données projet'!$A$62,$AF$205^A17,IF(A17='Données projet'!$A$62,'Données projet'!$B$62,AI16+AH17-AQ16)))</f>
        <v>6.7171941741218459</v>
      </c>
      <c r="AJ17" s="13">
        <f>AI17*VLOOKUP('Données projet'!$B$10,Paramètres!$A$1:$I$89,3,0)*VLOOKUP('Données projet'!$B$10,Paramètres!$A$1:$I$89,5,0)</f>
        <v>6.7064466634432511</v>
      </c>
      <c r="AK17" s="13">
        <f t="shared" si="35"/>
        <v>2.4765141615157615</v>
      </c>
      <c r="AL17" s="20">
        <f t="shared" si="4"/>
        <v>15.993656770136946</v>
      </c>
      <c r="AM17" s="59">
        <f t="shared" si="5"/>
        <v>289.77143454791474</v>
      </c>
      <c r="AN17" s="59">
        <f ca="1">AVERAGE(OFFSET($AM$3,0,0,'Données projet'!$E$10+1,1))-AVERAGE(OFFSET($H$3,0,0,'Données projet'!$E$10+1,1))</f>
        <v>260.68055529826694</v>
      </c>
      <c r="AO17" s="59">
        <f t="shared" si="36"/>
        <v>119.74772096645967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276.07721264982155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398.74409768687553</v>
      </c>
      <c r="S18" s="59">
        <f ca="1">AVERAGE(OFFSET($R$3,0,0,'Données projet'!$E$9+1,1))-AVERAGE(OFFSET($H$3,0,0,'Données projet'!$E$9+1,1))</f>
        <v>244.06766379043052</v>
      </c>
      <c r="T18" s="59">
        <f t="shared" si="34"/>
        <v>300.17085261974006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1.2</v>
      </c>
      <c r="AI18" s="13">
        <f>IF('Données projet'!$A$62&gt;35,AI17+AH18-AQ17,IF(A18&lt;'Données projet'!$A$62,$AF$205^A18,IF(A18='Données projet'!$A$62,'Données projet'!$B$62,AI17+AH18-AQ17)))</f>
        <v>7.6961363407260848</v>
      </c>
      <c r="AJ18" s="13">
        <f>AI18*VLOOKUP('Données projet'!$B$10,Paramètres!$A$1:$I$89,3,0)*VLOOKUP('Données projet'!$B$10,Paramètres!$A$1:$I$89,5,0)</f>
        <v>7.6838225225809236</v>
      </c>
      <c r="AK18" s="13">
        <f t="shared" si="35"/>
        <v>2.7928537195707062</v>
      </c>
      <c r="AL18" s="20">
        <f t="shared" si="4"/>
        <v>18.246877788414086</v>
      </c>
      <c r="AM18" s="59">
        <f t="shared" si="5"/>
        <v>293.24687778841411</v>
      </c>
      <c r="AN18" s="59">
        <f ca="1">AVERAGE(OFFSET($AM$3,0,0,'Données projet'!$E$10+1,1))-AVERAGE(OFFSET($H$3,0,0,'Données projet'!$E$10+1,1))</f>
        <v>260.68055529826694</v>
      </c>
      <c r="AO18" s="59">
        <f t="shared" si="36"/>
        <v>119.74772096645967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277.33016575790663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419.96591496184146</v>
      </c>
      <c r="S19" s="59">
        <f ca="1">AVERAGE(OFFSET($R$3,0,0,'Données projet'!$E$9+1,1))-AVERAGE(OFFSET($H$3,0,0,'Données projet'!$E$9+1,1))</f>
        <v>244.06766379043052</v>
      </c>
      <c r="T19" s="59">
        <f t="shared" si="34"/>
        <v>300.17085261974006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1.2</v>
      </c>
      <c r="AI19" s="13">
        <f>IF('Données projet'!$A$62&gt;35,AI18+AH19-AQ18,IF(A19&lt;'Données projet'!$A$62,$AF$205^A19,IF(A19='Données projet'!$A$62,'Données projet'!$B$62,AI18+AH19-AQ18)))</f>
        <v>8.8177463744060987</v>
      </c>
      <c r="AJ19" s="13">
        <f>AI19*VLOOKUP('Données projet'!$B$10,Paramètres!$A$1:$I$89,3,0)*VLOOKUP('Données projet'!$B$10,Paramètres!$A$1:$I$89,5,0)</f>
        <v>8.8036379802070499</v>
      </c>
      <c r="AK19" s="13">
        <f t="shared" si="35"/>
        <v>3.1496011693088315</v>
      </c>
      <c r="AL19" s="20">
        <f t="shared" si="4"/>
        <v>20.818558185406825</v>
      </c>
      <c r="AM19" s="59">
        <f t="shared" si="5"/>
        <v>297.04078040762903</v>
      </c>
      <c r="AN19" s="59">
        <f ca="1">AVERAGE(OFFSET($AM$3,0,0,'Données projet'!$E$10+1,1))-AVERAGE(OFFSET($H$3,0,0,'Données projet'!$E$10+1,1))</f>
        <v>260.68055529826694</v>
      </c>
      <c r="AO19" s="59">
        <f t="shared" si="36"/>
        <v>119.74772096645967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278.58092826076489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411.01792832244439</v>
      </c>
      <c r="S20" s="59">
        <f ca="1">AVERAGE(OFFSET($R$3,0,0,'Données projet'!$E$9+1,1))-AVERAGE(OFFSET($H$3,0,0,'Données projet'!$E$9+1,1))</f>
        <v>244.06766379043052</v>
      </c>
      <c r="T20" s="59">
        <f t="shared" si="34"/>
        <v>300.17085261974006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1.2</v>
      </c>
      <c r="AI20" s="13">
        <f>IF('Données projet'!$A$62&gt;35,AI19+AH20-AQ19,IF(A20&lt;'Données projet'!$A$62,$AF$205^A20,IF(A20='Données projet'!$A$62,'Données projet'!$B$62,AI19+AH20-AQ19)))</f>
        <v>10.102816228956828</v>
      </c>
      <c r="AJ20" s="13">
        <f>AI20*VLOOKUP('Données projet'!$B$10,Paramètres!$A$1:$I$89,3,0)*VLOOKUP('Données projet'!$B$10,Paramètres!$A$1:$I$89,5,0)</f>
        <v>10.086651722990498</v>
      </c>
      <c r="AK20" s="13">
        <f t="shared" si="35"/>
        <v>3.5519180457601549</v>
      </c>
      <c r="AL20" s="20">
        <f t="shared" si="4"/>
        <v>23.75384234724072</v>
      </c>
      <c r="AM20" s="59">
        <f t="shared" si="5"/>
        <v>301.19828679168518</v>
      </c>
      <c r="AN20" s="59">
        <f ca="1">AVERAGE(OFFSET($AM$3,0,0,'Données projet'!$E$10+1,1))-AVERAGE(OFFSET($H$3,0,0,'Données projet'!$E$10+1,1))</f>
        <v>260.68055529826694</v>
      </c>
      <c r="AO20" s="59">
        <f t="shared" si="36"/>
        <v>119.74772096645967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279.82964369567594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434.64399698960051</v>
      </c>
      <c r="S21" s="59">
        <f ca="1">AVERAGE(OFFSET($R$3,0,0,'Données projet'!$E$9+1,1))-AVERAGE(OFFSET($H$3,0,0,'Données projet'!$E$9+1,1))</f>
        <v>244.06766379043052</v>
      </c>
      <c r="T21" s="59">
        <f t="shared" si="34"/>
        <v>300.17085261974006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1.2</v>
      </c>
      <c r="AI21" s="13">
        <f>IF('Données projet'!$A$62&gt;35,AI20+AH21-AQ20,IF(A21&lt;'Données projet'!$A$62,$AF$205^A21,IF(A21='Données projet'!$A$62,'Données projet'!$B$62,AI20+AH21-AQ20)))</f>
        <v>11.575168010312384</v>
      </c>
      <c r="AJ21" s="13">
        <f>AI21*VLOOKUP('Données projet'!$B$10,Paramètres!$A$1:$I$89,3,0)*VLOOKUP('Données projet'!$B$10,Paramètres!$A$1:$I$89,5,0)</f>
        <v>11.556647741495885</v>
      </c>
      <c r="AK21" s="13">
        <f t="shared" si="35"/>
        <v>4.0056251968452248</v>
      </c>
      <c r="AL21" s="20">
        <f t="shared" si="4"/>
        <v>27.104292034277432</v>
      </c>
      <c r="AM21" s="59">
        <f t="shared" si="5"/>
        <v>305.77095870094411</v>
      </c>
      <c r="AN21" s="59">
        <f ca="1">AVERAGE(OFFSET($AM$3,0,0,'Données projet'!$E$10+1,1))-AVERAGE(OFFSET($H$3,0,0,'Données projet'!$E$10+1,1))</f>
        <v>260.68055529826694</v>
      </c>
      <c r="AO21" s="59">
        <f t="shared" si="36"/>
        <v>119.74772096645967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281.07643875057323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458.19353556211985</v>
      </c>
      <c r="S22" s="59">
        <f ca="1">AVERAGE(OFFSET($R$3,0,0,'Données projet'!$E$9+1,1))-AVERAGE(OFFSET($H$3,0,0,'Données projet'!$E$9+1,1))</f>
        <v>244.06766379043052</v>
      </c>
      <c r="T22" s="59">
        <f t="shared" si="34"/>
        <v>300.17085261974006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1.2</v>
      </c>
      <c r="AI22" s="13">
        <f>IF('Données projet'!$A$62&gt;35,AI21+AH22-AQ21,IF(A22&lt;'Données projet'!$A$62,$AF$205^A22,IF(A22='Données projet'!$A$62,'Données projet'!$B$62,AI21+AH22-AQ21)))</f>
        <v>13.262095581124292</v>
      </c>
      <c r="AJ22" s="13">
        <f>AI22*VLOOKUP('Données projet'!$B$10,Paramètres!$A$1:$I$89,3,0)*VLOOKUP('Données projet'!$B$10,Paramètres!$A$1:$I$89,5,0)</f>
        <v>13.240876228194493</v>
      </c>
      <c r="AK22" s="13">
        <f t="shared" si="35"/>
        <v>4.5172870012454078</v>
      </c>
      <c r="AL22" s="20">
        <f t="shared" si="4"/>
        <v>30.928800957941164</v>
      </c>
      <c r="AM22" s="59">
        <f t="shared" si="5"/>
        <v>310.81768984683004</v>
      </c>
      <c r="AN22" s="59">
        <f ca="1">AVERAGE(OFFSET($AM$3,0,0,'Données projet'!$E$10+1,1))-AVERAGE(OFFSET($H$3,0,0,'Données projet'!$E$10+1,1))</f>
        <v>260.68055529826694</v>
      </c>
      <c r="AO22" s="59">
        <f t="shared" si="36"/>
        <v>119.74772096645967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282.32142602462875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481.67748546725744</v>
      </c>
      <c r="S23" s="59">
        <f ca="1">AVERAGE(OFFSET($R$3,0,0,'Données projet'!$E$9+1,1))-AVERAGE(OFFSET($H$3,0,0,'Données projet'!$E$9+1,1))</f>
        <v>244.06766379043052</v>
      </c>
      <c r="T23" s="59">
        <f t="shared" si="34"/>
        <v>300.17085261974006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5.7043561497829645</v>
      </c>
      <c r="AC23" s="22">
        <f t="shared" si="3"/>
        <v>5.7043561497829645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1.2</v>
      </c>
      <c r="AI23" s="13">
        <f>IF('Données projet'!$A$62&gt;35,AI22+AH23-AQ22,IF(A23&lt;'Données projet'!$A$62,$AF$205^A23,IF(A23='Données projet'!$A$62,'Données projet'!$B$62,AI22+AH23-AQ22)))</f>
        <v>15.194870523363559</v>
      </c>
      <c r="AJ23" s="13">
        <f>AI23*VLOOKUP('Données projet'!$B$10,Paramètres!$A$1:$I$89,3,0)*VLOOKUP('Données projet'!$B$10,Paramètres!$A$1:$I$89,5,0)</f>
        <v>15.170558730526178</v>
      </c>
      <c r="AK23" s="13">
        <f t="shared" si="35"/>
        <v>5.0943063439115894</v>
      </c>
      <c r="AL23" s="20">
        <f t="shared" si="4"/>
        <v>35.294640004645778</v>
      </c>
      <c r="AM23" s="59">
        <f t="shared" si="5"/>
        <v>316.40575111575691</v>
      </c>
      <c r="AN23" s="59">
        <f ca="1">AVERAGE(OFFSET($AM$3,0,0,'Données projet'!$E$10+1,1))-AVERAGE(OFFSET($H$3,0,0,'Données projet'!$E$10+1,1))</f>
        <v>260.68055529826694</v>
      </c>
      <c r="AO23" s="59">
        <f t="shared" si="36"/>
        <v>119.74772096645967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283.56470622103035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465.04346119832155</v>
      </c>
      <c r="S24" s="59">
        <f ca="1">AVERAGE(OFFSET($R$3,0,0,'Données projet'!$E$9+1,1))-AVERAGE(OFFSET($H$3,0,0,'Données projet'!$E$9+1,1))</f>
        <v>244.06766379043052</v>
      </c>
      <c r="T24" s="59">
        <f t="shared" si="34"/>
        <v>300.17085261974006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4.03358891581472</v>
      </c>
      <c r="AC24" s="22">
        <f t="shared" si="3"/>
        <v>4.03358891581472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1.2</v>
      </c>
      <c r="AI24" s="13">
        <f>IF('Données projet'!$A$62&gt;35,AI23+AH24-AQ23,IF(A24&lt;'Données projet'!$A$62,$AF$205^A24,IF(A24='Données projet'!$A$62,'Données projet'!$B$62,AI23+AH24-AQ23)))</f>
        <v>17.409321838276906</v>
      </c>
      <c r="AJ24" s="13">
        <f>AI24*VLOOKUP('Données projet'!$B$10,Paramètres!$A$1:$I$89,3,0)*VLOOKUP('Données projet'!$B$10,Paramètres!$A$1:$I$89,5,0)</f>
        <v>17.381466923335665</v>
      </c>
      <c r="AK24" s="13">
        <f t="shared" si="35"/>
        <v>5.7450317233469912</v>
      </c>
      <c r="AL24" s="20">
        <f t="shared" si="4"/>
        <v>40.278651809638959</v>
      </c>
      <c r="AM24" s="59">
        <f t="shared" si="5"/>
        <v>322.61198514297229</v>
      </c>
      <c r="AN24" s="59">
        <f ca="1">AVERAGE(OFFSET($AM$3,0,0,'Données projet'!$E$10+1,1))-AVERAGE(OFFSET($H$3,0,0,'Données projet'!$E$10+1,1))</f>
        <v>260.68055529826694</v>
      </c>
      <c r="AO24" s="59">
        <f t="shared" si="36"/>
        <v>119.74772096645967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284.8063699102529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492.0029492446007</v>
      </c>
      <c r="S25" s="59">
        <f ca="1">AVERAGE(OFFSET($R$3,0,0,'Données projet'!$E$9+1,1))-AVERAGE(OFFSET($H$3,0,0,'Données projet'!$E$9+1,1))</f>
        <v>244.06766379043052</v>
      </c>
      <c r="T25" s="59">
        <f t="shared" si="34"/>
        <v>300.17085261974006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2.8521780748914827</v>
      </c>
      <c r="AC25" s="22">
        <f t="shared" si="3"/>
        <v>2.8521780748914827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1.2</v>
      </c>
      <c r="AI25" s="13">
        <f>IF('Données projet'!$A$62&gt;35,AI24+AH25-AQ24,IF(A25&lt;'Données projet'!$A$62,$AF$205^A25,IF(A25='Données projet'!$A$62,'Données projet'!$B$62,AI24+AH25-AQ24)))</f>
        <v>19.946500129940819</v>
      </c>
      <c r="AJ25" s="13">
        <f>AI25*VLOOKUP('Données projet'!$B$10,Paramètres!$A$1:$I$89,3,0)*VLOOKUP('Données projet'!$B$10,Paramètres!$A$1:$I$89,5,0)</f>
        <v>19.914585729732917</v>
      </c>
      <c r="AK25" s="13">
        <f t="shared" si="35"/>
        <v>6.4788780403262072</v>
      </c>
      <c r="AL25" s="20">
        <f t="shared" si="4"/>
        <v>45.968616066186307</v>
      </c>
      <c r="AM25" s="59">
        <f t="shared" si="5"/>
        <v>329.52417162174186</v>
      </c>
      <c r="AN25" s="59">
        <f ca="1">AVERAGE(OFFSET($AM$3,0,0,'Données projet'!$E$10+1,1))-AVERAGE(OFFSET($H$3,0,0,'Données projet'!$E$10+1,1))</f>
        <v>260.68055529826694</v>
      </c>
      <c r="AO25" s="59">
        <f t="shared" si="36"/>
        <v>119.74772096645967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286.04649896367255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518.88902595572984</v>
      </c>
      <c r="S26" s="59">
        <f ca="1">AVERAGE(OFFSET($R$3,0,0,'Données projet'!$E$9+1,1))-AVERAGE(OFFSET($H$3,0,0,'Données projet'!$E$9+1,1))</f>
        <v>244.06766379043052</v>
      </c>
      <c r="T26" s="59">
        <f t="shared" si="34"/>
        <v>300.17085261974006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2.01679445790736</v>
      </c>
      <c r="AC26" s="22">
        <f t="shared" si="3"/>
        <v>2.01679445790736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1.2</v>
      </c>
      <c r="AI26" s="13">
        <f>IF('Données projet'!$A$62&gt;35,AI25+AH26-AQ25,IF(A26&lt;'Données projet'!$A$62,$AF$205^A26,IF(A26='Données projet'!$A$62,'Données projet'!$B$62,AI25+AH26-AQ25)))</f>
        <v>22.853438584779923</v>
      </c>
      <c r="AJ26" s="13">
        <f>AI26*VLOOKUP('Données projet'!$B$10,Paramètres!$A$1:$I$89,3,0)*VLOOKUP('Données projet'!$B$10,Paramètres!$A$1:$I$89,5,0)</f>
        <v>22.816873083044275</v>
      </c>
      <c r="AK26" s="13">
        <f t="shared" si="35"/>
        <v>7.3064628156598772</v>
      </c>
      <c r="AL26" s="20">
        <f t="shared" si="4"/>
        <v>52.464810023576398</v>
      </c>
      <c r="AM26" s="59">
        <f t="shared" si="5"/>
        <v>337.24258780135415</v>
      </c>
      <c r="AN26" s="59">
        <f ca="1">AVERAGE(OFFSET($AM$3,0,0,'Données projet'!$E$10+1,1))-AVERAGE(OFFSET($H$3,0,0,'Données projet'!$E$10+1,1))</f>
        <v>260.68055529826694</v>
      </c>
      <c r="AO26" s="59">
        <f t="shared" si="36"/>
        <v>119.74772096645967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287.28516773082151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545.71087111615634</v>
      </c>
      <c r="S27" s="59">
        <f ca="1">AVERAGE(OFFSET($R$3,0,0,'Données projet'!$E$9+1,1))-AVERAGE(OFFSET($H$3,0,0,'Données projet'!$E$9+1,1))</f>
        <v>244.06766379043052</v>
      </c>
      <c r="T27" s="59">
        <f t="shared" si="34"/>
        <v>300.17085261974006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1.4260890374457413</v>
      </c>
      <c r="AC27" s="22">
        <f t="shared" si="3"/>
        <v>1.4260890374457413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1.2</v>
      </c>
      <c r="AI27" s="13">
        <f>IF('Données projet'!$A$62&gt;35,AI26+AH27-AQ26,IF(A27&lt;'Données projet'!$A$62,$AF$205^A27,IF(A27='Données projet'!$A$62,'Données projet'!$B$62,AI26+AH27-AQ26)))</f>
        <v>26.184024853780567</v>
      </c>
      <c r="AJ27" s="13">
        <f>AI27*VLOOKUP('Données projet'!$B$10,Paramètres!$A$1:$I$89,3,0)*VLOOKUP('Données projet'!$B$10,Paramètres!$A$1:$I$89,5,0)</f>
        <v>26.14213041401452</v>
      </c>
      <c r="AK27" s="13">
        <f t="shared" si="35"/>
        <v>8.239759807846692</v>
      </c>
      <c r="AL27" s="20">
        <f t="shared" si="4"/>
        <v>59.881792136408279</v>
      </c>
      <c r="AM27" s="59">
        <f t="shared" si="5"/>
        <v>345.88179213640831</v>
      </c>
      <c r="AN27" s="59">
        <f ca="1">AVERAGE(OFFSET($AM$3,0,0,'Données projet'!$E$10+1,1))-AVERAGE(OFFSET($H$3,0,0,'Données projet'!$E$10+1,1))</f>
        <v>260.68055529826694</v>
      </c>
      <c r="AO27" s="59">
        <f t="shared" si="36"/>
        <v>119.74772096645967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288.52244401490464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217.07500000000002</v>
      </c>
      <c r="O28" s="13">
        <f>N28*VLOOKUP('Données projet'!$B$9,Paramètres!$A$1:$I$89,3,0)*VLOOKUP('Données projet'!$B$9,Paramètres!$A$1:$I$89,5,0)</f>
        <v>129.81085000000002</v>
      </c>
      <c r="P28" s="13">
        <f t="shared" si="33"/>
        <v>33.952648617771466</v>
      </c>
      <c r="Q28" s="20">
        <f t="shared" si="2"/>
        <v>285.22142675928535</v>
      </c>
      <c r="R28" s="59">
        <f t="shared" si="0"/>
        <v>572.44364898150752</v>
      </c>
      <c r="S28" s="59">
        <f ca="1">AVERAGE(OFFSET($R$3,0,0,'Données projet'!$E$9+1,1))-AVERAGE(OFFSET($H$3,0,0,'Données projet'!$E$9+1,1))</f>
        <v>244.06766379043052</v>
      </c>
      <c r="T28" s="59">
        <f t="shared" si="34"/>
        <v>300.17085261974006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1.00839722895368</v>
      </c>
      <c r="AC28" s="22">
        <f t="shared" si="3"/>
        <v>1.00839722895368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30</v>
      </c>
      <c r="AG28" s="12">
        <f>VLOOKUP(A28,'Données projet'!$A$61:$I$81,9,0)</f>
        <v>1.2</v>
      </c>
      <c r="AH28" s="12">
        <f t="array" ref="AH28">INDEX(AG:AG,MIN(IF(ISNUMBER(AG28:AG224),ROW(AG28:AG224),"")))</f>
        <v>1.2</v>
      </c>
      <c r="AI28" s="13">
        <f>IF('Données projet'!$A$62&gt;35,AI27+AH28-AQ27,IF(A28&lt;'Données projet'!$A$62,$AF$205^A28,IF(A28='Données projet'!$A$62,'Données projet'!$B$62,AI27+AH28-AQ27)))</f>
        <v>30</v>
      </c>
      <c r="AJ28" s="13">
        <f>AI28*VLOOKUP('Données projet'!$B$10,Paramètres!$A$1:$I$89,3,0)*VLOOKUP('Données projet'!$B$10,Paramètres!$A$1:$I$89,5,0)</f>
        <v>29.951999999999998</v>
      </c>
      <c r="AK28" s="13">
        <f t="shared" si="35"/>
        <v>9.2922722532016273</v>
      </c>
      <c r="AL28" s="20">
        <f t="shared" si="4"/>
        <v>68.350440840992832</v>
      </c>
      <c r="AM28" s="59">
        <f t="shared" si="5"/>
        <v>355.57266306321503</v>
      </c>
      <c r="AN28" s="59">
        <f ca="1">AVERAGE(OFFSET($AM$3,0,0,'Données projet'!$E$10+1,1))-AVERAGE(OFFSET($H$3,0,0,'Données projet'!$E$10+1,1))</f>
        <v>260.68055529826694</v>
      </c>
      <c r="AO28" s="59">
        <f t="shared" si="36"/>
        <v>119.74772096645967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289.75838988784039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236.95000000000002</v>
      </c>
      <c r="O29" s="13">
        <f>N29*VLOOKUP('Données projet'!$B$9,Paramètres!$A$1:$I$89,3,0)*VLOOKUP('Données projet'!$B$9,Paramètres!$A$1:$I$89,5,0)</f>
        <v>141.69610000000003</v>
      </c>
      <c r="P29" s="13">
        <f t="shared" si="33"/>
        <v>36.685285449093392</v>
      </c>
      <c r="Q29" s="20">
        <f t="shared" si="2"/>
        <v>310.68091299050434</v>
      </c>
      <c r="R29" s="59">
        <f t="shared" si="0"/>
        <v>599.1253574349488</v>
      </c>
      <c r="S29" s="59">
        <f ca="1">AVERAGE(OFFSET($R$3,0,0,'Données projet'!$E$9+1,1))-AVERAGE(OFFSET($H$3,0,0,'Données projet'!$E$9+1,1))</f>
        <v>244.06766379043052</v>
      </c>
      <c r="T29" s="59">
        <f t="shared" si="34"/>
        <v>300.17085261974006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0.71304451872287067</v>
      </c>
      <c r="AC29" s="22">
        <f t="shared" si="3"/>
        <v>0.71304451872287067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4.8</v>
      </c>
      <c r="AI29" s="13">
        <f>IF('Données projet'!$A$62&gt;35,AI28+AH29-AQ28,IF(A29&lt;'Données projet'!$A$62,$AF$205^A29,IF(A29='Données projet'!$A$62,'Données projet'!$B$62,AI28+AH29-AQ28)))</f>
        <v>34.799999999999997</v>
      </c>
      <c r="AJ29" s="13">
        <f>AI29*VLOOKUP('Données projet'!$B$10,Paramètres!$A$1:$I$89,3,0)*VLOOKUP('Données projet'!$B$10,Paramètres!$A$1:$I$89,5,0)</f>
        <v>34.744320000000002</v>
      </c>
      <c r="AK29" s="13">
        <f t="shared" si="35"/>
        <v>10.594415585567971</v>
      </c>
      <c r="AL29" s="20">
        <f t="shared" si="4"/>
        <v>78.964964478197544</v>
      </c>
      <c r="AM29" s="59">
        <f t="shared" si="5"/>
        <v>367.409408922642</v>
      </c>
      <c r="AN29" s="59">
        <f ca="1">AVERAGE(OFFSET($AM$3,0,0,'Données projet'!$E$10+1,1))-AVERAGE(OFFSET($H$3,0,0,'Données projet'!$E$10+1,1))</f>
        <v>260.68055529826694</v>
      </c>
      <c r="AO29" s="59">
        <f t="shared" si="36"/>
        <v>119.74772096645967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290.99306237638319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256.82500000000005</v>
      </c>
      <c r="O30" s="13">
        <f>N30*VLOOKUP('Données projet'!$B$9,Paramètres!$A$1:$I$89,3,0)*VLOOKUP('Données projet'!$B$9,Paramètres!$A$1:$I$89,5,0)</f>
        <v>153.58135000000004</v>
      </c>
      <c r="P30" s="13">
        <f t="shared" si="33"/>
        <v>39.391339251970116</v>
      </c>
      <c r="Q30" s="20">
        <f t="shared" si="2"/>
        <v>336.09410044718135</v>
      </c>
      <c r="R30" s="59">
        <f t="shared" si="0"/>
        <v>625.76076711384803</v>
      </c>
      <c r="S30" s="59">
        <f ca="1">AVERAGE(OFFSET($R$3,0,0,'Données projet'!$E$9+1,1))-AVERAGE(OFFSET($H$3,0,0,'Données projet'!$E$9+1,1))</f>
        <v>244.06766379043052</v>
      </c>
      <c r="T30" s="59">
        <f t="shared" si="34"/>
        <v>300.17085261974006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0.50419861447684</v>
      </c>
      <c r="AC30" s="22">
        <f t="shared" si="3"/>
        <v>0.50419861447684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4.8</v>
      </c>
      <c r="AI30" s="13">
        <f>IF('Données projet'!$A$62&gt;35,AI29+AH30-AQ29,IF(A30&lt;'Données projet'!$A$62,$AF$205^A30,IF(A30='Données projet'!$A$62,'Données projet'!$B$62,AI29+AH30-AQ29)))</f>
        <v>39.599999999999994</v>
      </c>
      <c r="AJ30" s="13">
        <f>AI30*VLOOKUP('Données projet'!$B$10,Paramètres!$A$1:$I$89,3,0)*VLOOKUP('Données projet'!$B$10,Paramètres!$A$1:$I$89,5,0)</f>
        <v>39.536639999999998</v>
      </c>
      <c r="AK30" s="13">
        <f t="shared" si="35"/>
        <v>11.875750128946851</v>
      </c>
      <c r="AL30" s="20">
        <f t="shared" si="4"/>
        <v>89.543246141249099</v>
      </c>
      <c r="AM30" s="59">
        <f t="shared" si="5"/>
        <v>379.20991280791577</v>
      </c>
      <c r="AN30" s="59">
        <f ca="1">AVERAGE(OFFSET($AM$3,0,0,'Données projet'!$E$10+1,1))-AVERAGE(OFFSET($H$3,0,0,'Données projet'!$E$10+1,1))</f>
        <v>260.68055529826694</v>
      </c>
      <c r="AO30" s="59">
        <f t="shared" si="36"/>
        <v>119.74772096645967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292.22651404374136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276.7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276.70000000000005</v>
      </c>
      <c r="O31" s="13">
        <f>N31*VLOOKUP('Données projet'!$B$9,Paramètres!$A$1:$I$89,3,0)*VLOOKUP('Données projet'!$B$9,Paramètres!$A$1:$I$89,5,0)</f>
        <v>165.46660000000003</v>
      </c>
      <c r="P31" s="13">
        <f t="shared" si="33"/>
        <v>42.073101112919034</v>
      </c>
      <c r="Q31" s="20">
        <f t="shared" si="2"/>
        <v>361.46497943833401</v>
      </c>
      <c r="R31" s="59">
        <f t="shared" si="0"/>
        <v>652.35386832722293</v>
      </c>
      <c r="S31" s="59">
        <f ca="1">AVERAGE(OFFSET($R$3,0,0,'Données projet'!$E$9+1,1))-AVERAGE(OFFSET($H$3,0,0,'Données projet'!$E$9+1,1))</f>
        <v>244.06766379043052</v>
      </c>
      <c r="T31" s="59">
        <f t="shared" si="34"/>
        <v>300.17085261974006</v>
      </c>
      <c r="U31" s="15">
        <f>IF(ISNA(VLOOKUP(A31,'Données projet'!$A$35:$I$55,3,0)),0,VLOOKUP(A31,'Données projet'!$A$35:$I$55,3,0))</f>
        <v>3</v>
      </c>
      <c r="V31" s="15">
        <f>IF(ISNA(VLOOKUP(A31,'Données projet'!$A$35:$I$55,4,0)),0,VLOOKUP(A31,'Données projet'!$A$35:$I$55,4,0))</f>
        <v>84.3</v>
      </c>
      <c r="W31" s="16">
        <f>IF(ISNA(VLOOKUP(A31,'Données projet'!$A$35:$I$55,5,0)),0%,VLOOKUP(A31,'Données projet'!$A$35:$I$55,5,0)*VLOOKUP('Données projet'!$B$9,Paramètres!$A$1:$I$89,7,0))</f>
        <v>0.13500000000000001</v>
      </c>
      <c r="X31" s="16">
        <f>IF(ISNA(VLOOKUP(A31,'Données projet'!$A$35:$I$55,6,0)),0%,VLOOKUP(A31,'Données projet'!$A$35:$I$55,6,0)*VLOOKUP('Données projet'!$B$9,Paramètres!$A$1:$I$89,7,0))</f>
        <v>0.13500000000000001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9.0279861375075541</v>
      </c>
      <c r="AA31" s="21">
        <f>EXP(-LN(2)/25)*AA30+(1-EXP(-LN(2)/25))/(LN(2)/25)*Calculateur!V31*Calculateur!X31*VLOOKUP('Données projet'!$B$9,Paramètres!$A$1:$I$89,3,0)*0.475*44/12</f>
        <v>8.9924395161517818</v>
      </c>
      <c r="AB31" s="21">
        <f>EXP(-LN(2)/2)*AB30+(1-EXP(-LN(2)/2))/(LN(2)/2)*V31*Y31*VLOOKUP('Données projet'!$B$9,Paramètres!$A$1:$I$89,3,0)*0.475*44/12</f>
        <v>23.187488356771706</v>
      </c>
      <c r="AC31" s="22">
        <f t="shared" si="3"/>
        <v>41.20791401043104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4.8</v>
      </c>
      <c r="AI31" s="13">
        <f>IF('Données projet'!$A$62&gt;35,AI30+AH31-AQ30,IF(A31&lt;'Données projet'!$A$62,$AF$205^A31,IF(A31='Données projet'!$A$62,'Données projet'!$B$62,AI30+AH31-AQ30)))</f>
        <v>44.399999999999991</v>
      </c>
      <c r="AJ31" s="13">
        <f>AI31*VLOOKUP('Données projet'!$B$10,Paramètres!$A$1:$I$89,3,0)*VLOOKUP('Données projet'!$B$10,Paramètres!$A$1:$I$89,5,0)</f>
        <v>44.328959999999995</v>
      </c>
      <c r="AK31" s="13">
        <f t="shared" si="35"/>
        <v>13.139086669334745</v>
      </c>
      <c r="AL31" s="20">
        <f t="shared" si="4"/>
        <v>100.09018128242467</v>
      </c>
      <c r="AM31" s="59">
        <f t="shared" si="5"/>
        <v>390.97907017131354</v>
      </c>
      <c r="AN31" s="59">
        <f ca="1">AVERAGE(OFFSET($AM$3,0,0,'Données projet'!$E$10+1,1))-AVERAGE(OFFSET($H$3,0,0,'Données projet'!$E$10+1,1))</f>
        <v>260.68055529826694</v>
      </c>
      <c r="AO31" s="59">
        <f t="shared" si="36"/>
        <v>119.74772096645967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293.45879348577108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569.66893721631868</v>
      </c>
      <c r="S32" s="59">
        <f ca="1">AVERAGE(OFFSET($R$3,0,0,'Données projet'!$E$9+1,1))-AVERAGE(OFFSET($H$3,0,0,'Données projet'!$E$9+1,1))</f>
        <v>244.06766379043052</v>
      </c>
      <c r="T32" s="59">
        <f t="shared" si="34"/>
        <v>300.17085261974006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8.8509528358788501</v>
      </c>
      <c r="AA32" s="21">
        <f>EXP(-LN(2)/25)*AA31+(1-EXP(-LN(2)/25))/(LN(2)/25)*Calculateur!V32*Calculateur!X32*VLOOKUP('Données projet'!$B$9,Paramètres!$A$1:$I$89,3,0)*0.475*44/12</f>
        <v>8.7465407846907706</v>
      </c>
      <c r="AB32" s="21">
        <f>EXP(-LN(2)/2)*AB31+(1-EXP(-LN(2)/2))/(LN(2)/2)*V32*Y32*VLOOKUP('Données projet'!$B$9,Paramètres!$A$1:$I$89,3,0)*0.475*44/12</f>
        <v>16.396030255757388</v>
      </c>
      <c r="AC32" s="22">
        <f t="shared" si="3"/>
        <v>33.993523876327011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4.8</v>
      </c>
      <c r="AI32" s="13">
        <f>IF('Données projet'!$A$62&gt;35,AI31+AH32-AQ31,IF(A32&lt;'Données projet'!$A$62,$AF$205^A32,IF(A32='Données projet'!$A$62,'Données projet'!$B$62,AI31+AH32-AQ31)))</f>
        <v>49.199999999999989</v>
      </c>
      <c r="AJ32" s="13">
        <f>AI32*VLOOKUP('Données projet'!$B$10,Paramètres!$A$1:$I$89,3,0)*VLOOKUP('Données projet'!$B$10,Paramètres!$A$1:$I$89,5,0)</f>
        <v>49.121279999999992</v>
      </c>
      <c r="AK32" s="13">
        <f t="shared" si="35"/>
        <v>14.386592745075609</v>
      </c>
      <c r="AL32" s="20">
        <f t="shared" si="4"/>
        <v>110.60954503100668</v>
      </c>
      <c r="AM32" s="59">
        <f t="shared" si="5"/>
        <v>402.72065614211783</v>
      </c>
      <c r="AN32" s="59">
        <f ca="1">AVERAGE(OFFSET($AM$3,0,0,'Données projet'!$E$10+1,1))-AVERAGE(OFFSET($H$3,0,0,'Données projet'!$E$10+1,1))</f>
        <v>260.68055529826694</v>
      </c>
      <c r="AO32" s="59">
        <f t="shared" si="36"/>
        <v>119.74772096645967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294.68994575680784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244.06766379043052</v>
      </c>
      <c r="T33" s="59">
        <f t="shared" si="34"/>
        <v>300.17085261974006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8.6773910493154336</v>
      </c>
      <c r="AA33" s="21">
        <f>EXP(-LN(2)/25)*AA32+(1-EXP(-LN(2)/25))/(LN(2)/25)*Calculateur!V33*Calculateur!X33*VLOOKUP('Données projet'!$B$9,Paramètres!$A$1:$I$89,3,0)*0.475*44/12</f>
        <v>8.5073661669728118</v>
      </c>
      <c r="AB33" s="21">
        <f>EXP(-LN(2)/2)*AB32+(1-EXP(-LN(2)/2))/(LN(2)/2)*V33*Y33*VLOOKUP('Données projet'!$B$9,Paramètres!$A$1:$I$89,3,0)*0.475*44/12</f>
        <v>11.593744178385853</v>
      </c>
      <c r="AC33" s="22">
        <f t="shared" si="3"/>
        <v>28.778501394674102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54</v>
      </c>
      <c r="AG33" s="12">
        <f>VLOOKUP(A33,'Données projet'!$A$61:$I$81,9,0)</f>
        <v>4.8</v>
      </c>
      <c r="AH33" s="12">
        <f t="array" ref="AH33">INDEX(AG:AG,MIN(IF(ISNUMBER(AG33:AG229),ROW(AG33:AG229),"")))</f>
        <v>4.8</v>
      </c>
      <c r="AI33" s="13">
        <f>IF('Données projet'!$A$62&gt;35,AI32+AH33-AQ32,IF(A33&lt;'Données projet'!$A$62,$AF$205^A33,IF(A33='Données projet'!$A$62,'Données projet'!$B$62,AI32+AH33-AQ32)))</f>
        <v>53.999999999999986</v>
      </c>
      <c r="AJ33" s="13">
        <f>AI33*VLOOKUP('Données projet'!$B$10,Paramètres!$A$1:$I$89,3,0)*VLOOKUP('Données projet'!$B$10,Paramètres!$A$1:$I$89,5,0)</f>
        <v>53.913599999999995</v>
      </c>
      <c r="AK33" s="13">
        <f t="shared" si="35"/>
        <v>15.619988549244528</v>
      </c>
      <c r="AL33" s="20">
        <f t="shared" si="4"/>
        <v>121.10433338993421</v>
      </c>
      <c r="AM33" s="59">
        <f t="shared" si="5"/>
        <v>414.43766672326751</v>
      </c>
      <c r="AN33" s="59">
        <f ca="1">AVERAGE(OFFSET($AM$3,0,0,'Données projet'!$E$10+1,1))-AVERAGE(OFFSET($H$3,0,0,'Données projet'!$E$10+1,1))</f>
        <v>260.68055529826694</v>
      </c>
      <c r="AO33" s="59">
        <f t="shared" si="36"/>
        <v>119.74772096645967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295.92001273712469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244.06766379043052</v>
      </c>
      <c r="T34" s="59">
        <f t="shared" si="34"/>
        <v>300.17085261974006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8.5072327035242878</v>
      </c>
      <c r="AA34" s="21">
        <f>EXP(-LN(2)/25)*AA33+(1-EXP(-LN(2)/25))/(LN(2)/25)*Calculateur!V34*Calculateur!X34*VLOOKUP('Données projet'!$B$9,Paramètres!$A$1:$I$89,3,0)*0.475*44/12</f>
        <v>8.2747317917539966</v>
      </c>
      <c r="AB34" s="21">
        <f>EXP(-LN(2)/2)*AB33+(1-EXP(-LN(2)/2))/(LN(2)/2)*V34*Y34*VLOOKUP('Données projet'!$B$9,Paramètres!$A$1:$I$89,3,0)*0.475*44/12</f>
        <v>8.1980151278786941</v>
      </c>
      <c r="AC34" s="22">
        <f t="shared" si="3"/>
        <v>24.979979623156979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</v>
      </c>
      <c r="AI34" s="13">
        <f>IF('Données projet'!$A$62&gt;35,AI33+AH34-AQ33,IF(A34&lt;'Données projet'!$A$62,$AF$205^A34,IF(A34='Données projet'!$A$62,'Données projet'!$B$62,AI33+AH34-AQ33)))</f>
        <v>58.999999999999986</v>
      </c>
      <c r="AJ34" s="13">
        <f>AI34*VLOOKUP('Données projet'!$B$10,Paramètres!$A$1:$I$89,3,0)*VLOOKUP('Données projet'!$B$10,Paramètres!$A$1:$I$89,5,0)</f>
        <v>58.905599999999986</v>
      </c>
      <c r="AK34" s="13">
        <f t="shared" si="35"/>
        <v>16.891274608019895</v>
      </c>
      <c r="AL34" s="20">
        <f t="shared" si="4"/>
        <v>132.01288994230126</v>
      </c>
      <c r="AM34" s="59">
        <f t="shared" si="5"/>
        <v>425.34622327563454</v>
      </c>
      <c r="AN34" s="59">
        <f ca="1">AVERAGE(OFFSET($AM$3,0,0,'Données projet'!$E$10+1,1))-AVERAGE(OFFSET($H$3,0,0,'Données projet'!$E$10+1,1))</f>
        <v>260.68055529826694</v>
      </c>
      <c r="AO34" s="59">
        <f t="shared" si="36"/>
        <v>119.74772096645967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297.14903345164504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244.06766379043052</v>
      </c>
      <c r="T35" s="59">
        <f t="shared" si="34"/>
        <v>300.17085261974006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8.3404110591077636</v>
      </c>
      <c r="AA35" s="21">
        <f>EXP(-LN(2)/25)*AA34+(1-EXP(-LN(2)/25))/(LN(2)/25)*Calculateur!V35*Calculateur!X35*VLOOKUP('Données projet'!$B$9,Paramètres!$A$1:$I$89,3,0)*0.475*44/12</f>
        <v>8.0484588157592505</v>
      </c>
      <c r="AB35" s="21">
        <f>EXP(-LN(2)/2)*AB34+(1-EXP(-LN(2)/2))/(LN(2)/2)*V35*Y35*VLOOKUP('Données projet'!$B$9,Paramètres!$A$1:$I$89,3,0)*0.475*44/12</f>
        <v>5.7968720891929264</v>
      </c>
      <c r="AC35" s="22">
        <f t="shared" si="3"/>
        <v>22.18574196405994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</v>
      </c>
      <c r="AI35" s="13">
        <f>IF('Données projet'!$A$62&gt;35,AI34+AH35-AQ34,IF(A35&lt;'Données projet'!$A$62,$AF$205^A35,IF(A35='Données projet'!$A$62,'Données projet'!$B$62,AI34+AH35-AQ34)))</f>
        <v>63.999999999999986</v>
      </c>
      <c r="AJ35" s="13">
        <f>AI35*VLOOKUP('Données projet'!$B$10,Paramètres!$A$1:$I$89,3,0)*VLOOKUP('Données projet'!$B$10,Paramètres!$A$1:$I$89,5,0)</f>
        <v>63.89759999999999</v>
      </c>
      <c r="AK35" s="13">
        <f t="shared" si="35"/>
        <v>18.150066057587683</v>
      </c>
      <c r="AL35" s="20">
        <f t="shared" si="4"/>
        <v>142.89968505029853</v>
      </c>
      <c r="AM35" s="59">
        <f t="shared" si="5"/>
        <v>436.23301838363182</v>
      </c>
      <c r="AN35" s="59">
        <f ca="1">AVERAGE(OFFSET($AM$3,0,0,'Données projet'!$E$10+1,1))-AVERAGE(OFFSET($H$3,0,0,'Données projet'!$E$10+1,1))</f>
        <v>260.68055529826694</v>
      </c>
      <c r="AO35" s="59">
        <f t="shared" si="36"/>
        <v>119.74772096645967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298.37704434769694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244.06766379043052</v>
      </c>
      <c r="T36" s="59">
        <f t="shared" si="34"/>
        <v>300.17085261974006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8.1768606853870924</v>
      </c>
      <c r="AA36" s="21">
        <f>EXP(-LN(2)/25)*AA35+(1-EXP(-LN(2)/25))/(LN(2)/25)*Calculateur!V36*Calculateur!X36*VLOOKUP('Données projet'!$B$9,Paramètres!$A$1:$I$89,3,0)*0.475*44/12</f>
        <v>7.8283732861922593</v>
      </c>
      <c r="AB36" s="21">
        <f>EXP(-LN(2)/2)*AB35+(1-EXP(-LN(2)/2))/(LN(2)/2)*V36*Y36*VLOOKUP('Données projet'!$B$9,Paramètres!$A$1:$I$89,3,0)*0.475*44/12</f>
        <v>4.0990075639393471</v>
      </c>
      <c r="AC36" s="22">
        <f t="shared" si="3"/>
        <v>20.104241535518696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</v>
      </c>
      <c r="AI36" s="13">
        <f>IF('Données projet'!$A$62&gt;35,AI35+AH36-AQ35,IF(A36&lt;'Données projet'!$A$62,$AF$205^A36,IF(A36='Données projet'!$A$62,'Données projet'!$B$62,AI35+AH36-AQ35)))</f>
        <v>68.999999999999986</v>
      </c>
      <c r="AJ36" s="13">
        <f>AI36*VLOOKUP('Données projet'!$B$10,Paramètres!$A$1:$I$89,3,0)*VLOOKUP('Données projet'!$B$10,Paramètres!$A$1:$I$89,5,0)</f>
        <v>68.889599999999987</v>
      </c>
      <c r="AK36" s="13">
        <f t="shared" si="35"/>
        <v>19.397450021635805</v>
      </c>
      <c r="AL36" s="20">
        <f t="shared" si="4"/>
        <v>153.76661212101567</v>
      </c>
      <c r="AM36" s="59">
        <f t="shared" si="5"/>
        <v>447.09994545434898</v>
      </c>
      <c r="AN36" s="59">
        <f ca="1">AVERAGE(OFFSET($AM$3,0,0,'Données projet'!$E$10+1,1))-AVERAGE(OFFSET($H$3,0,0,'Données projet'!$E$10+1,1))</f>
        <v>260.68055529826694</v>
      </c>
      <c r="AO36" s="59">
        <f t="shared" si="36"/>
        <v>119.74772096645967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299.60407953815456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244.06766379043052</v>
      </c>
      <c r="T37" s="59">
        <f t="shared" si="34"/>
        <v>300.17085261974006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8.016517434739205</v>
      </c>
      <c r="AA37" s="21">
        <f>EXP(-LN(2)/25)*AA36+(1-EXP(-LN(2)/25))/(LN(2)/25)*Calculateur!V37*Calculateur!X37*VLOOKUP('Données projet'!$B$9,Paramètres!$A$1:$I$89,3,0)*0.475*44/12</f>
        <v>7.614306007005073</v>
      </c>
      <c r="AB37" s="21">
        <f>EXP(-LN(2)/2)*AB36+(1-EXP(-LN(2)/2))/(LN(2)/2)*V37*Y37*VLOOKUP('Données projet'!$B$9,Paramètres!$A$1:$I$89,3,0)*0.475*44/12</f>
        <v>2.8984360445964632</v>
      </c>
      <c r="AC37" s="22">
        <f t="shared" si="3"/>
        <v>18.529259486340742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</v>
      </c>
      <c r="AI37" s="13">
        <f>IF('Données projet'!$A$62&gt;35,AI36+AH37-AQ36,IF(A37&lt;'Données projet'!$A$62,$AF$205^A37,IF(A37='Données projet'!$A$62,'Données projet'!$B$62,AI36+AH37-AQ36)))</f>
        <v>73.999999999999986</v>
      </c>
      <c r="AJ37" s="13">
        <f>AI37*VLOOKUP('Données projet'!$B$10,Paramètres!$A$1:$I$89,3,0)*VLOOKUP('Données projet'!$B$10,Paramètres!$A$1:$I$89,5,0)</f>
        <v>73.881599999999992</v>
      </c>
      <c r="AK37" s="13">
        <f t="shared" si="35"/>
        <v>20.634347138217649</v>
      </c>
      <c r="AL37" s="20">
        <f t="shared" si="4"/>
        <v>164.61527459906236</v>
      </c>
      <c r="AM37" s="59">
        <f t="shared" si="5"/>
        <v>457.9486079323957</v>
      </c>
      <c r="AN37" s="59">
        <f ca="1">AVERAGE(OFFSET($AM$3,0,0,'Données projet'!$E$10+1,1))-AVERAGE(OFFSET($H$3,0,0,'Données projet'!$E$10+1,1))</f>
        <v>260.68055529826694</v>
      </c>
      <c r="AO37" s="59">
        <f t="shared" si="36"/>
        <v>119.74772096645967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300.83017101517061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14.850000000000003</v>
      </c>
      <c r="N38" s="13">
        <f>IF('Données projet'!$A$36&gt;35,N37+M38-V37,IF(A38&lt;'Données projet'!$A$36,$K$205^A38,IF(A38='Données projet'!$A$36,'Données projet'!$B$36,N37+M38-V37)))</f>
        <v>319.45000000000005</v>
      </c>
      <c r="O38" s="13">
        <f>N38*VLOOKUP('Données projet'!$B$9,Paramètres!$A$1:$I$89,3,0)*VLOOKUP('Données projet'!$B$9,Paramètres!$A$1:$I$89,5,0)</f>
        <v>191.03110000000004</v>
      </c>
      <c r="P38" s="13">
        <f t="shared" si="33"/>
        <v>47.767842566551636</v>
      </c>
      <c r="Q38" s="20">
        <f t="shared" si="53"/>
        <v>415.9081583034108</v>
      </c>
      <c r="R38" s="59">
        <f t="shared" si="0"/>
        <v>709.24149163674406</v>
      </c>
      <c r="S38" s="59">
        <f ca="1">AVERAGE(OFFSET($R$3,0,0,'Données projet'!$E$9+1,1))-AVERAGE(OFFSET($H$3,0,0,'Données projet'!$E$9+1,1))</f>
        <v>244.06766379043052</v>
      </c>
      <c r="T38" s="59">
        <f t="shared" si="34"/>
        <v>300.17085261974006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7.8593184174367972</v>
      </c>
      <c r="AA38" s="21">
        <f>EXP(-LN(2)/25)*AA37+(1-EXP(-LN(2)/25))/(LN(2)/25)*Calculateur!V38*Calculateur!X38*VLOOKUP('Données projet'!$B$9,Paramètres!$A$1:$I$89,3,0)*0.475*44/12</f>
        <v>7.406092408824569</v>
      </c>
      <c r="AB38" s="21">
        <f>EXP(-LN(2)/2)*AB37+(1-EXP(-LN(2)/2))/(LN(2)/2)*V38*Y38*VLOOKUP('Données projet'!$B$9,Paramètres!$A$1:$I$89,3,0)*0.475*44/12</f>
        <v>2.0495037819696735</v>
      </c>
      <c r="AC38" s="22">
        <f t="shared" si="3"/>
        <v>17.314914608231039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79</v>
      </c>
      <c r="AG38" s="12">
        <f>VLOOKUP(A38,'Données projet'!$A$61:$I$81,9,0)</f>
        <v>5</v>
      </c>
      <c r="AH38" s="12">
        <f t="array" ref="AH38">INDEX(AG:AG,MIN(IF(ISNUMBER(AG38:AG234),ROW(AG38:AG234),"")))</f>
        <v>5</v>
      </c>
      <c r="AI38" s="13">
        <f>IF('Données projet'!$A$62&gt;35,AI37+AH38-AQ37,IF(A38&lt;'Données projet'!$A$62,$AF$205^A38,IF(A38='Données projet'!$A$62,'Données projet'!$B$62,AI37+AH38-AQ37)))</f>
        <v>78.999999999999986</v>
      </c>
      <c r="AJ38" s="13">
        <f>AI38*VLOOKUP('Données projet'!$B$10,Paramètres!$A$1:$I$89,3,0)*VLOOKUP('Données projet'!$B$10,Paramètres!$A$1:$I$89,5,0)</f>
        <v>78.873599999999996</v>
      </c>
      <c r="AK38" s="13">
        <f t="shared" si="35"/>
        <v>21.861546594525006</v>
      </c>
      <c r="AL38" s="20">
        <f t="shared" si="4"/>
        <v>175.44704698546437</v>
      </c>
      <c r="AM38" s="59">
        <f t="shared" si="5"/>
        <v>468.78038031879771</v>
      </c>
      <c r="AN38" s="59">
        <f ca="1">AVERAGE(OFFSET($AM$3,0,0,'Données projet'!$E$10+1,1))-AVERAGE(OFFSET($H$3,0,0,'Données projet'!$E$10+1,1))</f>
        <v>260.68055529826694</v>
      </c>
      <c r="AO38" s="59">
        <f t="shared" si="36"/>
        <v>119.74772096645967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13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302.05534883879602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14.850000000000003</v>
      </c>
      <c r="N39" s="13">
        <f>IF('Données projet'!$A$36&gt;35,N38+M39-V38,IF(A39&lt;'Données projet'!$A$36,$K$205^A39,IF(A39='Données projet'!$A$36,'Données projet'!$B$36,N38+M39-V38)))</f>
        <v>334.30000000000007</v>
      </c>
      <c r="O39" s="13">
        <f>N39*VLOOKUP('Données projet'!$B$9,Paramètres!$A$1:$I$89,3,0)*VLOOKUP('Données projet'!$B$9,Paramètres!$A$1:$I$89,5,0)</f>
        <v>199.91140000000007</v>
      </c>
      <c r="P39" s="13">
        <f t="shared" si="33"/>
        <v>49.7246956249272</v>
      </c>
      <c r="Q39" s="20">
        <f t="shared" si="53"/>
        <v>434.78286654674827</v>
      </c>
      <c r="R39" s="59">
        <f t="shared" si="0"/>
        <v>728.11619988008158</v>
      </c>
      <c r="S39" s="59">
        <f ca="1">AVERAGE(OFFSET($R$3,0,0,'Données projet'!$E$9+1,1))-AVERAGE(OFFSET($H$3,0,0,'Données projet'!$E$9+1,1))</f>
        <v>244.06766379043052</v>
      </c>
      <c r="T39" s="59">
        <f t="shared" si="34"/>
        <v>300.17085261974006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7.7052019769817566</v>
      </c>
      <c r="AA39" s="21">
        <f>EXP(-LN(2)/25)*AA38+(1-EXP(-LN(2)/25))/(LN(2)/25)*Calculateur!V39*Calculateur!X39*VLOOKUP('Données projet'!$B$9,Paramètres!$A$1:$I$89,3,0)*0.475*44/12</f>
        <v>7.203572422435788</v>
      </c>
      <c r="AB39" s="21">
        <f>EXP(-LN(2)/2)*AB38+(1-EXP(-LN(2)/2))/(LN(2)/2)*V39*Y39*VLOOKUP('Données projet'!$B$9,Paramètres!$A$1:$I$89,3,0)*0.475*44/12</f>
        <v>1.4492180222982316</v>
      </c>
      <c r="AC39" s="22">
        <f t="shared" si="3"/>
        <v>16.357992421715778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5.4</v>
      </c>
      <c r="AI39" s="13">
        <f>IF('Données projet'!$A$62&gt;35,AI38+AH39-AQ38,IF(A39&lt;'Données projet'!$A$62,$AF$205^A39,IF(A39='Données projet'!$A$62,'Données projet'!$B$62,AI38+AH39-AQ38)))</f>
        <v>71.399999999999991</v>
      </c>
      <c r="AJ39" s="13">
        <f>AI39*VLOOKUP('Données projet'!$B$10,Paramètres!$A$1:$I$89,3,0)*VLOOKUP('Données projet'!$B$10,Paramètres!$A$1:$I$89,5,0)</f>
        <v>71.285759999999996</v>
      </c>
      <c r="AK39" s="13">
        <f t="shared" si="35"/>
        <v>19.992418069182566</v>
      </c>
      <c r="AL39" s="20">
        <f t="shared" si="4"/>
        <v>158.97616013715961</v>
      </c>
      <c r="AM39" s="59">
        <f t="shared" si="5"/>
        <v>452.30949347049295</v>
      </c>
      <c r="AN39" s="59">
        <f ca="1">AVERAGE(OFFSET($AM$3,0,0,'Données projet'!$E$10+1,1))-AVERAGE(OFFSET($H$3,0,0,'Données projet'!$E$10+1,1))</f>
        <v>260.68055529826694</v>
      </c>
      <c r="AO39" s="59">
        <f t="shared" si="36"/>
        <v>119.74772096645967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303.27964130405229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14.850000000000003</v>
      </c>
      <c r="N40" s="13">
        <f>IF('Données projet'!$A$36&gt;35,N39+M40-V39,IF(A40&lt;'Données projet'!$A$36,$K$205^A40,IF(A40='Données projet'!$A$36,'Données projet'!$B$36,N39+M40-V39)))</f>
        <v>349.15000000000009</v>
      </c>
      <c r="O40" s="13">
        <f>N40*VLOOKUP('Données projet'!$B$9,Paramètres!$A$1:$I$89,3,0)*VLOOKUP('Données projet'!$B$9,Paramètres!$A$1:$I$89,5,0)</f>
        <v>208.79170000000005</v>
      </c>
      <c r="P40" s="13">
        <f t="shared" si="33"/>
        <v>51.67145313716177</v>
      </c>
      <c r="Q40" s="20">
        <f t="shared" si="53"/>
        <v>453.6399917138902</v>
      </c>
      <c r="R40" s="59">
        <f t="shared" si="0"/>
        <v>746.97332504722351</v>
      </c>
      <c r="S40" s="59">
        <f ca="1">AVERAGE(OFFSET($R$3,0,0,'Données projet'!$E$9+1,1))-AVERAGE(OFFSET($H$3,0,0,'Données projet'!$E$9+1,1))</f>
        <v>244.06766379043052</v>
      </c>
      <c r="T40" s="59">
        <f t="shared" si="34"/>
        <v>300.17085261974006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7.5541076659222925</v>
      </c>
      <c r="AA40" s="21">
        <f>EXP(-LN(2)/25)*AA39+(1-EXP(-LN(2)/25))/(LN(2)/25)*Calculateur!V40*Calculateur!X40*VLOOKUP('Données projet'!$B$9,Paramètres!$A$1:$I$89,3,0)*0.475*44/12</f>
        <v>7.0065903557248719</v>
      </c>
      <c r="AB40" s="21">
        <f>EXP(-LN(2)/2)*AB39+(1-EXP(-LN(2)/2))/(LN(2)/2)*V40*Y40*VLOOKUP('Données projet'!$B$9,Paramètres!$A$1:$I$89,3,0)*0.475*44/12</f>
        <v>1.0247518909848368</v>
      </c>
      <c r="AC40" s="22">
        <f t="shared" si="3"/>
        <v>15.585449912632001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5.4</v>
      </c>
      <c r="AI40" s="13">
        <f>IF('Données projet'!$A$62&gt;35,AI39+AH40-AQ39,IF(A40&lt;'Données projet'!$A$62,$AF$205^A40,IF(A40='Données projet'!$A$62,'Données projet'!$B$62,AI39+AH40-AQ39)))</f>
        <v>76.8</v>
      </c>
      <c r="AJ40" s="13">
        <f>AI40*VLOOKUP('Données projet'!$B$10,Paramètres!$A$1:$I$89,3,0)*VLOOKUP('Données projet'!$B$10,Paramètres!$A$1:$I$89,5,0)</f>
        <v>76.677120000000002</v>
      </c>
      <c r="AK40" s="13">
        <f t="shared" si="35"/>
        <v>21.322727610645366</v>
      </c>
      <c r="AL40" s="20">
        <f t="shared" si="4"/>
        <v>170.683067921874</v>
      </c>
      <c r="AM40" s="59">
        <f t="shared" si="5"/>
        <v>464.01640125520731</v>
      </c>
      <c r="AN40" s="59">
        <f ca="1">AVERAGE(OFFSET($AM$3,0,0,'Données projet'!$E$10+1,1))-AVERAGE(OFFSET($H$3,0,0,'Données projet'!$E$10+1,1))</f>
        <v>260.68055529826694</v>
      </c>
      <c r="AO40" s="59">
        <f t="shared" si="36"/>
        <v>119.74772096645967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304.50307508943433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14.850000000000003</v>
      </c>
      <c r="N41" s="13">
        <f>IF('Données projet'!$A$36&gt;35,N40+M41-V40,IF(A41&lt;'Données projet'!$A$36,$K$205^A41,IF(A41='Données projet'!$A$36,'Données projet'!$B$36,N40+M41-V40)))</f>
        <v>364.00000000000011</v>
      </c>
      <c r="O41" s="13">
        <f>N41*VLOOKUP('Données projet'!$B$9,Paramètres!$A$1:$I$89,3,0)*VLOOKUP('Données projet'!$B$9,Paramètres!$A$1:$I$89,5,0)</f>
        <v>217.67200000000008</v>
      </c>
      <c r="P41" s="13">
        <f t="shared" si="33"/>
        <v>53.60859357546007</v>
      </c>
      <c r="Q41" s="20">
        <f t="shared" si="53"/>
        <v>472.48036714392646</v>
      </c>
      <c r="R41" s="59">
        <f t="shared" si="0"/>
        <v>765.81370047725977</v>
      </c>
      <c r="S41" s="59">
        <f ca="1">AVERAGE(OFFSET($R$3,0,0,'Données projet'!$E$9+1,1))-AVERAGE(OFFSET($H$3,0,0,'Données projet'!$E$9+1,1))</f>
        <v>244.06766379043052</v>
      </c>
      <c r="T41" s="59">
        <f t="shared" si="34"/>
        <v>300.17085261974006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7.4059762221442744</v>
      </c>
      <c r="AA41" s="21">
        <f>EXP(-LN(2)/25)*AA40+(1-EXP(-LN(2)/25))/(LN(2)/25)*Calculateur!V41*Calculateur!X41*VLOOKUP('Données projet'!$B$9,Paramètres!$A$1:$I$89,3,0)*0.475*44/12</f>
        <v>6.814994773987002</v>
      </c>
      <c r="AB41" s="21">
        <f>EXP(-LN(2)/2)*AB40+(1-EXP(-LN(2)/2))/(LN(2)/2)*V41*Y41*VLOOKUP('Données projet'!$B$9,Paramètres!$A$1:$I$89,3,0)*0.475*44/12</f>
        <v>0.7246090111491158</v>
      </c>
      <c r="AC41" s="22">
        <f t="shared" si="3"/>
        <v>14.945580007280393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5.4</v>
      </c>
      <c r="AI41" s="13">
        <f>IF('Données projet'!$A$62&gt;35,AI40+AH41-AQ40,IF(A41&lt;'Données projet'!$A$62,$AF$205^A41,IF(A41='Données projet'!$A$62,'Données projet'!$B$62,AI40+AH41-AQ40)))</f>
        <v>82.2</v>
      </c>
      <c r="AJ41" s="13">
        <f>AI41*VLOOKUP('Données projet'!$B$10,Paramètres!$A$1:$I$89,3,0)*VLOOKUP('Données projet'!$B$10,Paramètres!$A$1:$I$89,5,0)</f>
        <v>82.068480000000008</v>
      </c>
      <c r="AK41" s="13">
        <f t="shared" si="35"/>
        <v>22.642184397885519</v>
      </c>
      <c r="AL41" s="20">
        <f t="shared" si="4"/>
        <v>182.37107382631726</v>
      </c>
      <c r="AM41" s="59">
        <f t="shared" si="5"/>
        <v>475.7044071596506</v>
      </c>
      <c r="AN41" s="59">
        <f ca="1">AVERAGE(OFFSET($AM$3,0,0,'Données projet'!$E$10+1,1))-AVERAGE(OFFSET($H$3,0,0,'Données projet'!$E$10+1,1))</f>
        <v>260.68055529826694</v>
      </c>
      <c r="AO41" s="59">
        <f t="shared" si="36"/>
        <v>119.74772096645967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305.72567538934157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14.850000000000003</v>
      </c>
      <c r="N42" s="13">
        <f>IF('Données projet'!$A$36&gt;35,N41+M42-V41,IF(A42&lt;'Données projet'!$A$36,$K$205^A42,IF(A42='Données projet'!$A$36,'Données projet'!$B$36,N41+M42-V41)))</f>
        <v>378.85000000000014</v>
      </c>
      <c r="O42" s="13">
        <f>N42*VLOOKUP('Données projet'!$B$9,Paramètres!$A$1:$I$89,3,0)*VLOOKUP('Données projet'!$B$9,Paramètres!$A$1:$I$89,5,0)</f>
        <v>226.55230000000009</v>
      </c>
      <c r="P42" s="13">
        <f t="shared" si="33"/>
        <v>55.536554162575619</v>
      </c>
      <c r="Q42" s="20">
        <f t="shared" si="53"/>
        <v>491.30475433315274</v>
      </c>
      <c r="R42" s="59">
        <f t="shared" si="0"/>
        <v>784.63808766648606</v>
      </c>
      <c r="S42" s="59">
        <f ca="1">AVERAGE(OFFSET($R$3,0,0,'Données projet'!$E$9+1,1))-AVERAGE(OFFSET($H$3,0,0,'Données projet'!$E$9+1,1))</f>
        <v>244.06766379043052</v>
      </c>
      <c r="T42" s="59">
        <f t="shared" si="34"/>
        <v>300.17085261974006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7.2607495456274842</v>
      </c>
      <c r="AA42" s="21">
        <f>EXP(-LN(2)/25)*AA41+(1-EXP(-LN(2)/25))/(LN(2)/25)*Calculateur!V42*Calculateur!X42*VLOOKUP('Données projet'!$B$9,Paramètres!$A$1:$I$89,3,0)*0.475*44/12</f>
        <v>6.6286383835073286</v>
      </c>
      <c r="AB42" s="21">
        <f>EXP(-LN(2)/2)*AB41+(1-EXP(-LN(2)/2))/(LN(2)/2)*V42*Y42*VLOOKUP('Données projet'!$B$9,Paramètres!$A$1:$I$89,3,0)*0.475*44/12</f>
        <v>0.51237594549241838</v>
      </c>
      <c r="AC42" s="22">
        <f t="shared" si="3"/>
        <v>14.401763874627232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5.4</v>
      </c>
      <c r="AI42" s="13">
        <f>IF('Données projet'!$A$62&gt;35,AI41+AH42-AQ41,IF(A42&lt;'Données projet'!$A$62,$AF$205^A42,IF(A42='Données projet'!$A$62,'Données projet'!$B$62,AI41+AH42-AQ41)))</f>
        <v>87.600000000000009</v>
      </c>
      <c r="AJ42" s="13">
        <f>AI42*VLOOKUP('Données projet'!$B$10,Paramètres!$A$1:$I$89,3,0)*VLOOKUP('Données projet'!$B$10,Paramètres!$A$1:$I$89,5,0)</f>
        <v>87.459840000000014</v>
      </c>
      <c r="AK42" s="13">
        <f t="shared" si="35"/>
        <v>23.951582517613154</v>
      </c>
      <c r="AL42" s="20">
        <f t="shared" si="4"/>
        <v>194.04156088484294</v>
      </c>
      <c r="AM42" s="59">
        <f t="shared" si="5"/>
        <v>487.37489421817622</v>
      </c>
      <c r="AN42" s="59">
        <f ca="1">AVERAGE(OFFSET($AM$3,0,0,'Données projet'!$E$10+1,1))-AVERAGE(OFFSET($H$3,0,0,'Données projet'!$E$10+1,1))</f>
        <v>260.68055529826694</v>
      </c>
      <c r="AO42" s="59">
        <f t="shared" si="36"/>
        <v>119.74772096645967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306.9474660325443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393.70000000000005</v>
      </c>
      <c r="L43" s="12">
        <f>VLOOKUP(A43,'Données projet'!$A$35:$I$55,9,0)</f>
        <v>14.850000000000003</v>
      </c>
      <c r="M43" s="12">
        <f t="array" ref="M43">INDEX(L:L,MIN(IF(ISNUMBER(L43:L239),ROW(L43:L239),"")))</f>
        <v>14.850000000000003</v>
      </c>
      <c r="N43" s="13">
        <f>IF('Données projet'!$A$36&gt;35,N42+M43-V42,IF(A43&lt;'Données projet'!$A$36,$K$205^A43,IF(A43='Données projet'!$A$36,'Données projet'!$B$36,N42+M43-V42)))</f>
        <v>393.70000000000016</v>
      </c>
      <c r="O43" s="13">
        <f>N43*VLOOKUP('Données projet'!$B$9,Paramètres!$A$1:$I$89,3,0)*VLOOKUP('Données projet'!$B$9,Paramètres!$A$1:$I$89,5,0)</f>
        <v>235.43260000000012</v>
      </c>
      <c r="P43" s="13">
        <f t="shared" si="33"/>
        <v>57.455735904492705</v>
      </c>
      <c r="Q43" s="20">
        <f t="shared" si="53"/>
        <v>510.11385170032503</v>
      </c>
      <c r="R43" s="59">
        <f t="shared" si="0"/>
        <v>803.44718503365834</v>
      </c>
      <c r="S43" s="59">
        <f ca="1">AVERAGE(OFFSET($R$3,0,0,'Données projet'!$E$9+1,1))-AVERAGE(OFFSET($H$3,0,0,'Données projet'!$E$9+1,1))</f>
        <v>244.06766379043052</v>
      </c>
      <c r="T43" s="59">
        <f t="shared" si="34"/>
        <v>300.17085261974006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7.1183706756576619</v>
      </c>
      <c r="AA43" s="21">
        <f>EXP(-LN(2)/25)*AA42+(1-EXP(-LN(2)/25))/(LN(2)/25)*Calculateur!V43*Calculateur!X43*VLOOKUP('Données projet'!$B$9,Paramètres!$A$1:$I$89,3,0)*0.475*44/12</f>
        <v>6.4473779183253779</v>
      </c>
      <c r="AB43" s="21">
        <f>EXP(-LN(2)/2)*AB42+(1-EXP(-LN(2)/2))/(LN(2)/2)*V43*Y43*VLOOKUP('Données projet'!$B$9,Paramètres!$A$1:$I$89,3,0)*0.475*44/12</f>
        <v>0.3623045055745579</v>
      </c>
      <c r="AC43" s="22">
        <f t="shared" si="3"/>
        <v>13.928053099557598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93</v>
      </c>
      <c r="AG43" s="12">
        <f>VLOOKUP(A43,'Données projet'!$A$61:$I$81,9,0)</f>
        <v>5.4</v>
      </c>
      <c r="AH43" s="12">
        <f t="array" ref="AH43">INDEX(AG:AG,MIN(IF(ISNUMBER(AG43:AG239),ROW(AG43:AG239),"")))</f>
        <v>5.4</v>
      </c>
      <c r="AI43" s="13">
        <f>IF('Données projet'!$A$62&gt;35,AI42+AH43-AQ42,IF(A43&lt;'Données projet'!$A$62,$AF$205^A43,IF(A43='Données projet'!$A$62,'Données projet'!$B$62,AI42+AH43-AQ42)))</f>
        <v>93.000000000000014</v>
      </c>
      <c r="AJ43" s="13">
        <f>AI43*VLOOKUP('Données projet'!$B$10,Paramètres!$A$1:$I$89,3,0)*VLOOKUP('Données projet'!$B$10,Paramètres!$A$1:$I$89,5,0)</f>
        <v>92.85120000000002</v>
      </c>
      <c r="AK43" s="13">
        <f t="shared" si="35"/>
        <v>25.251612622871896</v>
      </c>
      <c r="AL43" s="20">
        <f t="shared" si="4"/>
        <v>205.69573198483525</v>
      </c>
      <c r="AM43" s="59">
        <f t="shared" si="5"/>
        <v>499.02906531816859</v>
      </c>
      <c r="AN43" s="59">
        <f ca="1">AVERAGE(OFFSET($AM$3,0,0,'Données projet'!$E$10+1,1))-AVERAGE(OFFSET($H$3,0,0,'Données projet'!$E$10+1,1))</f>
        <v>260.68055529826694</v>
      </c>
      <c r="AO43" s="59">
        <f t="shared" si="36"/>
        <v>119.74772096645967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308.16846958846969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11.050000000000002</v>
      </c>
      <c r="N44" s="13">
        <f>IF('Données projet'!$A$36&gt;35,N43+M44-V43,IF(A44&lt;'Données projet'!$A$36,$K$205^A44,IF(A44='Données projet'!$A$36,'Données projet'!$B$36,N43+M44-V43)))</f>
        <v>404.75000000000017</v>
      </c>
      <c r="O44" s="13">
        <f>N44*VLOOKUP('Données projet'!$B$9,Paramètres!$A$1:$I$89,3,0)*VLOOKUP('Données projet'!$B$9,Paramètres!$A$1:$I$89,5,0)</f>
        <v>242.04050000000012</v>
      </c>
      <c r="P44" s="13">
        <f t="shared" si="33"/>
        <v>58.878337443371592</v>
      </c>
      <c r="Q44" s="20">
        <f t="shared" si="53"/>
        <v>524.10030854720571</v>
      </c>
      <c r="R44" s="59">
        <f t="shared" si="0"/>
        <v>817.43364188053897</v>
      </c>
      <c r="S44" s="59">
        <f ca="1">AVERAGE(OFFSET($R$3,0,0,'Données projet'!$E$9+1,1))-AVERAGE(OFFSET($H$3,0,0,'Données projet'!$E$9+1,1))</f>
        <v>244.06766379043052</v>
      </c>
      <c r="T44" s="59">
        <f t="shared" si="34"/>
        <v>300.17085261974006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6.9787837684854122</v>
      </c>
      <c r="AA44" s="21">
        <f>EXP(-LN(2)/25)*AA43+(1-EXP(-LN(2)/25))/(LN(2)/25)*Calculateur!V44*Calculateur!X44*VLOOKUP('Données projet'!$B$9,Paramètres!$A$1:$I$89,3,0)*0.475*44/12</f>
        <v>6.2710740300959014</v>
      </c>
      <c r="AB44" s="21">
        <f>EXP(-LN(2)/2)*AB43+(1-EXP(-LN(2)/2))/(LN(2)/2)*V44*Y44*VLOOKUP('Données projet'!$B$9,Paramètres!$A$1:$I$89,3,0)*0.475*44/12</f>
        <v>0.25618797274620919</v>
      </c>
      <c r="AC44" s="22">
        <f t="shared" si="3"/>
        <v>13.506045771327523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5.6</v>
      </c>
      <c r="AI44" s="13">
        <f>IF('Données projet'!$A$62&gt;35,AI43+AH44-AQ43,IF(A44&lt;'Données projet'!$A$62,$AF$205^A44,IF(A44='Données projet'!$A$62,'Données projet'!$B$62,AI43+AH44-AQ43)))</f>
        <v>98.600000000000009</v>
      </c>
      <c r="AJ44" s="13">
        <f>AI44*VLOOKUP('Données projet'!$B$10,Paramètres!$A$1:$I$89,3,0)*VLOOKUP('Données projet'!$B$10,Paramètres!$A$1:$I$89,5,0)</f>
        <v>98.442240000000012</v>
      </c>
      <c r="AK44" s="13">
        <f t="shared" si="35"/>
        <v>26.590544283900247</v>
      </c>
      <c r="AL44" s="20">
        <f t="shared" si="4"/>
        <v>217.76543262779293</v>
      </c>
      <c r="AM44" s="59">
        <f t="shared" si="5"/>
        <v>511.09876596112622</v>
      </c>
      <c r="AN44" s="59">
        <f ca="1">AVERAGE(OFFSET($AM$3,0,0,'Données projet'!$E$10+1,1))-AVERAGE(OFFSET($H$3,0,0,'Données projet'!$E$10+1,1))</f>
        <v>260.68055529826694</v>
      </c>
      <c r="AO44" s="59">
        <f t="shared" si="36"/>
        <v>119.74772096645967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309.38870746282663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11.050000000000002</v>
      </c>
      <c r="N45" s="13">
        <f>IF('Données projet'!$A$36&gt;35,N44+M45-V44,IF(A45&lt;'Données projet'!$A$36,$K$205^A45,IF(A45='Données projet'!$A$36,'Données projet'!$B$36,N44+M45-V44)))</f>
        <v>415.80000000000018</v>
      </c>
      <c r="O45" s="13">
        <f>N45*VLOOKUP('Données projet'!$B$9,Paramètres!$A$1:$I$89,3,0)*VLOOKUP('Données projet'!$B$9,Paramètres!$A$1:$I$89,5,0)</f>
        <v>248.64840000000012</v>
      </c>
      <c r="P45" s="13">
        <f t="shared" si="33"/>
        <v>60.296424802828774</v>
      </c>
      <c r="Q45" s="20">
        <f t="shared" si="53"/>
        <v>538.07890319826026</v>
      </c>
      <c r="R45" s="59">
        <f t="shared" si="0"/>
        <v>831.41223653159363</v>
      </c>
      <c r="S45" s="59">
        <f ca="1">AVERAGE(OFFSET($R$3,0,0,'Données projet'!$E$9+1,1))-AVERAGE(OFFSET($H$3,0,0,'Données projet'!$E$9+1,1))</f>
        <v>244.06766379043052</v>
      </c>
      <c r="T45" s="59">
        <f t="shared" si="34"/>
        <v>300.17085261974006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6.8419340754232039</v>
      </c>
      <c r="AA45" s="21">
        <f>EXP(-LN(2)/25)*AA44+(1-EXP(-LN(2)/25))/(LN(2)/25)*Calculateur!V45*Calculateur!X45*VLOOKUP('Données projet'!$B$9,Paramètres!$A$1:$I$89,3,0)*0.475*44/12</f>
        <v>6.099591180961478</v>
      </c>
      <c r="AB45" s="21">
        <f>EXP(-LN(2)/2)*AB44+(1-EXP(-LN(2)/2))/(LN(2)/2)*V45*Y45*VLOOKUP('Données projet'!$B$9,Paramètres!$A$1:$I$89,3,0)*0.475*44/12</f>
        <v>0.18115225278727895</v>
      </c>
      <c r="AC45" s="22">
        <f t="shared" si="3"/>
        <v>13.122677509171961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5.6</v>
      </c>
      <c r="AI45" s="13">
        <f>IF('Données projet'!$A$62&gt;35,AI44+AH45-AQ44,IF(A45&lt;'Données projet'!$A$62,$AF$205^A45,IF(A45='Données projet'!$A$62,'Données projet'!$B$62,AI44+AH45-AQ44)))</f>
        <v>104.2</v>
      </c>
      <c r="AJ45" s="13">
        <f>AI45*VLOOKUP('Données projet'!$B$10,Paramètres!$A$1:$I$89,3,0)*VLOOKUP('Données projet'!$B$10,Paramètres!$A$1:$I$89,5,0)</f>
        <v>104.03328</v>
      </c>
      <c r="AK45" s="13">
        <f t="shared" si="35"/>
        <v>27.92064851532438</v>
      </c>
      <c r="AL45" s="20">
        <f t="shared" si="4"/>
        <v>229.81975883085661</v>
      </c>
      <c r="AM45" s="59">
        <f t="shared" si="5"/>
        <v>523.15309216418996</v>
      </c>
      <c r="AN45" s="59">
        <f ca="1">AVERAGE(OFFSET($AM$3,0,0,'Données projet'!$E$10+1,1))-AVERAGE(OFFSET($H$3,0,0,'Données projet'!$E$10+1,1))</f>
        <v>260.68055529826694</v>
      </c>
      <c r="AO45" s="59">
        <f t="shared" si="36"/>
        <v>119.74772096645967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310.608199983867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11.050000000000002</v>
      </c>
      <c r="N46" s="13">
        <f>IF('Données projet'!$A$36&gt;35,N45+M46-V45,IF(A46&lt;'Données projet'!$A$36,$K$205^A46,IF(A46='Données projet'!$A$36,'Données projet'!$B$36,N45+M46-V45)))</f>
        <v>426.85000000000019</v>
      </c>
      <c r="O46" s="13">
        <f>N46*VLOOKUP('Données projet'!$B$9,Paramètres!$A$1:$I$89,3,0)*VLOOKUP('Données projet'!$B$9,Paramètres!$A$1:$I$89,5,0)</f>
        <v>255.25630000000012</v>
      </c>
      <c r="P46" s="13">
        <f t="shared" si="33"/>
        <v>61.710131737364215</v>
      </c>
      <c r="Q46" s="20">
        <f t="shared" si="53"/>
        <v>552.04986860924294</v>
      </c>
      <c r="R46" s="59">
        <f t="shared" si="0"/>
        <v>845.38320194257631</v>
      </c>
      <c r="S46" s="59">
        <f ca="1">AVERAGE(OFFSET($R$3,0,0,'Données projet'!$E$9+1,1))-AVERAGE(OFFSET($H$3,0,0,'Données projet'!$E$9+1,1))</f>
        <v>244.06766379043052</v>
      </c>
      <c r="T46" s="59">
        <f t="shared" si="34"/>
        <v>300.17085261974006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6.7077679213718744</v>
      </c>
      <c r="AA46" s="21">
        <f>EXP(-LN(2)/25)*AA45+(1-EXP(-LN(2)/25))/(LN(2)/25)*Calculateur!V46*Calculateur!X46*VLOOKUP('Données projet'!$B$9,Paramètres!$A$1:$I$89,3,0)*0.475*44/12</f>
        <v>5.9327975393545271</v>
      </c>
      <c r="AB46" s="21">
        <f>EXP(-LN(2)/2)*AB45+(1-EXP(-LN(2)/2))/(LN(2)/2)*V46*Y46*VLOOKUP('Données projet'!$B$9,Paramètres!$A$1:$I$89,3,0)*0.475*44/12</f>
        <v>0.1280939863731046</v>
      </c>
      <c r="AC46" s="22">
        <f t="shared" si="3"/>
        <v>12.768659447099505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5.6</v>
      </c>
      <c r="AI46" s="13">
        <f>IF('Données projet'!$A$62&gt;35,AI45+AH46-AQ45,IF(A46&lt;'Données projet'!$A$62,$AF$205^A46,IF(A46='Données projet'!$A$62,'Données projet'!$B$62,AI45+AH46-AQ45)))</f>
        <v>109.8</v>
      </c>
      <c r="AJ46" s="13">
        <f>AI46*VLOOKUP('Données projet'!$B$10,Paramètres!$A$1:$I$89,3,0)*VLOOKUP('Données projet'!$B$10,Paramètres!$A$1:$I$89,5,0)</f>
        <v>109.62432000000001</v>
      </c>
      <c r="AK46" s="13">
        <f t="shared" si="35"/>
        <v>29.242453818305641</v>
      </c>
      <c r="AL46" s="20">
        <f t="shared" si="4"/>
        <v>241.85963106688234</v>
      </c>
      <c r="AM46" s="59">
        <f t="shared" si="5"/>
        <v>535.19296440021571</v>
      </c>
      <c r="AN46" s="59">
        <f ca="1">AVERAGE(OFFSET($AM$3,0,0,'Données projet'!$E$10+1,1))-AVERAGE(OFFSET($H$3,0,0,'Données projet'!$E$10+1,1))</f>
        <v>260.68055529826694</v>
      </c>
      <c r="AO46" s="59">
        <f t="shared" si="36"/>
        <v>119.74772096645967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311.82696648039632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11.050000000000002</v>
      </c>
      <c r="N47" s="13">
        <f>IF('Données projet'!$A$36&gt;35,N46+M47-V46,IF(A47&lt;'Données projet'!$A$36,$K$205^A47,IF(A47='Données projet'!$A$36,'Données projet'!$B$36,N46+M47-V46)))</f>
        <v>437.9000000000002</v>
      </c>
      <c r="O47" s="13">
        <f>N47*VLOOKUP('Données projet'!$B$9,Paramètres!$A$1:$I$89,3,0)*VLOOKUP('Données projet'!$B$9,Paramètres!$A$1:$I$89,5,0)</f>
        <v>261.86420000000015</v>
      </c>
      <c r="P47" s="13">
        <f t="shared" si="33"/>
        <v>63.119584681911</v>
      </c>
      <c r="Q47" s="20">
        <f t="shared" si="53"/>
        <v>566.01342498766189</v>
      </c>
      <c r="R47" s="59">
        <f t="shared" si="0"/>
        <v>859.34675832099515</v>
      </c>
      <c r="S47" s="59">
        <f ca="1">AVERAGE(OFFSET($R$3,0,0,'Données projet'!$E$9+1,1))-AVERAGE(OFFSET($H$3,0,0,'Données projet'!$E$9+1,1))</f>
        <v>244.06766379043052</v>
      </c>
      <c r="T47" s="59">
        <f t="shared" si="34"/>
        <v>300.17085261974006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6.5762326837682181</v>
      </c>
      <c r="AA47" s="21">
        <f>EXP(-LN(2)/25)*AA46+(1-EXP(-LN(2)/25))/(LN(2)/25)*Calculateur!V47*Calculateur!X47*VLOOKUP('Données projet'!$B$9,Paramètres!$A$1:$I$89,3,0)*0.475*44/12</f>
        <v>5.7705648786486146</v>
      </c>
      <c r="AB47" s="21">
        <f>EXP(-LN(2)/2)*AB46+(1-EXP(-LN(2)/2))/(LN(2)/2)*V47*Y47*VLOOKUP('Données projet'!$B$9,Paramètres!$A$1:$I$89,3,0)*0.475*44/12</f>
        <v>9.0576126393639475E-2</v>
      </c>
      <c r="AC47" s="22">
        <f t="shared" si="3"/>
        <v>12.437373688810471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5.6</v>
      </c>
      <c r="AI47" s="13">
        <f>IF('Données projet'!$A$62&gt;35,AI46+AH47-AQ46,IF(A47&lt;'Données projet'!$A$62,$AF$205^A47,IF(A47='Données projet'!$A$62,'Données projet'!$B$62,AI46+AH47-AQ46)))</f>
        <v>115.39999999999999</v>
      </c>
      <c r="AJ47" s="13">
        <f>AI47*VLOOKUP('Données projet'!$B$10,Paramètres!$A$1:$I$89,3,0)*VLOOKUP('Données projet'!$B$10,Paramètres!$A$1:$I$89,5,0)</f>
        <v>115.21535999999999</v>
      </c>
      <c r="AK47" s="13">
        <f t="shared" si="35"/>
        <v>30.556431739921369</v>
      </c>
      <c r="AL47" s="20">
        <f t="shared" si="4"/>
        <v>253.88587061369637</v>
      </c>
      <c r="AM47" s="59">
        <f t="shared" si="5"/>
        <v>547.21920394702965</v>
      </c>
      <c r="AN47" s="59">
        <f ca="1">AVERAGE(OFFSET($AM$3,0,0,'Données projet'!$E$10+1,1))-AVERAGE(OFFSET($H$3,0,0,'Données projet'!$E$10+1,1))</f>
        <v>260.68055529826694</v>
      </c>
      <c r="AO47" s="59">
        <f t="shared" si="36"/>
        <v>119.74772096645967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313.04502535249287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11.050000000000002</v>
      </c>
      <c r="N48" s="13">
        <f>IF('Données projet'!$A$36&gt;35,N47+M48-V47,IF(A48&lt;'Données projet'!$A$36,$K$205^A48,IF(A48='Données projet'!$A$36,'Données projet'!$B$36,N47+M48-V47)))</f>
        <v>448.95000000000022</v>
      </c>
      <c r="O48" s="13">
        <f>N48*VLOOKUP('Données projet'!$B$9,Paramètres!$A$1:$I$89,3,0)*VLOOKUP('Données projet'!$B$9,Paramètres!$A$1:$I$89,5,0)</f>
        <v>268.47210000000013</v>
      </c>
      <c r="P48" s="13">
        <f t="shared" si="33"/>
        <v>64.524903326843926</v>
      </c>
      <c r="Q48" s="20">
        <f t="shared" si="53"/>
        <v>579.96978079425332</v>
      </c>
      <c r="R48" s="59">
        <f t="shared" si="0"/>
        <v>873.3031141275867</v>
      </c>
      <c r="S48" s="59">
        <f ca="1">AVERAGE(OFFSET($R$3,0,0,'Données projet'!$E$9+1,1))-AVERAGE(OFFSET($H$3,0,0,'Données projet'!$E$9+1,1))</f>
        <v>244.06766379043052</v>
      </c>
      <c r="T48" s="59">
        <f t="shared" si="34"/>
        <v>300.17085261974006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6.4472767719453969</v>
      </c>
      <c r="AA48" s="21">
        <f>EXP(-LN(2)/25)*AA47+(1-EXP(-LN(2)/25))/(LN(2)/25)*Calculateur!V48*Calculateur!X48*VLOOKUP('Données projet'!$B$9,Paramètres!$A$1:$I$89,3,0)*0.475*44/12</f>
        <v>5.6127684785811498</v>
      </c>
      <c r="AB48" s="21">
        <f>EXP(-LN(2)/2)*AB47+(1-EXP(-LN(2)/2))/(LN(2)/2)*V48*Y48*VLOOKUP('Données projet'!$B$9,Paramètres!$A$1:$I$89,3,0)*0.475*44/12</f>
        <v>6.4046993186552298E-2</v>
      </c>
      <c r="AC48" s="22">
        <f t="shared" si="3"/>
        <v>12.124092243713099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121</v>
      </c>
      <c r="AG48" s="12">
        <f>VLOOKUP(A48,'Données projet'!$A$61:$I$81,9,0)</f>
        <v>5.6</v>
      </c>
      <c r="AH48" s="12">
        <f t="array" ref="AH48">INDEX(AG:AG,MIN(IF(ISNUMBER(AG48:AG244),ROW(AG48:AG244),"")))</f>
        <v>5.6</v>
      </c>
      <c r="AI48" s="13">
        <f>IF('Données projet'!$A$62&gt;35,AI47+AH48-AQ47,IF(A48&lt;'Données projet'!$A$62,$AF$205^A48,IF(A48='Données projet'!$A$62,'Données projet'!$B$62,AI47+AH48-AQ47)))</f>
        <v>120.99999999999999</v>
      </c>
      <c r="AJ48" s="13">
        <f>AI48*VLOOKUP('Données projet'!$B$10,Paramètres!$A$1:$I$89,3,0)*VLOOKUP('Données projet'!$B$10,Paramètres!$A$1:$I$89,5,0)</f>
        <v>120.8064</v>
      </c>
      <c r="AK48" s="13">
        <f t="shared" si="35"/>
        <v>31.86300547616397</v>
      </c>
      <c r="AL48" s="20">
        <f t="shared" si="4"/>
        <v>265.89921453765226</v>
      </c>
      <c r="AM48" s="59">
        <f t="shared" si="5"/>
        <v>559.23254787098563</v>
      </c>
      <c r="AN48" s="59">
        <f ca="1">AVERAGE(OFFSET($AM$3,0,0,'Données projet'!$E$10+1,1))-AVERAGE(OFFSET($H$3,0,0,'Données projet'!$E$10+1,1))</f>
        <v>260.68055529826694</v>
      </c>
      <c r="AO48" s="59">
        <f t="shared" si="36"/>
        <v>119.74772096645967</v>
      </c>
      <c r="AP48" s="15">
        <f>IF(ISNA(VLOOKUP(A48,'Données projet'!$A$61:$I$81,3,0)),0,VLOOKUP(A48,'Données projet'!$A$61:$I$81,3,0))</f>
        <v>2</v>
      </c>
      <c r="AQ48" s="15">
        <f>IF(ISNA(VLOOKUP(A48,'Données projet'!$A$61:$I$81,4,0)),0,VLOOKUP(A48,'Données projet'!$A$61:$I$81,4,0))</f>
        <v>27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314.26239413576309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460.00000000000006</v>
      </c>
      <c r="L49" s="12">
        <f>VLOOKUP(A49,'Données projet'!$A$35:$I$55,9,0)</f>
        <v>11.050000000000002</v>
      </c>
      <c r="M49" s="12">
        <f t="array" ref="M49">INDEX(L:L,MIN(IF(ISNUMBER(L49:L245),ROW(L49:L245),"")))</f>
        <v>11.050000000000002</v>
      </c>
      <c r="N49" s="13">
        <f>IF('Données projet'!$A$36&gt;35,N48+M49-V48,IF(A49&lt;'Données projet'!$A$36,$K$205^A49,IF(A49='Données projet'!$A$36,'Données projet'!$B$36,N48+M49-V48)))</f>
        <v>460.00000000000023</v>
      </c>
      <c r="O49" s="13">
        <f>N49*VLOOKUP('Données projet'!$B$9,Paramètres!$A$1:$I$89,3,0)*VLOOKUP('Données projet'!$B$9,Paramètres!$A$1:$I$89,5,0)</f>
        <v>275.08000000000015</v>
      </c>
      <c r="P49" s="13">
        <f t="shared" si="33"/>
        <v>65.926201134783341</v>
      </c>
      <c r="Q49" s="20">
        <f t="shared" si="53"/>
        <v>593.91913364308118</v>
      </c>
      <c r="R49" s="59">
        <f t="shared" si="0"/>
        <v>887.25246697641455</v>
      </c>
      <c r="S49" s="59">
        <f ca="1">AVERAGE(OFFSET($R$3,0,0,'Données projet'!$E$9+1,1))-AVERAGE(OFFSET($H$3,0,0,'Données projet'!$E$9+1,1))</f>
        <v>244.06766379043052</v>
      </c>
      <c r="T49" s="59">
        <f t="shared" si="34"/>
        <v>300.17085261974006</v>
      </c>
      <c r="U49" s="15">
        <f>IF(ISNA(VLOOKUP(A49,'Données projet'!$A$35:$I$55,3,0)),0,VLOOKUP(A49,'Données projet'!$A$35:$I$55,3,0))</f>
        <v>5</v>
      </c>
      <c r="V49" s="15">
        <f>IF(ISNA(VLOOKUP(A49,'Données projet'!$A$35:$I$55,4,0)),0,VLOOKUP(A49,'Données projet'!$A$35:$I$55,4,0))</f>
        <v>460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6.3208496068980811</v>
      </c>
      <c r="AA49" s="21">
        <f>EXP(-LN(2)/25)*AA48+(1-EXP(-LN(2)/25))/(LN(2)/25)*Calculateur!V49*Calculateur!X49*VLOOKUP('Données projet'!$B$9,Paramètres!$A$1:$I$89,3,0)*0.475*44/12</f>
        <v>5.4592870293716818</v>
      </c>
      <c r="AB49" s="21">
        <f>EXP(-LN(2)/2)*AB48+(1-EXP(-LN(2)/2))/(LN(2)/2)*V49*Y49*VLOOKUP('Données projet'!$B$9,Paramètres!$A$1:$I$89,3,0)*0.475*44/12</f>
        <v>4.5288063196819738E-2</v>
      </c>
      <c r="AC49" s="22">
        <f t="shared" si="3"/>
        <v>11.825424699466582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5.4</v>
      </c>
      <c r="AI49" s="13">
        <f>IF('Données projet'!$A$62&gt;35,AI48+AH49-AQ48,IF(A49&lt;'Données projet'!$A$62,$AF$205^A49,IF(A49='Données projet'!$A$62,'Données projet'!$B$62,AI48+AH49-AQ48)))</f>
        <v>99.399999999999991</v>
      </c>
      <c r="AJ49" s="13">
        <f>AI49*VLOOKUP('Données projet'!$B$10,Paramètres!$A$1:$I$89,3,0)*VLOOKUP('Données projet'!$B$10,Paramètres!$A$1:$I$89,5,0)</f>
        <v>99.240959999999987</v>
      </c>
      <c r="AK49" s="13">
        <f t="shared" si="35"/>
        <v>26.781086624650886</v>
      </c>
      <c r="AL49" s="20">
        <f t="shared" si="4"/>
        <v>219.48839787126693</v>
      </c>
      <c r="AM49" s="59">
        <f t="shared" si="5"/>
        <v>512.82173120460027</v>
      </c>
      <c r="AN49" s="59">
        <f ca="1">AVERAGE(OFFSET($AM$3,0,0,'Données projet'!$E$10+1,1))-AVERAGE(OFFSET($H$3,0,0,'Données projet'!$E$10+1,1))</f>
        <v>260.68055529826694</v>
      </c>
      <c r="AO49" s="59">
        <f t="shared" si="36"/>
        <v>119.74772096645967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315.47908955985213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2.2737367544323206E-13</v>
      </c>
      <c r="O50" s="13">
        <f>N50*VLOOKUP('Données projet'!$B$9,Paramètres!$A$1:$I$89,3,0)*VLOOKUP('Données projet'!$B$9,Paramètres!$A$1:$I$89,5,0)</f>
        <v>1.3596945791505279E-13</v>
      </c>
      <c r="P50" s="13">
        <f t="shared" si="33"/>
        <v>1.9708830566360721E-12</v>
      </c>
      <c r="Q50" s="20">
        <f t="shared" si="53"/>
        <v>3.669434796176543E-12</v>
      </c>
      <c r="R50" s="59">
        <f t="shared" si="0"/>
        <v>293.33333333333701</v>
      </c>
      <c r="S50" s="59">
        <f ca="1">AVERAGE(OFFSET($R$3,0,0,'Données projet'!$E$9+1,1))-AVERAGE(OFFSET($H$3,0,0,'Données projet'!$E$9+1,1))</f>
        <v>244.06766379043052</v>
      </c>
      <c r="T50" s="59">
        <f t="shared" si="34"/>
        <v>300.17085261974006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6.1969016014443872</v>
      </c>
      <c r="AA50" s="21">
        <f>EXP(-LN(2)/25)*AA49+(1-EXP(-LN(2)/25))/(LN(2)/25)*Calculateur!V50*Calculateur!X50*VLOOKUP('Données projet'!$B$9,Paramètres!$A$1:$I$89,3,0)*0.475*44/12</f>
        <v>5.3100025384620855</v>
      </c>
      <c r="AB50" s="21">
        <f>EXP(-LN(2)/2)*AB49+(1-EXP(-LN(2)/2))/(LN(2)/2)*V50*Y50*VLOOKUP('Données projet'!$B$9,Paramètres!$A$1:$I$89,3,0)*0.475*44/12</f>
        <v>3.2023496593276149E-2</v>
      </c>
      <c r="AC50" s="22">
        <f t="shared" si="3"/>
        <v>11.538927636499748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5.4</v>
      </c>
      <c r="AI50" s="13">
        <f>IF('Données projet'!$A$62&gt;35,AI49+AH50-AQ49,IF(A50&lt;'Données projet'!$A$62,$AF$205^A50,IF(A50='Données projet'!$A$62,'Données projet'!$B$62,AI49+AH50-AQ49)))</f>
        <v>104.8</v>
      </c>
      <c r="AJ50" s="13">
        <f>AI50*VLOOKUP('Données projet'!$B$10,Paramètres!$A$1:$I$89,3,0)*VLOOKUP('Données projet'!$B$10,Paramètres!$A$1:$I$89,5,0)</f>
        <v>104.63232000000001</v>
      </c>
      <c r="AK50" s="13">
        <f t="shared" si="35"/>
        <v>28.062658697280963</v>
      </c>
      <c r="AL50" s="20">
        <f t="shared" si="4"/>
        <v>231.11042123109766</v>
      </c>
      <c r="AM50" s="59">
        <f t="shared" si="5"/>
        <v>524.44375456443095</v>
      </c>
      <c r="AN50" s="59">
        <f ca="1">AVERAGE(OFFSET($AM$3,0,0,'Données projet'!$E$10+1,1))-AVERAGE(OFFSET($H$3,0,0,'Données projet'!$E$10+1,1))</f>
        <v>260.68055529826694</v>
      </c>
      <c r="AO50" s="59">
        <f t="shared" si="36"/>
        <v>119.74772096645967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316.69512760183437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2.2737367544323206E-13</v>
      </c>
      <c r="O51" s="13">
        <f>N51*VLOOKUP('Données projet'!$B$9,Paramètres!$A$1:$I$89,3,0)*VLOOKUP('Données projet'!$B$9,Paramètres!$A$1:$I$89,5,0)</f>
        <v>1.3596945791505279E-13</v>
      </c>
      <c r="P51" s="13">
        <f t="shared" si="33"/>
        <v>1.9708830566360721E-12</v>
      </c>
      <c r="Q51" s="20">
        <f t="shared" si="53"/>
        <v>3.669434796176543E-12</v>
      </c>
      <c r="R51" s="59">
        <f t="shared" si="0"/>
        <v>293.33333333333701</v>
      </c>
      <c r="S51" s="59">
        <f ca="1">AVERAGE(OFFSET($R$3,0,0,'Données projet'!$E$9+1,1))-AVERAGE(OFFSET($H$3,0,0,'Données projet'!$E$9+1,1))</f>
        <v>244.06766379043052</v>
      </c>
      <c r="T51" s="59">
        <f t="shared" si="34"/>
        <v>300.17085261974006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6.0753841407768219</v>
      </c>
      <c r="AA51" s="21">
        <f>EXP(-LN(2)/25)*AA50+(1-EXP(-LN(2)/25))/(LN(2)/25)*Calculateur!V51*Calculateur!X51*VLOOKUP('Données projet'!$B$9,Paramètres!$A$1:$I$89,3,0)*0.475*44/12</f>
        <v>5.1648002398069428</v>
      </c>
      <c r="AB51" s="21">
        <f>EXP(-LN(2)/2)*AB50+(1-EXP(-LN(2)/2))/(LN(2)/2)*V51*Y51*VLOOKUP('Données projet'!$B$9,Paramètres!$A$1:$I$89,3,0)*0.475*44/12</f>
        <v>2.2644031598409869E-2</v>
      </c>
      <c r="AC51" s="22">
        <f t="shared" si="3"/>
        <v>11.262828412182175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5.4</v>
      </c>
      <c r="AI51" s="13">
        <f>IF('Données projet'!$A$62&gt;35,AI50+AH51-AQ50,IF(A51&lt;'Données projet'!$A$62,$AF$205^A51,IF(A51='Données projet'!$A$62,'Données projet'!$B$62,AI50+AH51-AQ50)))</f>
        <v>110.2</v>
      </c>
      <c r="AJ51" s="13">
        <f>AI51*VLOOKUP('Données projet'!$B$10,Paramètres!$A$1:$I$89,3,0)*VLOOKUP('Données projet'!$B$10,Paramètres!$A$1:$I$89,5,0)</f>
        <v>110.02368000000001</v>
      </c>
      <c r="AK51" s="13">
        <f t="shared" si="35"/>
        <v>29.336563695360827</v>
      </c>
      <c r="AL51" s="20">
        <f t="shared" si="4"/>
        <v>242.71909110275348</v>
      </c>
      <c r="AM51" s="59">
        <f t="shared" si="5"/>
        <v>536.05242443608677</v>
      </c>
      <c r="AN51" s="59">
        <f ca="1">AVERAGE(OFFSET($AM$3,0,0,'Données projet'!$E$10+1,1))-AVERAGE(OFFSET($H$3,0,0,'Données projet'!$E$10+1,1))</f>
        <v>260.68055529826694</v>
      </c>
      <c r="AO51" s="59">
        <f t="shared" si="36"/>
        <v>119.74772096645967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317.91052353502909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2.2737367544323206E-13</v>
      </c>
      <c r="O52" s="13">
        <f>N52*VLOOKUP('Données projet'!$B$9,Paramètres!$A$1:$I$89,3,0)*VLOOKUP('Données projet'!$B$9,Paramètres!$A$1:$I$89,5,0)</f>
        <v>1.3596945791505279E-13</v>
      </c>
      <c r="P52" s="13">
        <f t="shared" si="33"/>
        <v>1.9708830566360721E-12</v>
      </c>
      <c r="Q52" s="20">
        <f t="shared" si="53"/>
        <v>3.669434796176543E-12</v>
      </c>
      <c r="R52" s="59">
        <f t="shared" si="0"/>
        <v>293.33333333333701</v>
      </c>
      <c r="S52" s="59">
        <f ca="1">AVERAGE(OFFSET($R$3,0,0,'Données projet'!$E$9+1,1))-AVERAGE(OFFSET($H$3,0,0,'Données projet'!$E$9+1,1))</f>
        <v>244.06766379043052</v>
      </c>
      <c r="T52" s="59">
        <f t="shared" si="34"/>
        <v>300.17085261974006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5.9562495633946151</v>
      </c>
      <c r="AA52" s="21">
        <f>EXP(-LN(2)/25)*AA51+(1-EXP(-LN(2)/25))/(LN(2)/25)*Calculateur!V52*Calculateur!X52*VLOOKUP('Données projet'!$B$9,Paramètres!$A$1:$I$89,3,0)*0.475*44/12</f>
        <v>5.0235685056443815</v>
      </c>
      <c r="AB52" s="21">
        <f>EXP(-LN(2)/2)*AB51+(1-EXP(-LN(2)/2))/(LN(2)/2)*V52*Y52*VLOOKUP('Données projet'!$B$9,Paramètres!$A$1:$I$89,3,0)*0.475*44/12</f>
        <v>1.6011748296638074E-2</v>
      </c>
      <c r="AC52" s="22">
        <f t="shared" si="3"/>
        <v>10.995829817335634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5.4</v>
      </c>
      <c r="AI52" s="13">
        <f>IF('Données projet'!$A$62&gt;35,AI51+AH52-AQ51,IF(A52&lt;'Données projet'!$A$62,$AF$205^A52,IF(A52='Données projet'!$A$62,'Données projet'!$B$62,AI51+AH52-AQ51)))</f>
        <v>115.60000000000001</v>
      </c>
      <c r="AJ52" s="13">
        <f>AI52*VLOOKUP('Données projet'!$B$10,Paramètres!$A$1:$I$89,3,0)*VLOOKUP('Données projet'!$B$10,Paramètres!$A$1:$I$89,5,0)</f>
        <v>115.41504000000002</v>
      </c>
      <c r="AK52" s="13">
        <f t="shared" si="35"/>
        <v>30.603220200020697</v>
      </c>
      <c r="AL52" s="20">
        <f t="shared" si="4"/>
        <v>254.31513651503607</v>
      </c>
      <c r="AM52" s="59">
        <f t="shared" si="5"/>
        <v>547.64846984836936</v>
      </c>
      <c r="AN52" s="59">
        <f ca="1">AVERAGE(OFFSET($AM$3,0,0,'Données projet'!$E$10+1,1))-AVERAGE(OFFSET($H$3,0,0,'Données projet'!$E$10+1,1))</f>
        <v>260.68055529826694</v>
      </c>
      <c r="AO52" s="59">
        <f t="shared" si="36"/>
        <v>119.74772096645967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319.12529197371839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2.2737367544323206E-13</v>
      </c>
      <c r="O53" s="13">
        <f>N53*VLOOKUP('Données projet'!$B$9,Paramètres!$A$1:$I$89,3,0)*VLOOKUP('Données projet'!$B$9,Paramètres!$A$1:$I$89,5,0)</f>
        <v>1.3596945791505279E-13</v>
      </c>
      <c r="P53" s="13">
        <f t="shared" si="33"/>
        <v>1.9708830566360721E-12</v>
      </c>
      <c r="Q53" s="20">
        <f t="shared" si="53"/>
        <v>3.669434796176543E-12</v>
      </c>
      <c r="R53" s="59">
        <f t="shared" si="0"/>
        <v>293.33333333333701</v>
      </c>
      <c r="S53" s="59">
        <f ca="1">AVERAGE(OFFSET($R$3,0,0,'Données projet'!$E$9+1,1))-AVERAGE(OFFSET($H$3,0,0,'Données projet'!$E$9+1,1))</f>
        <v>244.06766379043052</v>
      </c>
      <c r="T53" s="59">
        <f t="shared" si="34"/>
        <v>300.17085261974006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5.8394511424099562</v>
      </c>
      <c r="AA53" s="21">
        <f>EXP(-LN(2)/25)*AA52+(1-EXP(-LN(2)/25))/(LN(2)/25)*Calculateur!V53*Calculateur!X53*VLOOKUP('Données projet'!$B$9,Paramètres!$A$1:$I$89,3,0)*0.475*44/12</f>
        <v>4.8861987606795498</v>
      </c>
      <c r="AB53" s="21">
        <f>EXP(-LN(2)/2)*AB52+(1-EXP(-LN(2)/2))/(LN(2)/2)*V53*Y53*VLOOKUP('Données projet'!$B$9,Paramètres!$A$1:$I$89,3,0)*0.475*44/12</f>
        <v>1.1322015799204934E-2</v>
      </c>
      <c r="AC53" s="22">
        <f t="shared" si="3"/>
        <v>10.736971918888711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121</v>
      </c>
      <c r="AG53" s="12">
        <f>VLOOKUP(A53,'Données projet'!$A$61:$I$81,9,0)</f>
        <v>5.4</v>
      </c>
      <c r="AH53" s="12">
        <f t="array" ref="AH53">INDEX(AG:AG,MIN(IF(ISNUMBER(AG53:AG249),ROW(AG53:AG249),"")))</f>
        <v>5.4</v>
      </c>
      <c r="AI53" s="13">
        <f>IF('Données projet'!$A$62&gt;35,AI52+AH53-AQ52,IF(A53&lt;'Données projet'!$A$62,$AF$205^A53,IF(A53='Données projet'!$A$62,'Données projet'!$B$62,AI52+AH53-AQ52)))</f>
        <v>121.00000000000001</v>
      </c>
      <c r="AJ53" s="13">
        <f>AI53*VLOOKUP('Données projet'!$B$10,Paramètres!$A$1:$I$89,3,0)*VLOOKUP('Données projet'!$B$10,Paramètres!$A$1:$I$89,5,0)</f>
        <v>120.80640000000002</v>
      </c>
      <c r="AK53" s="13">
        <f t="shared" si="35"/>
        <v>31.86300547616397</v>
      </c>
      <c r="AL53" s="20">
        <f t="shared" si="4"/>
        <v>265.89921453765231</v>
      </c>
      <c r="AM53" s="59">
        <f t="shared" si="5"/>
        <v>559.23254787098563</v>
      </c>
      <c r="AN53" s="59">
        <f ca="1">AVERAGE(OFFSET($AM$3,0,0,'Données projet'!$E$10+1,1))-AVERAGE(OFFSET($H$3,0,0,'Données projet'!$E$10+1,1))</f>
        <v>260.68055529826694</v>
      </c>
      <c r="AO53" s="59">
        <f t="shared" si="36"/>
        <v>119.74772096645967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320.33944691418702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2.2737367544323206E-13</v>
      </c>
      <c r="O54" s="13">
        <f>N54*VLOOKUP('Données projet'!$B$9,Paramètres!$A$1:$I$89,3,0)*VLOOKUP('Données projet'!$B$9,Paramètres!$A$1:$I$89,5,0)</f>
        <v>1.3596945791505279E-13</v>
      </c>
      <c r="P54" s="13">
        <f t="shared" si="33"/>
        <v>1.9708830566360721E-12</v>
      </c>
      <c r="Q54" s="20">
        <f t="shared" si="53"/>
        <v>3.669434796176543E-12</v>
      </c>
      <c r="R54" s="59">
        <f t="shared" si="0"/>
        <v>293.33333333333701</v>
      </c>
      <c r="S54" s="59">
        <f ca="1">AVERAGE(OFFSET($R$3,0,0,'Données projet'!$E$9+1,1))-AVERAGE(OFFSET($H$3,0,0,'Données projet'!$E$9+1,1))</f>
        <v>244.06766379043052</v>
      </c>
      <c r="T54" s="59">
        <f t="shared" si="34"/>
        <v>300.17085261974006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5.7249430672208037</v>
      </c>
      <c r="AA54" s="21">
        <f>EXP(-LN(2)/25)*AA53+(1-EXP(-LN(2)/25))/(LN(2)/25)*Calculateur!V54*Calculateur!X54*VLOOKUP('Données projet'!$B$9,Paramètres!$A$1:$I$89,3,0)*0.475*44/12</f>
        <v>4.7525853986147419</v>
      </c>
      <c r="AB54" s="21">
        <f>EXP(-LN(2)/2)*AB53+(1-EXP(-LN(2)/2))/(LN(2)/2)*V54*Y54*VLOOKUP('Données projet'!$B$9,Paramètres!$A$1:$I$89,3,0)*0.475*44/12</f>
        <v>8.0058741483190372E-3</v>
      </c>
      <c r="AC54" s="22">
        <f t="shared" si="3"/>
        <v>10.485534339983865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126.60000000000001</v>
      </c>
      <c r="AJ54" s="13">
        <f>AI54*VLOOKUP('Données projet'!$B$10,Paramètres!$A$1:$I$89,3,0)*VLOOKUP('Données projet'!$B$10,Paramètres!$A$1:$I$89,5,0)</f>
        <v>126.39744</v>
      </c>
      <c r="AK54" s="13">
        <f t="shared" si="35"/>
        <v>33.162556837261</v>
      </c>
      <c r="AL54" s="20">
        <f t="shared" si="4"/>
        <v>277.90032782489624</v>
      </c>
      <c r="AM54" s="59">
        <f t="shared" si="5"/>
        <v>571.23366115822955</v>
      </c>
      <c r="AN54" s="59">
        <f ca="1">AVERAGE(OFFSET($AM$3,0,0,'Données projet'!$E$10+1,1))-AVERAGE(OFFSET($H$3,0,0,'Données projet'!$E$10+1,1))</f>
        <v>260.68055529826694</v>
      </c>
      <c r="AO54" s="59">
        <f t="shared" si="36"/>
        <v>119.74772096645967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321.55300177245209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2.2737367544323206E-13</v>
      </c>
      <c r="O55" s="13">
        <f>N55*VLOOKUP('Données projet'!$B$9,Paramètres!$A$1:$I$89,3,0)*VLOOKUP('Données projet'!$B$9,Paramètres!$A$1:$I$89,5,0)</f>
        <v>1.3596945791505279E-13</v>
      </c>
      <c r="P55" s="13">
        <f t="shared" si="33"/>
        <v>1.9708830566360721E-12</v>
      </c>
      <c r="Q55" s="20">
        <f t="shared" si="53"/>
        <v>3.669434796176543E-12</v>
      </c>
      <c r="R55" s="59">
        <f t="shared" si="0"/>
        <v>293.33333333333701</v>
      </c>
      <c r="S55" s="59">
        <f ca="1">AVERAGE(OFFSET($R$3,0,0,'Données projet'!$E$9+1,1))-AVERAGE(OFFSET($H$3,0,0,'Données projet'!$E$9+1,1))</f>
        <v>244.06766379043052</v>
      </c>
      <c r="T55" s="59">
        <f t="shared" si="34"/>
        <v>300.17085261974006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5.6126804255430809</v>
      </c>
      <c r="AA55" s="21">
        <f>EXP(-LN(2)/25)*AA54+(1-EXP(-LN(2)/25))/(LN(2)/25)*Calculateur!V55*Calculateur!X55*VLOOKUP('Données projet'!$B$9,Paramètres!$A$1:$I$89,3,0)*0.475*44/12</f>
        <v>4.6226257009620175</v>
      </c>
      <c r="AB55" s="21">
        <f>EXP(-LN(2)/2)*AB54+(1-EXP(-LN(2)/2))/(LN(2)/2)*V55*Y55*VLOOKUP('Données projet'!$B$9,Paramètres!$A$1:$I$89,3,0)*0.475*44/12</f>
        <v>5.6610078996024672E-3</v>
      </c>
      <c r="AC55" s="22">
        <f t="shared" si="3"/>
        <v>10.2409671344047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132.20000000000002</v>
      </c>
      <c r="AJ55" s="13">
        <f>AI55*VLOOKUP('Données projet'!$B$10,Paramètres!$A$1:$I$89,3,0)*VLOOKUP('Données projet'!$B$10,Paramètres!$A$1:$I$89,5,0)</f>
        <v>131.98848000000004</v>
      </c>
      <c r="AK55" s="13">
        <f t="shared" si="35"/>
        <v>34.455431945787332</v>
      </c>
      <c r="AL55" s="20">
        <f t="shared" si="4"/>
        <v>289.88981330557965</v>
      </c>
      <c r="AM55" s="59">
        <f t="shared" si="5"/>
        <v>583.22314663891302</v>
      </c>
      <c r="AN55" s="59">
        <f ca="1">AVERAGE(OFFSET($AM$3,0,0,'Données projet'!$E$10+1,1))-AVERAGE(OFFSET($H$3,0,0,'Données projet'!$E$10+1,1))</f>
        <v>260.68055529826694</v>
      </c>
      <c r="AO55" s="59">
        <f t="shared" si="36"/>
        <v>119.74772096645967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322.76596941900885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2.2737367544323206E-13</v>
      </c>
      <c r="O56" s="13">
        <f>N56*VLOOKUP('Données projet'!$B$9,Paramètres!$A$1:$I$89,3,0)*VLOOKUP('Données projet'!$B$9,Paramètres!$A$1:$I$89,5,0)</f>
        <v>1.3596945791505279E-13</v>
      </c>
      <c r="P56" s="13">
        <f t="shared" si="33"/>
        <v>1.9708830566360721E-12</v>
      </c>
      <c r="Q56" s="20">
        <f t="shared" si="53"/>
        <v>3.669434796176543E-12</v>
      </c>
      <c r="R56" s="59">
        <f t="shared" si="0"/>
        <v>293.33333333333701</v>
      </c>
      <c r="S56" s="59">
        <f ca="1">AVERAGE(OFFSET($R$3,0,0,'Données projet'!$E$9+1,1))-AVERAGE(OFFSET($H$3,0,0,'Données projet'!$E$9+1,1))</f>
        <v>244.06766379043052</v>
      </c>
      <c r="T56" s="59">
        <f t="shared" si="34"/>
        <v>300.17085261974006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5.5026191857952087</v>
      </c>
      <c r="AA56" s="21">
        <f>EXP(-LN(2)/25)*AA55+(1-EXP(-LN(2)/25))/(LN(2)/25)*Calculateur!V56*Calculateur!X56*VLOOKUP('Données projet'!$B$9,Paramètres!$A$1:$I$89,3,0)*0.475*44/12</f>
        <v>4.4962197580758909</v>
      </c>
      <c r="AB56" s="21">
        <f>EXP(-LN(2)/2)*AB55+(1-EXP(-LN(2)/2))/(LN(2)/2)*V56*Y56*VLOOKUP('Données projet'!$B$9,Paramètres!$A$1:$I$89,3,0)*0.475*44/12</f>
        <v>4.0029370741595186E-3</v>
      </c>
      <c r="AC56" s="22">
        <f t="shared" si="3"/>
        <v>10.00284188094526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137.80000000000001</v>
      </c>
      <c r="AJ56" s="13">
        <f>AI56*VLOOKUP('Données projet'!$B$10,Paramètres!$A$1:$I$89,3,0)*VLOOKUP('Données projet'!$B$10,Paramètres!$A$1:$I$89,5,0)</f>
        <v>137.57952</v>
      </c>
      <c r="AK56" s="13">
        <f t="shared" si="35"/>
        <v>35.741945942068483</v>
      </c>
      <c r="AL56" s="20">
        <f t="shared" si="4"/>
        <v>301.86821984910256</v>
      </c>
      <c r="AM56" s="59">
        <f t="shared" si="5"/>
        <v>595.20155318243587</v>
      </c>
      <c r="AN56" s="59">
        <f ca="1">AVERAGE(OFFSET($AM$3,0,0,'Données projet'!$E$10+1,1))-AVERAGE(OFFSET($H$3,0,0,'Données projet'!$E$10+1,1))</f>
        <v>260.68055529826694</v>
      </c>
      <c r="AO56" s="59">
        <f t="shared" si="36"/>
        <v>119.74772096645967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323.97836221087948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1.3596945791505279E-13</v>
      </c>
      <c r="P57" s="13">
        <f t="shared" si="33"/>
        <v>1.9708830566360721E-12</v>
      </c>
      <c r="Q57" s="20">
        <f t="shared" si="53"/>
        <v>3.669434796176543E-12</v>
      </c>
      <c r="R57" s="59">
        <f t="shared" si="0"/>
        <v>293.33333333333701</v>
      </c>
      <c r="S57" s="59">
        <f ca="1">AVERAGE(OFFSET($R$3,0,0,'Données projet'!$E$9+1,1))-AVERAGE(OFFSET($H$3,0,0,'Données projet'!$E$9+1,1))</f>
        <v>244.06766379043052</v>
      </c>
      <c r="T57" s="59">
        <f t="shared" si="34"/>
        <v>300.17085261974006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5.3947161798280643</v>
      </c>
      <c r="AA57" s="21">
        <f>EXP(-LN(2)/25)*AA56+(1-EXP(-LN(2)/25))/(LN(2)/25)*Calculateur!V57*Calculateur!X57*VLOOKUP('Données projet'!$B$9,Paramètres!$A$1:$I$89,3,0)*0.475*44/12</f>
        <v>4.3732703923453853</v>
      </c>
      <c r="AB57" s="21">
        <f>EXP(-LN(2)/2)*AB56+(1-EXP(-LN(2)/2))/(LN(2)/2)*V57*Y57*VLOOKUP('Données projet'!$B$9,Paramètres!$A$1:$I$89,3,0)*0.475*44/12</f>
        <v>2.8305039498012336E-3</v>
      </c>
      <c r="AC57" s="22">
        <f t="shared" si="3"/>
        <v>9.7708170761232491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143.4</v>
      </c>
      <c r="AJ57" s="13">
        <f>AI57*VLOOKUP('Données projet'!$B$10,Paramètres!$A$1:$I$89,3,0)*VLOOKUP('Données projet'!$B$10,Paramètres!$A$1:$I$89,5,0)</f>
        <v>143.17056000000002</v>
      </c>
      <c r="AK57" s="13">
        <f t="shared" si="35"/>
        <v>37.022386903161298</v>
      </c>
      <c r="AL57" s="20">
        <f t="shared" si="4"/>
        <v>313.83604918967262</v>
      </c>
      <c r="AM57" s="59">
        <f t="shared" si="5"/>
        <v>607.16938252300588</v>
      </c>
      <c r="AN57" s="59">
        <f ca="1">AVERAGE(OFFSET($AM$3,0,0,'Données projet'!$E$10+1,1))-AVERAGE(OFFSET($H$3,0,0,'Données projet'!$E$10+1,1))</f>
        <v>260.68055529826694</v>
      </c>
      <c r="AO57" s="59">
        <f t="shared" si="36"/>
        <v>119.74772096645967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325.19019202122132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1.3596945791505279E-13</v>
      </c>
      <c r="P58" s="13">
        <f t="shared" si="33"/>
        <v>1.9708830566360721E-12</v>
      </c>
      <c r="Q58" s="20">
        <f t="shared" si="53"/>
        <v>3.669434796176543E-12</v>
      </c>
      <c r="R58" s="59">
        <f t="shared" si="0"/>
        <v>293.33333333333701</v>
      </c>
      <c r="S58" s="59">
        <f ca="1">AVERAGE(OFFSET($R$3,0,0,'Données projet'!$E$9+1,1))-AVERAGE(OFFSET($H$3,0,0,'Données projet'!$E$9+1,1))</f>
        <v>244.06766379043052</v>
      </c>
      <c r="T58" s="59">
        <f t="shared" si="34"/>
        <v>300.17085261974006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5.2889290859936002</v>
      </c>
      <c r="AA58" s="21">
        <f>EXP(-LN(2)/25)*AA57+(1-EXP(-LN(2)/25))/(LN(2)/25)*Calculateur!V58*Calculateur!X58*VLOOKUP('Données projet'!$B$9,Paramètres!$A$1:$I$89,3,0)*0.475*44/12</f>
        <v>4.2536830834864059</v>
      </c>
      <c r="AB58" s="21">
        <f>EXP(-LN(2)/2)*AB57+(1-EXP(-LN(2)/2))/(LN(2)/2)*V58*Y58*VLOOKUP('Données projet'!$B$9,Paramètres!$A$1:$I$89,3,0)*0.475*44/12</f>
        <v>2.0014685370797593E-3</v>
      </c>
      <c r="AC58" s="22">
        <f t="shared" si="3"/>
        <v>9.5446136380170845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149</v>
      </c>
      <c r="AG58" s="12">
        <f>VLOOKUP(A58,'Données projet'!$A$61:$I$81,9,0)</f>
        <v>5.6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149</v>
      </c>
      <c r="AJ58" s="13">
        <f>AI58*VLOOKUP('Données projet'!$B$10,Paramètres!$A$1:$I$89,3,0)*VLOOKUP('Données projet'!$B$10,Paramètres!$A$1:$I$89,5,0)</f>
        <v>148.76160000000002</v>
      </c>
      <c r="AK58" s="13">
        <f t="shared" si="35"/>
        <v>38.297019132441001</v>
      </c>
      <c r="AL58" s="20">
        <f t="shared" si="4"/>
        <v>325.79376165566811</v>
      </c>
      <c r="AM58" s="59">
        <f t="shared" si="5"/>
        <v>619.12709498900142</v>
      </c>
      <c r="AN58" s="59">
        <f ca="1">AVERAGE(OFFSET($AM$3,0,0,'Données projet'!$E$10+1,1))-AVERAGE(OFFSET($H$3,0,0,'Données projet'!$E$10+1,1))</f>
        <v>260.68055529826694</v>
      </c>
      <c r="AO58" s="59">
        <f t="shared" si="36"/>
        <v>119.74772096645967</v>
      </c>
      <c r="AP58" s="15">
        <f>IF(ISNA(VLOOKUP(A58,'Données projet'!$A$61:$I$81,3,0)),0,VLOOKUP(A58,'Données projet'!$A$61:$I$81,3,0))</f>
        <v>3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326.40147026672037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1.3596945791505279E-13</v>
      </c>
      <c r="P59" s="13">
        <f t="shared" si="33"/>
        <v>1.9708830566360721E-12</v>
      </c>
      <c r="Q59" s="20">
        <f t="shared" si="53"/>
        <v>3.669434796176543E-12</v>
      </c>
      <c r="R59" s="59">
        <f t="shared" si="0"/>
        <v>293.33333333333701</v>
      </c>
      <c r="S59" s="59">
        <f ca="1">AVERAGE(OFFSET($R$3,0,0,'Données projet'!$E$9+1,1))-AVERAGE(OFFSET($H$3,0,0,'Données projet'!$E$9+1,1))</f>
        <v>244.06766379043052</v>
      </c>
      <c r="T59" s="59">
        <f t="shared" si="34"/>
        <v>300.17085261974006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5.1852164125454738</v>
      </c>
      <c r="AA59" s="21">
        <f>EXP(-LN(2)/25)*AA58+(1-EXP(-LN(2)/25))/(LN(2)/25)*Calculateur!V59*Calculateur!X59*VLOOKUP('Données projet'!$B$9,Paramètres!$A$1:$I$89,3,0)*0.475*44/12</f>
        <v>4.1373658958769983</v>
      </c>
      <c r="AB59" s="21">
        <f>EXP(-LN(2)/2)*AB58+(1-EXP(-LN(2)/2))/(LN(2)/2)*V59*Y59*VLOOKUP('Données projet'!$B$9,Paramètres!$A$1:$I$89,3,0)*0.475*44/12</f>
        <v>1.4152519749006168E-3</v>
      </c>
      <c r="AC59" s="22">
        <f t="shared" si="3"/>
        <v>9.3239975603973733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5.4</v>
      </c>
      <c r="AI59" s="13">
        <f>IF('Données projet'!$A$62&gt;35,AI58+AH59-AQ58,IF(A59&lt;'Données projet'!$A$62,$AF$205^A59,IF(A59='Données projet'!$A$62,'Données projet'!$B$62,AI58+AH59-AQ58)))</f>
        <v>126.4</v>
      </c>
      <c r="AJ59" s="13">
        <f>AI59*VLOOKUP('Données projet'!$B$10,Paramètres!$A$1:$I$89,3,0)*VLOOKUP('Données projet'!$B$10,Paramètres!$A$1:$I$89,5,0)</f>
        <v>126.19776</v>
      </c>
      <c r="AK59" s="13">
        <f t="shared" si="35"/>
        <v>33.116261211725217</v>
      </c>
      <c r="AL59" s="20">
        <f t="shared" si="4"/>
        <v>277.47192027708809</v>
      </c>
      <c r="AM59" s="59">
        <f t="shared" si="5"/>
        <v>570.80525361042146</v>
      </c>
      <c r="AN59" s="59">
        <f ca="1">AVERAGE(OFFSET($AM$3,0,0,'Données projet'!$E$10+1,1))-AVERAGE(OFFSET($H$3,0,0,'Données projet'!$E$10+1,1))</f>
        <v>260.68055529826694</v>
      </c>
      <c r="AO59" s="59">
        <f t="shared" si="36"/>
        <v>119.74772096645967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327.61220793297304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1.3596945791505279E-13</v>
      </c>
      <c r="P60" s="13">
        <f t="shared" si="33"/>
        <v>1.9708830566360721E-12</v>
      </c>
      <c r="Q60" s="20">
        <f t="shared" si="53"/>
        <v>3.669434796176543E-12</v>
      </c>
      <c r="R60" s="59">
        <f t="shared" si="0"/>
        <v>293.33333333333701</v>
      </c>
      <c r="S60" s="59">
        <f ca="1">AVERAGE(OFFSET($R$3,0,0,'Données projet'!$E$9+1,1))-AVERAGE(OFFSET($H$3,0,0,'Données projet'!$E$9+1,1))</f>
        <v>244.06766379043052</v>
      </c>
      <c r="T60" s="59">
        <f t="shared" si="34"/>
        <v>300.17085261974006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5.0835374813651812</v>
      </c>
      <c r="AA60" s="21">
        <f>EXP(-LN(2)/25)*AA59+(1-EXP(-LN(2)/25))/(LN(2)/25)*Calculateur!V60*Calculateur!X60*VLOOKUP('Données projet'!$B$9,Paramètres!$A$1:$I$89,3,0)*0.475*44/12</f>
        <v>4.0242294078796252</v>
      </c>
      <c r="AB60" s="21">
        <f>EXP(-LN(2)/2)*AB59+(1-EXP(-LN(2)/2))/(LN(2)/2)*V60*Y60*VLOOKUP('Données projet'!$B$9,Paramètres!$A$1:$I$89,3,0)*0.475*44/12</f>
        <v>1.0007342685398797E-3</v>
      </c>
      <c r="AC60" s="22">
        <f t="shared" si="3"/>
        <v>9.1087676235133479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5.4</v>
      </c>
      <c r="AI60" s="13">
        <f>IF('Données projet'!$A$62&gt;35,AI59+AH60-AQ59,IF(A60&lt;'Données projet'!$A$62,$AF$205^A60,IF(A60='Données projet'!$A$62,'Données projet'!$B$62,AI59+AH60-AQ59)))</f>
        <v>131.80000000000001</v>
      </c>
      <c r="AJ60" s="13">
        <f>AI60*VLOOKUP('Données projet'!$B$10,Paramètres!$A$1:$I$89,3,0)*VLOOKUP('Données projet'!$B$10,Paramètres!$A$1:$I$89,5,0)</f>
        <v>131.58912000000001</v>
      </c>
      <c r="AK60" s="13">
        <f t="shared" si="35"/>
        <v>34.363298248511711</v>
      </c>
      <c r="AL60" s="20">
        <f t="shared" si="4"/>
        <v>289.03379511615788</v>
      </c>
      <c r="AM60" s="59">
        <f t="shared" si="5"/>
        <v>582.36712844949125</v>
      </c>
      <c r="AN60" s="59">
        <f ca="1">AVERAGE(OFFSET($AM$3,0,0,'Données projet'!$E$10+1,1))-AVERAGE(OFFSET($H$3,0,0,'Données projet'!$E$10+1,1))</f>
        <v>260.68055529826694</v>
      </c>
      <c r="AO60" s="59">
        <f t="shared" si="36"/>
        <v>119.74772096645967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328.82241559803606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1.3596945791505279E-13</v>
      </c>
      <c r="P61" s="13">
        <f t="shared" si="33"/>
        <v>1.9708830566360721E-12</v>
      </c>
      <c r="Q61" s="20">
        <f t="shared" si="53"/>
        <v>3.669434796176543E-12</v>
      </c>
      <c r="R61" s="59">
        <f t="shared" si="0"/>
        <v>293.33333333333701</v>
      </c>
      <c r="S61" s="59">
        <f ca="1">AVERAGE(OFFSET($R$3,0,0,'Données projet'!$E$9+1,1))-AVERAGE(OFFSET($H$3,0,0,'Données projet'!$E$9+1,1))</f>
        <v>244.06766379043052</v>
      </c>
      <c r="T61" s="59">
        <f t="shared" si="34"/>
        <v>300.17085261974006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4.9838524120073098</v>
      </c>
      <c r="AA61" s="21">
        <f>EXP(-LN(2)/25)*AA60+(1-EXP(-LN(2)/25))/(LN(2)/25)*Calculateur!V61*Calculateur!X61*VLOOKUP('Données projet'!$B$9,Paramètres!$A$1:$I$89,3,0)*0.475*44/12</f>
        <v>3.9141866430961296</v>
      </c>
      <c r="AB61" s="21">
        <f>EXP(-LN(2)/2)*AB60+(1-EXP(-LN(2)/2))/(LN(2)/2)*V61*Y61*VLOOKUP('Données projet'!$B$9,Paramètres!$A$1:$I$89,3,0)*0.475*44/12</f>
        <v>7.076259874503084E-4</v>
      </c>
      <c r="AC61" s="22">
        <f t="shared" si="3"/>
        <v>8.8987466810908895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5.4</v>
      </c>
      <c r="AI61" s="13">
        <f>IF('Données projet'!$A$62&gt;35,AI60+AH61-AQ60,IF(A61&lt;'Données projet'!$A$62,$AF$205^A61,IF(A61='Données projet'!$A$62,'Données projet'!$B$62,AI60+AH61-AQ60)))</f>
        <v>137.20000000000002</v>
      </c>
      <c r="AJ61" s="13">
        <f>AI61*VLOOKUP('Données projet'!$B$10,Paramètres!$A$1:$I$89,3,0)*VLOOKUP('Données projet'!$B$10,Paramètres!$A$1:$I$89,5,0)</f>
        <v>136.98048000000003</v>
      </c>
      <c r="AK61" s="13">
        <f t="shared" si="35"/>
        <v>35.604400515895506</v>
      </c>
      <c r="AL61" s="20">
        <f t="shared" si="4"/>
        <v>300.58533356518473</v>
      </c>
      <c r="AM61" s="59">
        <f t="shared" si="5"/>
        <v>593.91866689851804</v>
      </c>
      <c r="AN61" s="59">
        <f ca="1">AVERAGE(OFFSET($AM$3,0,0,'Données projet'!$E$10+1,1))-AVERAGE(OFFSET($H$3,0,0,'Données projet'!$E$10+1,1))</f>
        <v>260.68055529826694</v>
      </c>
      <c r="AO61" s="59">
        <f t="shared" si="36"/>
        <v>119.74772096645967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330.03210345430642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1.3596945791505279E-13</v>
      </c>
      <c r="P62" s="13">
        <f t="shared" si="33"/>
        <v>1.9708830566360721E-12</v>
      </c>
      <c r="Q62" s="20">
        <f t="shared" si="53"/>
        <v>3.669434796176543E-12</v>
      </c>
      <c r="R62" s="59">
        <f t="shared" si="0"/>
        <v>293.33333333333701</v>
      </c>
      <c r="S62" s="59">
        <f ca="1">AVERAGE(OFFSET($R$3,0,0,'Données projet'!$E$9+1,1))-AVERAGE(OFFSET($H$3,0,0,'Données projet'!$E$9+1,1))</f>
        <v>244.06766379043052</v>
      </c>
      <c r="T62" s="59">
        <f t="shared" si="34"/>
        <v>300.17085261974006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4.8861221060576572</v>
      </c>
      <c r="AA62" s="21">
        <f>EXP(-LN(2)/25)*AA61+(1-EXP(-LN(2)/25))/(LN(2)/25)*Calculateur!V62*Calculateur!X62*VLOOKUP('Données projet'!$B$9,Paramètres!$A$1:$I$89,3,0)*0.475*44/12</f>
        <v>3.8071530035025365</v>
      </c>
      <c r="AB62" s="21">
        <f>EXP(-LN(2)/2)*AB61+(1-EXP(-LN(2)/2))/(LN(2)/2)*V62*Y62*VLOOKUP('Données projet'!$B$9,Paramètres!$A$1:$I$89,3,0)*0.475*44/12</f>
        <v>5.0036713426993983E-4</v>
      </c>
      <c r="AC62" s="22">
        <f t="shared" si="3"/>
        <v>8.6937754766944639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5.4</v>
      </c>
      <c r="AI62" s="13">
        <f>IF('Données projet'!$A$62&gt;35,AI61+AH62-AQ61,IF(A62&lt;'Données projet'!$A$62,$AF$205^A62,IF(A62='Données projet'!$A$62,'Données projet'!$B$62,AI61+AH62-AQ61)))</f>
        <v>142.60000000000002</v>
      </c>
      <c r="AJ62" s="13">
        <f>AI62*VLOOKUP('Données projet'!$B$10,Paramètres!$A$1:$I$89,3,0)*VLOOKUP('Données projet'!$B$10,Paramètres!$A$1:$I$89,5,0)</f>
        <v>142.37184000000002</v>
      </c>
      <c r="AK62" s="13">
        <f t="shared" si="35"/>
        <v>36.839828327780729</v>
      </c>
      <c r="AL62" s="20">
        <f t="shared" si="4"/>
        <v>312.1269890042181</v>
      </c>
      <c r="AM62" s="59">
        <f t="shared" si="5"/>
        <v>605.46032233755136</v>
      </c>
      <c r="AN62" s="59">
        <f ca="1">AVERAGE(OFFSET($AM$3,0,0,'Données projet'!$E$10+1,1))-AVERAGE(OFFSET($H$3,0,0,'Données projet'!$E$10+1,1))</f>
        <v>260.68055529826694</v>
      </c>
      <c r="AO62" s="59">
        <f t="shared" si="36"/>
        <v>119.74772096645967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331.24128132887591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1.3596945791505279E-13</v>
      </c>
      <c r="P63" s="13">
        <f t="shared" si="33"/>
        <v>1.9708830566360721E-12</v>
      </c>
      <c r="Q63" s="20">
        <f t="shared" si="53"/>
        <v>3.669434796176543E-12</v>
      </c>
      <c r="R63" s="59">
        <f t="shared" si="0"/>
        <v>293.33333333333701</v>
      </c>
      <c r="S63" s="59">
        <f ca="1">AVERAGE(OFFSET($R$3,0,0,'Données projet'!$E$9+1,1))-AVERAGE(OFFSET($H$3,0,0,'Données projet'!$E$9+1,1))</f>
        <v>244.06766379043052</v>
      </c>
      <c r="T63" s="59">
        <f t="shared" si="34"/>
        <v>300.17085261974006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4.7903082317980772</v>
      </c>
      <c r="AA63" s="21">
        <f>EXP(-LN(2)/25)*AA62+(1-EXP(-LN(2)/25))/(LN(2)/25)*Calculateur!V63*Calculateur!X63*VLOOKUP('Données projet'!$B$9,Paramètres!$A$1:$I$89,3,0)*0.475*44/12</f>
        <v>3.7030462044122845</v>
      </c>
      <c r="AB63" s="21">
        <f>EXP(-LN(2)/2)*AB62+(1-EXP(-LN(2)/2))/(LN(2)/2)*V63*Y63*VLOOKUP('Données projet'!$B$9,Paramètres!$A$1:$I$89,3,0)*0.475*44/12</f>
        <v>3.538129937251542E-4</v>
      </c>
      <c r="AC63" s="22">
        <f t="shared" si="3"/>
        <v>8.4937082492040865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148</v>
      </c>
      <c r="AG63" s="12">
        <f>VLOOKUP(A63,'Données projet'!$A$61:$I$81,9,0)</f>
        <v>5.4</v>
      </c>
      <c r="AH63" s="12">
        <f t="array" ref="AH63">INDEX(AG:AG,MIN(IF(ISNUMBER(AG63:AG259),ROW(AG63:AG259),"")))</f>
        <v>5.4</v>
      </c>
      <c r="AI63" s="13">
        <f>IF('Données projet'!$A$62&gt;35,AI62+AH63-AQ62,IF(A63&lt;'Données projet'!$A$62,$AF$205^A63,IF(A63='Données projet'!$A$62,'Données projet'!$B$62,AI62+AH63-AQ62)))</f>
        <v>148.00000000000003</v>
      </c>
      <c r="AJ63" s="13">
        <f>AI63*VLOOKUP('Données projet'!$B$10,Paramètres!$A$1:$I$89,3,0)*VLOOKUP('Données projet'!$B$10,Paramètres!$A$1:$I$89,5,0)</f>
        <v>147.76320000000001</v>
      </c>
      <c r="AK63" s="13">
        <f t="shared" si="35"/>
        <v>38.069821166127106</v>
      </c>
      <c r="AL63" s="20">
        <f t="shared" si="4"/>
        <v>323.65917853100467</v>
      </c>
      <c r="AM63" s="59">
        <f t="shared" si="5"/>
        <v>616.99251186433798</v>
      </c>
      <c r="AN63" s="59">
        <f ca="1">AVERAGE(OFFSET($AM$3,0,0,'Données projet'!$E$10+1,1))-AVERAGE(OFFSET($H$3,0,0,'Données projet'!$E$10+1,1))</f>
        <v>260.68055529826694</v>
      </c>
      <c r="AO63" s="59">
        <f t="shared" si="36"/>
        <v>119.74772096645967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332.44995870249011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1.3596945791505279E-13</v>
      </c>
      <c r="P64" s="13">
        <f t="shared" si="33"/>
        <v>1.9708830566360721E-12</v>
      </c>
      <c r="Q64" s="20">
        <f t="shared" si="53"/>
        <v>3.669434796176543E-12</v>
      </c>
      <c r="R64" s="59">
        <f t="shared" si="0"/>
        <v>293.33333333333701</v>
      </c>
      <c r="S64" s="59">
        <f ca="1">AVERAGE(OFFSET($R$3,0,0,'Données projet'!$E$9+1,1))-AVERAGE(OFFSET($H$3,0,0,'Données projet'!$E$9+1,1))</f>
        <v>244.06766379043052</v>
      </c>
      <c r="T64" s="59">
        <f t="shared" si="34"/>
        <v>300.17085261974006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4.6963732091720347</v>
      </c>
      <c r="AA64" s="21">
        <f>EXP(-LN(2)/25)*AA63+(1-EXP(-LN(2)/25))/(LN(2)/25)*Calculateur!V64*Calculateur!X64*VLOOKUP('Données projet'!$B$9,Paramètres!$A$1:$I$89,3,0)*0.475*44/12</f>
        <v>3.601786211217894</v>
      </c>
      <c r="AB64" s="21">
        <f>EXP(-LN(2)/2)*AB63+(1-EXP(-LN(2)/2))/(LN(2)/2)*V64*Y64*VLOOKUP('Données projet'!$B$9,Paramètres!$A$1:$I$89,3,0)*0.475*44/12</f>
        <v>2.5018356713496991E-4</v>
      </c>
      <c r="AC64" s="22">
        <f t="shared" si="3"/>
        <v>8.2984096039570634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5.4</v>
      </c>
      <c r="AI64" s="13">
        <f>IF('Données projet'!$A$62&gt;35,AI63+AH64-AQ63,IF(A64&lt;'Données projet'!$A$62,$AF$205^A64,IF(A64='Données projet'!$A$62,'Données projet'!$B$62,AI63+AH64-AQ63)))</f>
        <v>153.40000000000003</v>
      </c>
      <c r="AJ64" s="13">
        <f>AI64*VLOOKUP('Données projet'!$B$10,Paramètres!$A$1:$I$89,3,0)*VLOOKUP('Données projet'!$B$10,Paramètres!$A$1:$I$89,5,0)</f>
        <v>153.15456000000006</v>
      </c>
      <c r="AK64" s="13">
        <f t="shared" si="35"/>
        <v>39.294600046811276</v>
      </c>
      <c r="AL64" s="20">
        <f t="shared" si="4"/>
        <v>335.18228708152969</v>
      </c>
      <c r="AM64" s="59">
        <f t="shared" si="5"/>
        <v>628.51562041486295</v>
      </c>
      <c r="AN64" s="59">
        <f ca="1">AVERAGE(OFFSET($AM$3,0,0,'Données projet'!$E$10+1,1))-AVERAGE(OFFSET($H$3,0,0,'Données projet'!$E$10+1,1))</f>
        <v>260.68055529826694</v>
      </c>
      <c r="AO64" s="59">
        <f t="shared" si="36"/>
        <v>119.74772096645967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333.65814472722889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1.3596945791505279E-13</v>
      </c>
      <c r="P65" s="13">
        <f t="shared" si="33"/>
        <v>1.9708830566360721E-12</v>
      </c>
      <c r="Q65" s="20">
        <f t="shared" si="53"/>
        <v>3.669434796176543E-12</v>
      </c>
      <c r="R65" s="59">
        <f t="shared" si="0"/>
        <v>293.33333333333701</v>
      </c>
      <c r="S65" s="59">
        <f ca="1">AVERAGE(OFFSET($R$3,0,0,'Données projet'!$E$9+1,1))-AVERAGE(OFFSET($H$3,0,0,'Données projet'!$E$9+1,1))</f>
        <v>244.06766379043052</v>
      </c>
      <c r="T65" s="59">
        <f t="shared" si="34"/>
        <v>300.17085261974006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4.6042801950449821</v>
      </c>
      <c r="AA65" s="21">
        <f>EXP(-LN(2)/25)*AA64+(1-EXP(-LN(2)/25))/(LN(2)/25)*Calculateur!V65*Calculateur!X65*VLOOKUP('Données projet'!$B$9,Paramètres!$A$1:$I$89,3,0)*0.475*44/12</f>
        <v>3.5032951778624359</v>
      </c>
      <c r="AB65" s="21">
        <f>EXP(-LN(2)/2)*AB64+(1-EXP(-LN(2)/2))/(LN(2)/2)*V65*Y65*VLOOKUP('Données projet'!$B$9,Paramètres!$A$1:$I$89,3,0)*0.475*44/12</f>
        <v>1.769064968625771E-4</v>
      </c>
      <c r="AC65" s="22">
        <f t="shared" si="3"/>
        <v>8.1077522794042807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5.4</v>
      </c>
      <c r="AI65" s="13">
        <f>IF('Données projet'!$A$62&gt;35,AI64+AH65-AQ64,IF(A65&lt;'Données projet'!$A$62,$AF$205^A65,IF(A65='Données projet'!$A$62,'Données projet'!$B$62,AI64+AH65-AQ64)))</f>
        <v>158.80000000000004</v>
      </c>
      <c r="AJ65" s="13">
        <f>AI65*VLOOKUP('Données projet'!$B$10,Paramètres!$A$1:$I$89,3,0)*VLOOKUP('Données projet'!$B$10,Paramètres!$A$1:$I$89,5,0)</f>
        <v>158.54592000000005</v>
      </c>
      <c r="AK65" s="13">
        <f t="shared" si="35"/>
        <v>40.514369542994771</v>
      </c>
      <c r="AL65" s="20">
        <f t="shared" si="4"/>
        <v>346.6966709540493</v>
      </c>
      <c r="AM65" s="59">
        <f t="shared" si="5"/>
        <v>640.03000428738255</v>
      </c>
      <c r="AN65" s="59">
        <f ca="1">AVERAGE(OFFSET($AM$3,0,0,'Données projet'!$E$10+1,1))-AVERAGE(OFFSET($H$3,0,0,'Données projet'!$E$10+1,1))</f>
        <v>260.68055529826694</v>
      </c>
      <c r="AO65" s="59">
        <f t="shared" si="36"/>
        <v>119.74772096645967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334.86584824301428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1.3596945791505279E-13</v>
      </c>
      <c r="P66" s="13">
        <f t="shared" si="33"/>
        <v>1.9708830566360721E-12</v>
      </c>
      <c r="Q66" s="20">
        <f t="shared" si="53"/>
        <v>3.669434796176543E-12</v>
      </c>
      <c r="R66" s="59">
        <f t="shared" si="0"/>
        <v>293.33333333333701</v>
      </c>
      <c r="S66" s="59">
        <f ca="1">AVERAGE(OFFSET($R$3,0,0,'Données projet'!$E$9+1,1))-AVERAGE(OFFSET($H$3,0,0,'Données projet'!$E$9+1,1))</f>
        <v>244.06766379043052</v>
      </c>
      <c r="T66" s="59">
        <f t="shared" si="34"/>
        <v>300.17085261974006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4.513993068753769</v>
      </c>
      <c r="AA66" s="21">
        <f>EXP(-LN(2)/25)*AA65+(1-EXP(-LN(2)/25))/(LN(2)/25)*Calculateur!V66*Calculateur!X66*VLOOKUP('Données projet'!$B$9,Paramètres!$A$1:$I$89,3,0)*0.475*44/12</f>
        <v>3.407497386993501</v>
      </c>
      <c r="AB66" s="21">
        <f>EXP(-LN(2)/2)*AB65+(1-EXP(-LN(2)/2))/(LN(2)/2)*V66*Y66*VLOOKUP('Données projet'!$B$9,Paramètres!$A$1:$I$89,3,0)*0.475*44/12</f>
        <v>1.2509178356748496E-4</v>
      </c>
      <c r="AC66" s="22">
        <f t="shared" si="3"/>
        <v>7.9216155475308367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5.4</v>
      </c>
      <c r="AI66" s="13">
        <f>IF('Données projet'!$A$62&gt;35,AI65+AH66-AQ65,IF(A66&lt;'Données projet'!$A$62,$AF$205^A66,IF(A66='Données projet'!$A$62,'Données projet'!$B$62,AI65+AH66-AQ65)))</f>
        <v>164.20000000000005</v>
      </c>
      <c r="AJ66" s="13">
        <f>AI66*VLOOKUP('Données projet'!$B$10,Paramètres!$A$1:$I$89,3,0)*VLOOKUP('Données projet'!$B$10,Paramètres!$A$1:$I$89,5,0)</f>
        <v>163.93728000000007</v>
      </c>
      <c r="AK66" s="13">
        <f t="shared" si="35"/>
        <v>41.729319525541484</v>
      </c>
      <c r="AL66" s="20">
        <f t="shared" si="4"/>
        <v>358.20266084031817</v>
      </c>
      <c r="AM66" s="59">
        <f t="shared" si="5"/>
        <v>651.53599417365149</v>
      </c>
      <c r="AN66" s="59">
        <f ca="1">AVERAGE(OFFSET($AM$3,0,0,'Données projet'!$E$10+1,1))-AVERAGE(OFFSET($H$3,0,0,'Données projet'!$E$10+1,1))</f>
        <v>260.68055529826694</v>
      </c>
      <c r="AO66" s="59">
        <f t="shared" si="36"/>
        <v>119.74772096645967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336.07307779303983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1.3596945791505279E-13</v>
      </c>
      <c r="P67" s="13">
        <f t="shared" si="33"/>
        <v>1.9708830566360721E-12</v>
      </c>
      <c r="Q67" s="20">
        <f t="shared" ref="Q67:Q98" si="54">(O67+P67)*0.475*44/12</f>
        <v>3.669434796176543E-12</v>
      </c>
      <c r="R67" s="59">
        <f t="shared" ref="R67:R130" si="55">Q67+(I67+J67)*44/12</f>
        <v>293.33333333333701</v>
      </c>
      <c r="S67" s="59">
        <f ca="1">AVERAGE(OFFSET($R$3,0,0,'Données projet'!$E$9+1,1))-AVERAGE(OFFSET($H$3,0,0,'Données projet'!$E$9+1,1))</f>
        <v>244.06766379043052</v>
      </c>
      <c r="T67" s="59">
        <f t="shared" si="34"/>
        <v>300.17085261974006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4.425476417939417</v>
      </c>
      <c r="AA67" s="21">
        <f>EXP(-LN(2)/25)*AA66+(1-EXP(-LN(2)/25))/(LN(2)/25)*Calculateur!V67*Calculateur!X67*VLOOKUP('Données projet'!$B$9,Paramètres!$A$1:$I$89,3,0)*0.475*44/12</f>
        <v>3.3143191917536643</v>
      </c>
      <c r="AB67" s="21">
        <f>EXP(-LN(2)/2)*AB66+(1-EXP(-LN(2)/2))/(LN(2)/2)*V67*Y67*VLOOKUP('Données projet'!$B$9,Paramètres!$A$1:$I$89,3,0)*0.475*44/12</f>
        <v>8.845324843128855E-5</v>
      </c>
      <c r="AC67" s="22">
        <f t="shared" si="3"/>
        <v>7.7398840629415124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5.4</v>
      </c>
      <c r="AI67" s="13">
        <f>IF('Données projet'!$A$62&gt;35,AI66+AH67-AQ66,IF(A67&lt;'Données projet'!$A$62,$AF$205^A67,IF(A67='Données projet'!$A$62,'Données projet'!$B$62,AI66+AH67-AQ66)))</f>
        <v>169.60000000000005</v>
      </c>
      <c r="AJ67" s="13">
        <f>AI67*VLOOKUP('Données projet'!$B$10,Paramètres!$A$1:$I$89,3,0)*VLOOKUP('Données projet'!$B$10,Paramètres!$A$1:$I$89,5,0)</f>
        <v>169.32864000000006</v>
      </c>
      <c r="AK67" s="13">
        <f t="shared" si="35"/>
        <v>42.939626668057244</v>
      </c>
      <c r="AL67" s="20">
        <f t="shared" si="4"/>
        <v>369.70056444686651</v>
      </c>
      <c r="AM67" s="59">
        <f t="shared" si="5"/>
        <v>663.03389778019982</v>
      </c>
      <c r="AN67" s="59">
        <f ca="1">AVERAGE(OFFSET($AM$3,0,0,'Données projet'!$E$10+1,1))-AVERAGE(OFFSET($H$3,0,0,'Données projet'!$E$10+1,1))</f>
        <v>260.68055529826694</v>
      </c>
      <c r="AO67" s="59">
        <f t="shared" si="36"/>
        <v>119.74772096645967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337.27984163820884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1.3596945791505279E-13</v>
      </c>
      <c r="P68" s="13">
        <f t="shared" si="33"/>
        <v>1.9708830566360721E-12</v>
      </c>
      <c r="Q68" s="20">
        <f t="shared" si="54"/>
        <v>3.669434796176543E-12</v>
      </c>
      <c r="R68" s="59">
        <f t="shared" si="55"/>
        <v>293.33333333333701</v>
      </c>
      <c r="S68" s="59">
        <f ca="1">AVERAGE(OFFSET($R$3,0,0,'Données projet'!$E$9+1,1))-AVERAGE(OFFSET($H$3,0,0,'Données projet'!$E$9+1,1))</f>
        <v>244.06766379043052</v>
      </c>
      <c r="T68" s="59">
        <f t="shared" si="34"/>
        <v>300.17085261974006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4.3386955246577088</v>
      </c>
      <c r="AA68" s="21">
        <f>EXP(-LN(2)/25)*AA67+(1-EXP(-LN(2)/25))/(LN(2)/25)*Calculateur!V68*Calculateur!X68*VLOOKUP('Données projet'!$B$9,Paramètres!$A$1:$I$89,3,0)*0.475*44/12</f>
        <v>3.2236889591626889</v>
      </c>
      <c r="AB68" s="21">
        <f>EXP(-LN(2)/2)*AB67+(1-EXP(-LN(2)/2))/(LN(2)/2)*V68*Y68*VLOOKUP('Données projet'!$B$9,Paramètres!$A$1:$I$89,3,0)*0.475*44/12</f>
        <v>6.2545891783742478E-5</v>
      </c>
      <c r="AC68" s="22">
        <f t="shared" ref="AC68:AC131" si="57">SUM(Z68:AB68)</f>
        <v>7.5624470297121817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175</v>
      </c>
      <c r="AG68" s="12">
        <f>VLOOKUP(A68,'Données projet'!$A$61:$I$81,9,0)</f>
        <v>5.4</v>
      </c>
      <c r="AH68" s="12">
        <f t="array" ref="AH68">INDEX(AG:AG,MIN(IF(ISNUMBER(AG68:AG264),ROW(AG68:AG264),"")))</f>
        <v>5.4</v>
      </c>
      <c r="AI68" s="13">
        <f>IF('Données projet'!$A$62&gt;35,AI67+AH68-AQ67,IF(A68&lt;'Données projet'!$A$62,$AF$205^A68,IF(A68='Données projet'!$A$62,'Données projet'!$B$62,AI67+AH68-AQ67)))</f>
        <v>175.00000000000006</v>
      </c>
      <c r="AJ68" s="13">
        <f>AI68*VLOOKUP('Données projet'!$B$10,Paramètres!$A$1:$I$89,3,0)*VLOOKUP('Données projet'!$B$10,Paramètres!$A$1:$I$89,5,0)</f>
        <v>174.72000000000008</v>
      </c>
      <c r="AK68" s="13">
        <f t="shared" si="35"/>
        <v>44.145455754865246</v>
      </c>
      <c r="AL68" s="20">
        <f t="shared" ref="AL68:AL131" si="58">(AJ68+AK68)*0.475*44/12</f>
        <v>381.1906687730571</v>
      </c>
      <c r="AM68" s="59">
        <f t="shared" ref="AM68:AM131" si="59">AL68+(AD68+AE68)*44/12</f>
        <v>674.52400210639041</v>
      </c>
      <c r="AN68" s="59">
        <f ca="1">AVERAGE(OFFSET($AM$3,0,0,'Données projet'!$E$10+1,1))-AVERAGE(OFFSET($H$3,0,0,'Données projet'!$E$10+1,1))</f>
        <v>260.68055529826694</v>
      </c>
      <c r="AO68" s="59">
        <f t="shared" si="36"/>
        <v>119.74772096645967</v>
      </c>
      <c r="AP68" s="15">
        <f>IF(ISNA(VLOOKUP(A68,'Données projet'!$A$61:$I$81,3,0)),0,VLOOKUP(A68,'Données projet'!$A$61:$I$81,3,0))</f>
        <v>4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338.48614777065865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1.3596945791505279E-13</v>
      </c>
      <c r="P69" s="13">
        <f t="shared" ref="P69:P132" si="87">EXP(-1.0587+0.8836*LN(O69)+0.284)</f>
        <v>1.9708830566360721E-12</v>
      </c>
      <c r="Q69" s="20">
        <f t="shared" si="54"/>
        <v>3.669434796176543E-12</v>
      </c>
      <c r="R69" s="59">
        <f t="shared" si="55"/>
        <v>293.33333333333701</v>
      </c>
      <c r="S69" s="59">
        <f ca="1">AVERAGE(OFFSET($R$3,0,0,'Données projet'!$E$9+1,1))-AVERAGE(OFFSET($H$3,0,0,'Données projet'!$E$9+1,1))</f>
        <v>244.06766379043052</v>
      </c>
      <c r="T69" s="59">
        <f t="shared" ref="T69:T132" si="88">$T$3</f>
        <v>300.17085261974006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4.2536163517621368</v>
      </c>
      <c r="AA69" s="21">
        <f>EXP(-LN(2)/25)*AA68+(1-EXP(-LN(2)/25))/(LN(2)/25)*Calculateur!V69*Calculateur!X69*VLOOKUP('Données projet'!$B$9,Paramètres!$A$1:$I$89,3,0)*0.475*44/12</f>
        <v>3.1355370150479507</v>
      </c>
      <c r="AB69" s="21">
        <f>EXP(-LN(2)/2)*AB68+(1-EXP(-LN(2)/2))/(LN(2)/2)*V69*Y69*VLOOKUP('Données projet'!$B$9,Paramètres!$A$1:$I$89,3,0)*0.475*44/12</f>
        <v>4.4226624215644275E-5</v>
      </c>
      <c r="AC69" s="22">
        <f t="shared" si="57"/>
        <v>7.3891975934343028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</v>
      </c>
      <c r="AI69" s="13">
        <f>IF('Données projet'!$A$62&gt;35,AI68+AH69-AQ68,IF(A69&lt;'Données projet'!$A$62,$AF$205^A69,IF(A69='Données projet'!$A$62,'Données projet'!$B$62,AI68+AH69-AQ68)))</f>
        <v>152.00000000000006</v>
      </c>
      <c r="AJ69" s="13">
        <f>AI69*VLOOKUP('Données projet'!$B$10,Paramètres!$A$1:$I$89,3,0)*VLOOKUP('Données projet'!$B$10,Paramètres!$A$1:$I$89,5,0)</f>
        <v>151.75680000000008</v>
      </c>
      <c r="AK69" s="13">
        <f t="shared" ref="AK69:AK132" si="89">EXP(-1.0587+0.8836*LN(AJ69)+0.284)</f>
        <v>38.977553766978161</v>
      </c>
      <c r="AL69" s="20">
        <f t="shared" si="58"/>
        <v>332.19566614415379</v>
      </c>
      <c r="AM69" s="59">
        <f t="shared" si="59"/>
        <v>625.5289994774871</v>
      </c>
      <c r="AN69" s="59">
        <f ca="1">AVERAGE(OFFSET($AM$3,0,0,'Données projet'!$E$10+1,1))-AVERAGE(OFFSET($H$3,0,0,'Données projet'!$E$10+1,1))</f>
        <v>260.68055529826694</v>
      </c>
      <c r="AO69" s="59">
        <f t="shared" ref="AO69:AO132" si="90">$AO$3</f>
        <v>119.74772096645967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339.69200392644217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1.3596945791505279E-13</v>
      </c>
      <c r="P70" s="13">
        <f t="shared" si="87"/>
        <v>1.9708830566360721E-12</v>
      </c>
      <c r="Q70" s="20">
        <f t="shared" si="54"/>
        <v>3.669434796176543E-12</v>
      </c>
      <c r="R70" s="59">
        <f t="shared" si="55"/>
        <v>293.33333333333701</v>
      </c>
      <c r="S70" s="59">
        <f ca="1">AVERAGE(OFFSET($R$3,0,0,'Données projet'!$E$9+1,1))-AVERAGE(OFFSET($H$3,0,0,'Données projet'!$E$9+1,1))</f>
        <v>244.06766379043052</v>
      </c>
      <c r="T70" s="59">
        <f t="shared" si="88"/>
        <v>300.17085261974006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4.1702055295538756</v>
      </c>
      <c r="AA70" s="21">
        <f>EXP(-LN(2)/25)*AA69+(1-EXP(-LN(2)/25))/(LN(2)/25)*Calculateur!V70*Calculateur!X70*VLOOKUP('Données projet'!$B$9,Paramètres!$A$1:$I$89,3,0)*0.475*44/12</f>
        <v>3.049795590480739</v>
      </c>
      <c r="AB70" s="21">
        <f>EXP(-LN(2)/2)*AB69+(1-EXP(-LN(2)/2))/(LN(2)/2)*V70*Y70*VLOOKUP('Données projet'!$B$9,Paramètres!$A$1:$I$89,3,0)*0.475*44/12</f>
        <v>3.1272945891871239E-5</v>
      </c>
      <c r="AC70" s="22">
        <f t="shared" si="57"/>
        <v>7.2200323929805066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</v>
      </c>
      <c r="AI70" s="13">
        <f>IF('Données projet'!$A$62&gt;35,AI69+AH70-AQ69,IF(A70&lt;'Données projet'!$A$62,$AF$205^A70,IF(A70='Données projet'!$A$62,'Données projet'!$B$62,AI69+AH70-AQ69)))</f>
        <v>157.00000000000006</v>
      </c>
      <c r="AJ70" s="13">
        <f>AI70*VLOOKUP('Données projet'!$B$10,Paramètres!$A$1:$I$89,3,0)*VLOOKUP('Données projet'!$B$10,Paramètres!$A$1:$I$89,5,0)</f>
        <v>156.74880000000005</v>
      </c>
      <c r="AK70" s="13">
        <f t="shared" si="89"/>
        <v>40.108324303698893</v>
      </c>
      <c r="AL70" s="20">
        <f t="shared" si="58"/>
        <v>342.85949149560901</v>
      </c>
      <c r="AM70" s="59">
        <f t="shared" si="59"/>
        <v>636.19282482894232</v>
      </c>
      <c r="AN70" s="59">
        <f ca="1">AVERAGE(OFFSET($AM$3,0,0,'Données projet'!$E$10+1,1))-AVERAGE(OFFSET($H$3,0,0,'Données projet'!$E$10+1,1))</f>
        <v>260.68055529826694</v>
      </c>
      <c r="AO70" s="59">
        <f t="shared" si="90"/>
        <v>119.74772096645967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340.89741759743021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1.3596945791505279E-13</v>
      </c>
      <c r="P71" s="13">
        <f t="shared" si="87"/>
        <v>1.9708830566360721E-12</v>
      </c>
      <c r="Q71" s="20">
        <f t="shared" si="54"/>
        <v>3.669434796176543E-12</v>
      </c>
      <c r="R71" s="59">
        <f t="shared" si="55"/>
        <v>293.33333333333701</v>
      </c>
      <c r="S71" s="59">
        <f ca="1">AVERAGE(OFFSET($R$3,0,0,'Données projet'!$E$9+1,1))-AVERAGE(OFFSET($H$3,0,0,'Données projet'!$E$9+1,1))</f>
        <v>244.06766379043052</v>
      </c>
      <c r="T71" s="59">
        <f t="shared" si="88"/>
        <v>300.17085261974006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4.08843034269354</v>
      </c>
      <c r="AA71" s="21">
        <f>EXP(-LN(2)/25)*AA70+(1-EXP(-LN(2)/25))/(LN(2)/25)*Calculateur!V71*Calculateur!X71*VLOOKUP('Données projet'!$B$9,Paramètres!$A$1:$I$89,3,0)*0.475*44/12</f>
        <v>2.9663987696772636</v>
      </c>
      <c r="AB71" s="21">
        <f>EXP(-LN(2)/2)*AB70+(1-EXP(-LN(2)/2))/(LN(2)/2)*V71*Y71*VLOOKUP('Données projet'!$B$9,Paramètres!$A$1:$I$89,3,0)*0.475*44/12</f>
        <v>2.2113312107822137E-5</v>
      </c>
      <c r="AC71" s="22">
        <f t="shared" si="57"/>
        <v>7.0548512256829117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</v>
      </c>
      <c r="AI71" s="13">
        <f>IF('Données projet'!$A$62&gt;35,AI70+AH71-AQ70,IF(A71&lt;'Données projet'!$A$62,$AF$205^A71,IF(A71='Données projet'!$A$62,'Données projet'!$B$62,AI70+AH71-AQ70)))</f>
        <v>162.00000000000006</v>
      </c>
      <c r="AJ71" s="13">
        <f>AI71*VLOOKUP('Données projet'!$B$10,Paramètres!$A$1:$I$89,3,0)*VLOOKUP('Données projet'!$B$10,Paramètres!$A$1:$I$89,5,0)</f>
        <v>161.74080000000006</v>
      </c>
      <c r="AK71" s="13">
        <f t="shared" si="89"/>
        <v>41.234910079352424</v>
      </c>
      <c r="AL71" s="20">
        <f t="shared" si="58"/>
        <v>353.51602838820554</v>
      </c>
      <c r="AM71" s="59">
        <f t="shared" si="59"/>
        <v>646.8493617215388</v>
      </c>
      <c r="AN71" s="59">
        <f ca="1">AVERAGE(OFFSET($AM$3,0,0,'Données projet'!$E$10+1,1))-AVERAGE(OFFSET($H$3,0,0,'Données projet'!$E$10+1,1))</f>
        <v>260.68055529826694</v>
      </c>
      <c r="AO71" s="59">
        <f t="shared" si="90"/>
        <v>119.74772096645967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342.10239604249472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1.3596945791505279E-13</v>
      </c>
      <c r="P72" s="13">
        <f t="shared" si="87"/>
        <v>1.9708830566360721E-12</v>
      </c>
      <c r="Q72" s="20">
        <f t="shared" si="54"/>
        <v>3.669434796176543E-12</v>
      </c>
      <c r="R72" s="59">
        <f t="shared" si="55"/>
        <v>293.33333333333701</v>
      </c>
      <c r="S72" s="59">
        <f ca="1">AVERAGE(OFFSET($R$3,0,0,'Données projet'!$E$9+1,1))-AVERAGE(OFFSET($H$3,0,0,'Données projet'!$E$9+1,1))</f>
        <v>244.06766379043052</v>
      </c>
      <c r="T72" s="59">
        <f t="shared" si="88"/>
        <v>300.17085261974006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4.0082587173695963</v>
      </c>
      <c r="AA72" s="21">
        <f>EXP(-LN(2)/25)*AA71+(1-EXP(-LN(2)/25))/(LN(2)/25)*Calculateur!V72*Calculateur!X72*VLOOKUP('Données projet'!$B$9,Paramètres!$A$1:$I$89,3,0)*0.475*44/12</f>
        <v>2.8852824393243073</v>
      </c>
      <c r="AB72" s="21">
        <f>EXP(-LN(2)/2)*AB71+(1-EXP(-LN(2)/2))/(LN(2)/2)*V72*Y72*VLOOKUP('Données projet'!$B$9,Paramètres!$A$1:$I$89,3,0)*0.475*44/12</f>
        <v>1.563647294593562E-5</v>
      </c>
      <c r="AC72" s="22">
        <f t="shared" si="57"/>
        <v>6.8935567931668489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</v>
      </c>
      <c r="AI72" s="13">
        <f>IF('Données projet'!$A$62&gt;35,AI71+AH72-AQ71,IF(A72&lt;'Données projet'!$A$62,$AF$205^A72,IF(A72='Données projet'!$A$62,'Données projet'!$B$62,AI71+AH72-AQ71)))</f>
        <v>167.00000000000006</v>
      </c>
      <c r="AJ72" s="13">
        <f>AI72*VLOOKUP('Données projet'!$B$10,Paramètres!$A$1:$I$89,3,0)*VLOOKUP('Données projet'!$B$10,Paramètres!$A$1:$I$89,5,0)</f>
        <v>166.73280000000005</v>
      </c>
      <c r="AK72" s="13">
        <f t="shared" si="89"/>
        <v>42.357455075043553</v>
      </c>
      <c r="AL72" s="20">
        <f t="shared" si="58"/>
        <v>364.1655275890343</v>
      </c>
      <c r="AM72" s="59">
        <f t="shared" si="59"/>
        <v>657.49886092236761</v>
      </c>
      <c r="AN72" s="59">
        <f ca="1">AVERAGE(OFFSET($AM$3,0,0,'Données projet'!$E$10+1,1))-AVERAGE(OFFSET($H$3,0,0,'Données projet'!$E$10+1,1))</f>
        <v>260.68055529826694</v>
      </c>
      <c r="AO72" s="59">
        <f t="shared" si="90"/>
        <v>119.74772096645967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343.30694629802451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1.3596945791505279E-13</v>
      </c>
      <c r="P73" s="13">
        <f t="shared" si="87"/>
        <v>1.9708830566360721E-12</v>
      </c>
      <c r="Q73" s="20">
        <f t="shared" si="54"/>
        <v>3.669434796176543E-12</v>
      </c>
      <c r="R73" s="59">
        <f t="shared" si="55"/>
        <v>293.33333333333701</v>
      </c>
      <c r="S73" s="59">
        <f ca="1">AVERAGE(OFFSET($R$3,0,0,'Données projet'!$E$9+1,1))-AVERAGE(OFFSET($H$3,0,0,'Données projet'!$E$9+1,1))</f>
        <v>244.06766379043052</v>
      </c>
      <c r="T73" s="59">
        <f t="shared" si="88"/>
        <v>300.17085261974006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3.9296592087183924</v>
      </c>
      <c r="AA73" s="21">
        <f>EXP(-LN(2)/25)*AA72+(1-EXP(-LN(2)/25))/(LN(2)/25)*Calculateur!V73*Calculateur!X73*VLOOKUP('Données projet'!$B$9,Paramètres!$A$1:$I$89,3,0)*0.475*44/12</f>
        <v>2.8063842392905749</v>
      </c>
      <c r="AB73" s="21">
        <f>EXP(-LN(2)/2)*AB72+(1-EXP(-LN(2)/2))/(LN(2)/2)*V73*Y73*VLOOKUP('Données projet'!$B$9,Paramètres!$A$1:$I$89,3,0)*0.475*44/12</f>
        <v>1.1056656053911069E-5</v>
      </c>
      <c r="AC73" s="22">
        <f t="shared" si="57"/>
        <v>6.7360545046650211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172</v>
      </c>
      <c r="AG73" s="12">
        <f>VLOOKUP(A73,'Données projet'!$A$61:$I$81,9,0)</f>
        <v>5</v>
      </c>
      <c r="AH73" s="12">
        <f t="array" ref="AH73">INDEX(AG:AG,MIN(IF(ISNUMBER(AG73:AG269),ROW(AG73:AG269),"")))</f>
        <v>5</v>
      </c>
      <c r="AI73" s="13">
        <f>IF('Données projet'!$A$62&gt;35,AI72+AH73-AQ72,IF(A73&lt;'Données projet'!$A$62,$AF$205^A73,IF(A73='Données projet'!$A$62,'Données projet'!$B$62,AI72+AH73-AQ72)))</f>
        <v>172.00000000000006</v>
      </c>
      <c r="AJ73" s="13">
        <f>AI73*VLOOKUP('Données projet'!$B$10,Paramètres!$A$1:$I$89,3,0)*VLOOKUP('Données projet'!$B$10,Paramètres!$A$1:$I$89,5,0)</f>
        <v>171.72480000000007</v>
      </c>
      <c r="AK73" s="13">
        <f t="shared" si="89"/>
        <v>43.476094160230112</v>
      </c>
      <c r="AL73" s="20">
        <f t="shared" si="58"/>
        <v>374.80822399573418</v>
      </c>
      <c r="AM73" s="59">
        <f t="shared" si="59"/>
        <v>668.1415573290675</v>
      </c>
      <c r="AN73" s="59">
        <f ca="1">AVERAGE(OFFSET($AM$3,0,0,'Données projet'!$E$10+1,1))-AVERAGE(OFFSET($H$3,0,0,'Données projet'!$E$10+1,1))</f>
        <v>260.68055529826694</v>
      </c>
      <c r="AO73" s="59">
        <f t="shared" si="90"/>
        <v>119.74772096645967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344.51107518782362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1.3596945791505279E-13</v>
      </c>
      <c r="P74" s="13">
        <f t="shared" si="87"/>
        <v>1.9708830566360721E-12</v>
      </c>
      <c r="Q74" s="20">
        <f t="shared" si="54"/>
        <v>3.669434796176543E-12</v>
      </c>
      <c r="R74" s="59">
        <f t="shared" si="55"/>
        <v>293.33333333333701</v>
      </c>
      <c r="S74" s="59">
        <f ca="1">AVERAGE(OFFSET($R$3,0,0,'Données projet'!$E$9+1,1))-AVERAGE(OFFSET($H$3,0,0,'Données projet'!$E$9+1,1))</f>
        <v>244.06766379043052</v>
      </c>
      <c r="T74" s="59">
        <f t="shared" si="88"/>
        <v>300.17085261974006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3.8526009884908721</v>
      </c>
      <c r="AA74" s="21">
        <f>EXP(-LN(2)/25)*AA73+(1-EXP(-LN(2)/25))/(LN(2)/25)*Calculateur!V74*Calculateur!X74*VLOOKUP('Données projet'!$B$9,Paramètres!$A$1:$I$89,3,0)*0.475*44/12</f>
        <v>2.7296435146858409</v>
      </c>
      <c r="AB74" s="21">
        <f>EXP(-LN(2)/2)*AB73+(1-EXP(-LN(2)/2))/(LN(2)/2)*V74*Y74*VLOOKUP('Données projet'!$B$9,Paramètres!$A$1:$I$89,3,0)*0.475*44/12</f>
        <v>7.8182364729678098E-6</v>
      </c>
      <c r="AC74" s="22">
        <f t="shared" si="57"/>
        <v>6.5822523214131863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2.2000000000000002</v>
      </c>
      <c r="AI74" s="13">
        <f>IF('Données projet'!$A$62&gt;35,AI73+AH74-AQ73,IF(A74&lt;'Données projet'!$A$62,$AF$205^A74,IF(A74='Données projet'!$A$62,'Données projet'!$B$62,AI73+AH74-AQ73)))</f>
        <v>174.20000000000005</v>
      </c>
      <c r="AJ74" s="13">
        <f>AI74*VLOOKUP('Données projet'!$B$10,Paramètres!$A$1:$I$89,3,0)*VLOOKUP('Données projet'!$B$10,Paramètres!$A$1:$I$89,5,0)</f>
        <v>173.92128000000005</v>
      </c>
      <c r="AK74" s="13">
        <f t="shared" si="89"/>
        <v>43.967090861271025</v>
      </c>
      <c r="AL74" s="20">
        <f t="shared" si="58"/>
        <v>379.48891258338045</v>
      </c>
      <c r="AM74" s="59">
        <f t="shared" si="59"/>
        <v>672.82224591671377</v>
      </c>
      <c r="AN74" s="59">
        <f ca="1">AVERAGE(OFFSET($AM$3,0,0,'Données projet'!$E$10+1,1))-AVERAGE(OFFSET($H$3,0,0,'Données projet'!$E$10+1,1))</f>
        <v>260.68055529826694</v>
      </c>
      <c r="AO74" s="59">
        <f t="shared" si="90"/>
        <v>119.74772096645967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345.71478933243532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1.3596945791505279E-13</v>
      </c>
      <c r="P75" s="13">
        <f t="shared" si="87"/>
        <v>1.9708830566360721E-12</v>
      </c>
      <c r="Q75" s="20">
        <f t="shared" si="54"/>
        <v>3.669434796176543E-12</v>
      </c>
      <c r="R75" s="59">
        <f t="shared" si="55"/>
        <v>293.33333333333701</v>
      </c>
      <c r="S75" s="59">
        <f ca="1">AVERAGE(OFFSET($R$3,0,0,'Données projet'!$E$9+1,1))-AVERAGE(OFFSET($H$3,0,0,'Données projet'!$E$9+1,1))</f>
        <v>244.06766379043052</v>
      </c>
      <c r="T75" s="59">
        <f t="shared" si="88"/>
        <v>300.17085261974006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3.7770538329611401</v>
      </c>
      <c r="AA75" s="21">
        <f>EXP(-LN(2)/25)*AA74+(1-EXP(-LN(2)/25))/(LN(2)/25)*Calculateur!V75*Calculateur!X75*VLOOKUP('Données projet'!$B$9,Paramètres!$A$1:$I$89,3,0)*0.475*44/12</f>
        <v>2.6550012692310427</v>
      </c>
      <c r="AB75" s="21">
        <f>EXP(-LN(2)/2)*AB74+(1-EXP(-LN(2)/2))/(LN(2)/2)*V75*Y75*VLOOKUP('Données projet'!$B$9,Paramètres!$A$1:$I$89,3,0)*0.475*44/12</f>
        <v>5.5283280269555344E-6</v>
      </c>
      <c r="AC75" s="22">
        <f t="shared" si="57"/>
        <v>6.4320606305202102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2.2000000000000002</v>
      </c>
      <c r="AI75" s="13">
        <f>IF('Données projet'!$A$62&gt;35,AI74+AH75-AQ74,IF(A75&lt;'Données projet'!$A$62,$AF$205^A75,IF(A75='Données projet'!$A$62,'Données projet'!$B$62,AI74+AH75-AQ74)))</f>
        <v>176.40000000000003</v>
      </c>
      <c r="AJ75" s="13">
        <f>AI75*VLOOKUP('Données projet'!$B$10,Paramètres!$A$1:$I$89,3,0)*VLOOKUP('Données projet'!$B$10,Paramètres!$A$1:$I$89,5,0)</f>
        <v>176.11776000000006</v>
      </c>
      <c r="AK75" s="13">
        <f t="shared" si="89"/>
        <v>44.457366290237246</v>
      </c>
      <c r="AL75" s="20">
        <f t="shared" si="58"/>
        <v>384.16834495549665</v>
      </c>
      <c r="AM75" s="59">
        <f t="shared" si="59"/>
        <v>677.50167828882991</v>
      </c>
      <c r="AN75" s="59">
        <f ca="1">AVERAGE(OFFSET($AM$3,0,0,'Données projet'!$E$10+1,1))-AVERAGE(OFFSET($H$3,0,0,'Données projet'!$E$10+1,1))</f>
        <v>260.68055529826694</v>
      </c>
      <c r="AO75" s="59">
        <f t="shared" si="90"/>
        <v>119.74772096645967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346.9180951579346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1.3596945791505279E-13</v>
      </c>
      <c r="P76" s="13">
        <f t="shared" si="87"/>
        <v>1.9708830566360721E-12</v>
      </c>
      <c r="Q76" s="20">
        <f t="shared" si="54"/>
        <v>3.669434796176543E-12</v>
      </c>
      <c r="R76" s="59">
        <f t="shared" si="55"/>
        <v>293.33333333333701</v>
      </c>
      <c r="S76" s="59">
        <f ca="1">AVERAGE(OFFSET($R$3,0,0,'Données projet'!$E$9+1,1))-AVERAGE(OFFSET($H$3,0,0,'Données projet'!$E$9+1,1))</f>
        <v>244.06766379043052</v>
      </c>
      <c r="T76" s="59">
        <f t="shared" si="88"/>
        <v>300.17085261974006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3.7029881110721314</v>
      </c>
      <c r="AA76" s="21">
        <f>EXP(-LN(2)/25)*AA75+(1-EXP(-LN(2)/25))/(LN(2)/25)*Calculateur!V76*Calculateur!X76*VLOOKUP('Données projet'!$B$9,Paramètres!$A$1:$I$89,3,0)*0.475*44/12</f>
        <v>2.5824001199034714</v>
      </c>
      <c r="AB76" s="21">
        <f>EXP(-LN(2)/2)*AB75+(1-EXP(-LN(2)/2))/(LN(2)/2)*V76*Y76*VLOOKUP('Données projet'!$B$9,Paramètres!$A$1:$I$89,3,0)*0.475*44/12</f>
        <v>3.9091182364839049E-6</v>
      </c>
      <c r="AC76" s="22">
        <f t="shared" si="57"/>
        <v>6.2853921400938386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2.2000000000000002</v>
      </c>
      <c r="AI76" s="13">
        <f>IF('Données projet'!$A$62&gt;35,AI75+AH76-AQ75,IF(A76&lt;'Données projet'!$A$62,$AF$205^A76,IF(A76='Données projet'!$A$62,'Données projet'!$B$62,AI75+AH76-AQ75)))</f>
        <v>178.60000000000002</v>
      </c>
      <c r="AJ76" s="13">
        <f>AI76*VLOOKUP('Données projet'!$B$10,Paramètres!$A$1:$I$89,3,0)*VLOOKUP('Données projet'!$B$10,Paramètres!$A$1:$I$89,5,0)</f>
        <v>178.31424000000004</v>
      </c>
      <c r="AK76" s="13">
        <f t="shared" si="89"/>
        <v>44.946930482894025</v>
      </c>
      <c r="AL76" s="20">
        <f t="shared" si="58"/>
        <v>388.84653859104054</v>
      </c>
      <c r="AM76" s="59">
        <f t="shared" si="59"/>
        <v>682.17987192437386</v>
      </c>
      <c r="AN76" s="59">
        <f ca="1">AVERAGE(OFFSET($AM$3,0,0,'Données projet'!$E$10+1,1))-AVERAGE(OFFSET($H$3,0,0,'Données projet'!$E$10+1,1))</f>
        <v>260.68055529826694</v>
      </c>
      <c r="AO76" s="59">
        <f t="shared" si="90"/>
        <v>119.74772096645967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348.12099890422405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1.3596945791505279E-13</v>
      </c>
      <c r="P77" s="13">
        <f t="shared" si="87"/>
        <v>1.9708830566360721E-12</v>
      </c>
      <c r="Q77" s="20">
        <f t="shared" si="54"/>
        <v>3.669434796176543E-12</v>
      </c>
      <c r="R77" s="59">
        <f t="shared" si="55"/>
        <v>293.33333333333701</v>
      </c>
      <c r="S77" s="59">
        <f ca="1">AVERAGE(OFFSET($R$3,0,0,'Données projet'!$E$9+1,1))-AVERAGE(OFFSET($H$3,0,0,'Données projet'!$E$9+1,1))</f>
        <v>244.06766379043052</v>
      </c>
      <c r="T77" s="59">
        <f t="shared" si="88"/>
        <v>300.17085261974006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3.6303747728137363</v>
      </c>
      <c r="AA77" s="21">
        <f>EXP(-LN(2)/25)*AA76+(1-EXP(-LN(2)/25))/(LN(2)/25)*Calculateur!V77*Calculateur!X77*VLOOKUP('Données projet'!$B$9,Paramètres!$A$1:$I$89,3,0)*0.475*44/12</f>
        <v>2.5117842528221908</v>
      </c>
      <c r="AB77" s="21">
        <f>EXP(-LN(2)/2)*AB76+(1-EXP(-LN(2)/2))/(LN(2)/2)*V77*Y77*VLOOKUP('Données projet'!$B$9,Paramètres!$A$1:$I$89,3,0)*0.475*44/12</f>
        <v>2.7641640134777672E-6</v>
      </c>
      <c r="AC77" s="22">
        <f t="shared" si="57"/>
        <v>6.1421617897999399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2.2000000000000002</v>
      </c>
      <c r="AI77" s="13">
        <f>IF('Données projet'!$A$62&gt;35,AI76+AH77-AQ76,IF(A77&lt;'Données projet'!$A$62,$AF$205^A77,IF(A77='Données projet'!$A$62,'Données projet'!$B$62,AI76+AH77-AQ76)))</f>
        <v>180.8</v>
      </c>
      <c r="AJ77" s="13">
        <f>AI77*VLOOKUP('Données projet'!$B$10,Paramètres!$A$1:$I$89,3,0)*VLOOKUP('Données projet'!$B$10,Paramètres!$A$1:$I$89,5,0)</f>
        <v>180.51072000000002</v>
      </c>
      <c r="AK77" s="13">
        <f t="shared" si="89"/>
        <v>45.435793213543313</v>
      </c>
      <c r="AL77" s="20">
        <f t="shared" si="58"/>
        <v>393.52351051358795</v>
      </c>
      <c r="AM77" s="59">
        <f t="shared" si="59"/>
        <v>686.85684384692127</v>
      </c>
      <c r="AN77" s="59">
        <f ca="1">AVERAGE(OFFSET($AM$3,0,0,'Données projet'!$E$10+1,1))-AVERAGE(OFFSET($H$3,0,0,'Données projet'!$E$10+1,1))</f>
        <v>260.68055529826694</v>
      </c>
      <c r="AO77" s="59">
        <f t="shared" si="90"/>
        <v>119.74772096645967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349.32350663286911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1.3596945791505279E-13</v>
      </c>
      <c r="P78" s="13">
        <f t="shared" si="87"/>
        <v>1.9708830566360721E-12</v>
      </c>
      <c r="Q78" s="20">
        <f t="shared" si="54"/>
        <v>3.669434796176543E-12</v>
      </c>
      <c r="R78" s="59">
        <f t="shared" si="55"/>
        <v>293.33333333333701</v>
      </c>
      <c r="S78" s="59">
        <f ca="1">AVERAGE(OFFSET($R$3,0,0,'Données projet'!$E$9+1,1))-AVERAGE(OFFSET($H$3,0,0,'Données projet'!$E$9+1,1))</f>
        <v>244.06766379043052</v>
      </c>
      <c r="T78" s="59">
        <f t="shared" si="88"/>
        <v>300.17085261974006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3.5591853378288256</v>
      </c>
      <c r="AA78" s="21">
        <f>EXP(-LN(2)/25)*AA77+(1-EXP(-LN(2)/25))/(LN(2)/25)*Calculateur!V78*Calculateur!X78*VLOOKUP('Données projet'!$B$9,Paramètres!$A$1:$I$89,3,0)*0.475*44/12</f>
        <v>2.4430993803397749</v>
      </c>
      <c r="AB78" s="21">
        <f>EXP(-LN(2)/2)*AB77+(1-EXP(-LN(2)/2))/(LN(2)/2)*V78*Y78*VLOOKUP('Données projet'!$B$9,Paramètres!$A$1:$I$89,3,0)*0.475*44/12</f>
        <v>1.9545591182419525E-6</v>
      </c>
      <c r="AC78" s="22">
        <f t="shared" si="57"/>
        <v>6.0022866727277187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183</v>
      </c>
      <c r="AG78" s="12">
        <f>VLOOKUP(A78,'Données projet'!$A$61:$I$81,9,0)</f>
        <v>2.2000000000000002</v>
      </c>
      <c r="AH78" s="12">
        <f t="array" ref="AH78">INDEX(AG:AG,MIN(IF(ISNUMBER(AG78:AG274),ROW(AG78:AG274),"")))</f>
        <v>2.2000000000000002</v>
      </c>
      <c r="AI78" s="13">
        <f>IF('Données projet'!$A$62&gt;35,AI77+AH78-AQ77,IF(A78&lt;'Données projet'!$A$62,$AF$205^A78,IF(A78='Données projet'!$A$62,'Données projet'!$B$62,AI77+AH78-AQ77)))</f>
        <v>183</v>
      </c>
      <c r="AJ78" s="13">
        <f>AI78*VLOOKUP('Données projet'!$B$10,Paramètres!$A$1:$I$89,3,0)*VLOOKUP('Données projet'!$B$10,Paramètres!$A$1:$I$89,5,0)</f>
        <v>182.7072</v>
      </c>
      <c r="AK78" s="13">
        <f t="shared" si="89"/>
        <v>45.923964004932436</v>
      </c>
      <c r="AL78" s="20">
        <f t="shared" si="58"/>
        <v>398.19927730859064</v>
      </c>
      <c r="AM78" s="59">
        <f t="shared" si="59"/>
        <v>691.53261064192395</v>
      </c>
      <c r="AN78" s="59">
        <f ca="1">AVERAGE(OFFSET($AM$3,0,0,'Données projet'!$E$10+1,1))-AVERAGE(OFFSET($H$3,0,0,'Données projet'!$E$10+1,1))</f>
        <v>260.68055529826694</v>
      </c>
      <c r="AO78" s="59">
        <f t="shared" si="90"/>
        <v>119.74772096645967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350.5256242345036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1.3596945791505279E-13</v>
      </c>
      <c r="P79" s="13">
        <f t="shared" si="87"/>
        <v>1.9708830566360721E-12</v>
      </c>
      <c r="Q79" s="20">
        <f t="shared" si="54"/>
        <v>3.669434796176543E-12</v>
      </c>
      <c r="R79" s="59">
        <f t="shared" si="55"/>
        <v>293.33333333333701</v>
      </c>
      <c r="S79" s="59">
        <f ca="1">AVERAGE(OFFSET($R$3,0,0,'Données projet'!$E$9+1,1))-AVERAGE(OFFSET($H$3,0,0,'Données projet'!$E$9+1,1))</f>
        <v>244.06766379043052</v>
      </c>
      <c r="T79" s="59">
        <f t="shared" si="88"/>
        <v>300.17085261974006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3.4893918842427012</v>
      </c>
      <c r="AA79" s="21">
        <f>EXP(-LN(2)/25)*AA78+(1-EXP(-LN(2)/25))/(LN(2)/25)*Calculateur!V79*Calculateur!X79*VLOOKUP('Données projet'!$B$9,Paramètres!$A$1:$I$89,3,0)*0.475*44/12</f>
        <v>2.376292699307371</v>
      </c>
      <c r="AB79" s="21">
        <f>EXP(-LN(2)/2)*AB78+(1-EXP(-LN(2)/2))/(LN(2)/2)*V79*Y79*VLOOKUP('Données projet'!$B$9,Paramètres!$A$1:$I$89,3,0)*0.475*44/12</f>
        <v>1.3820820067388836E-6</v>
      </c>
      <c r="AC79" s="22">
        <f t="shared" si="57"/>
        <v>5.8656859656320792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5.9</v>
      </c>
      <c r="AI79" s="13">
        <f>IF('Données projet'!$A$62&gt;35,AI78+AH79-AQ78,IF(A79&lt;'Données projet'!$A$62,$AF$205^A79,IF(A79='Données projet'!$A$62,'Données projet'!$B$62,AI78+AH79-AQ78)))</f>
        <v>160.9</v>
      </c>
      <c r="AJ79" s="13">
        <f>AI79*VLOOKUP('Données projet'!$B$10,Paramètres!$A$1:$I$89,3,0)*VLOOKUP('Données projet'!$B$10,Paramètres!$A$1:$I$89,5,0)</f>
        <v>160.64256</v>
      </c>
      <c r="AK79" s="13">
        <f t="shared" si="89"/>
        <v>40.987412783869765</v>
      </c>
      <c r="AL79" s="20">
        <f t="shared" si="58"/>
        <v>351.17220259857316</v>
      </c>
      <c r="AM79" s="59">
        <f t="shared" si="59"/>
        <v>644.50553593190648</v>
      </c>
      <c r="AN79" s="59">
        <f ca="1">AVERAGE(OFFSET($AM$3,0,0,'Données projet'!$E$10+1,1))-AVERAGE(OFFSET($H$3,0,0,'Données projet'!$E$10+1,1))</f>
        <v>260.68055529826694</v>
      </c>
      <c r="AO79" s="59">
        <f t="shared" si="90"/>
        <v>119.74772096645967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351.72735743583411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1.3596945791505279E-13</v>
      </c>
      <c r="P80" s="13">
        <f t="shared" si="87"/>
        <v>1.9708830566360721E-12</v>
      </c>
      <c r="Q80" s="20">
        <f t="shared" si="54"/>
        <v>3.669434796176543E-12</v>
      </c>
      <c r="R80" s="59">
        <f t="shared" si="55"/>
        <v>293.33333333333701</v>
      </c>
      <c r="S80" s="59">
        <f ca="1">AVERAGE(OFFSET($R$3,0,0,'Données projet'!$E$9+1,1))-AVERAGE(OFFSET($H$3,0,0,'Données projet'!$E$9+1,1))</f>
        <v>244.06766379043052</v>
      </c>
      <c r="T80" s="59">
        <f t="shared" si="88"/>
        <v>300.17085261974006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3.420967037711597</v>
      </c>
      <c r="AA80" s="21">
        <f>EXP(-LN(2)/25)*AA79+(1-EXP(-LN(2)/25))/(LN(2)/25)*Calculateur!V80*Calculateur!X80*VLOOKUP('Données projet'!$B$9,Paramètres!$A$1:$I$89,3,0)*0.475*44/12</f>
        <v>2.3113128504810088</v>
      </c>
      <c r="AB80" s="21">
        <f>EXP(-LN(2)/2)*AB79+(1-EXP(-LN(2)/2))/(LN(2)/2)*V80*Y80*VLOOKUP('Données projet'!$B$9,Paramètres!$A$1:$I$89,3,0)*0.475*44/12</f>
        <v>9.7727955912097623E-7</v>
      </c>
      <c r="AC80" s="22">
        <f t="shared" si="57"/>
        <v>5.7322808654721653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5.9</v>
      </c>
      <c r="AI80" s="13">
        <f>IF('Données projet'!$A$62&gt;35,AI79+AH80-AQ79,IF(A80&lt;'Données projet'!$A$62,$AF$205^A80,IF(A80='Données projet'!$A$62,'Données projet'!$B$62,AI79+AH80-AQ79)))</f>
        <v>166.8</v>
      </c>
      <c r="AJ80" s="13">
        <f>AI80*VLOOKUP('Données projet'!$B$10,Paramètres!$A$1:$I$89,3,0)*VLOOKUP('Données projet'!$B$10,Paramètres!$A$1:$I$89,5,0)</f>
        <v>166.53312000000003</v>
      </c>
      <c r="AK80" s="13">
        <f t="shared" si="89"/>
        <v>42.312629138330649</v>
      </c>
      <c r="AL80" s="20">
        <f t="shared" si="58"/>
        <v>363.73967974925927</v>
      </c>
      <c r="AM80" s="59">
        <f t="shared" si="59"/>
        <v>657.07301308259252</v>
      </c>
      <c r="AN80" s="59">
        <f ca="1">AVERAGE(OFFSET($AM$3,0,0,'Données projet'!$E$10+1,1))-AVERAGE(OFFSET($H$3,0,0,'Données projet'!$E$10+1,1))</f>
        <v>260.68055529826694</v>
      </c>
      <c r="AO80" s="59">
        <f t="shared" si="90"/>
        <v>119.74772096645967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352.92871180627031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1.3596945791505279E-13</v>
      </c>
      <c r="P81" s="13">
        <f t="shared" si="87"/>
        <v>1.9708830566360721E-12</v>
      </c>
      <c r="Q81" s="20">
        <f t="shared" si="54"/>
        <v>3.669434796176543E-12</v>
      </c>
      <c r="R81" s="59">
        <f t="shared" si="55"/>
        <v>293.33333333333701</v>
      </c>
      <c r="S81" s="59">
        <f ca="1">AVERAGE(OFFSET($R$3,0,0,'Données projet'!$E$9+1,1))-AVERAGE(OFFSET($H$3,0,0,'Données projet'!$E$9+1,1))</f>
        <v>244.06766379043052</v>
      </c>
      <c r="T81" s="59">
        <f t="shared" si="88"/>
        <v>300.17085261974006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3.3538839606859328</v>
      </c>
      <c r="AA81" s="21">
        <f>EXP(-LN(2)/25)*AA80+(1-EXP(-LN(2)/25))/(LN(2)/25)*Calculateur!V81*Calculateur!X81*VLOOKUP('Données projet'!$B$9,Paramètres!$A$1:$I$89,3,0)*0.475*44/12</f>
        <v>2.2481098790379455</v>
      </c>
      <c r="AB81" s="21">
        <f>EXP(-LN(2)/2)*AB80+(1-EXP(-LN(2)/2))/(LN(2)/2)*V81*Y81*VLOOKUP('Données projet'!$B$9,Paramètres!$A$1:$I$89,3,0)*0.475*44/12</f>
        <v>6.910410033694418E-7</v>
      </c>
      <c r="AC81" s="22">
        <f t="shared" si="57"/>
        <v>5.6019945307648813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5.9</v>
      </c>
      <c r="AI81" s="13">
        <f>IF('Données projet'!$A$62&gt;35,AI80+AH81-AQ80,IF(A81&lt;'Données projet'!$A$62,$AF$205^A81,IF(A81='Données projet'!$A$62,'Données projet'!$B$62,AI80+AH81-AQ80)))</f>
        <v>172.70000000000002</v>
      </c>
      <c r="AJ81" s="13">
        <f>AI81*VLOOKUP('Données projet'!$B$10,Paramètres!$A$1:$I$89,3,0)*VLOOKUP('Données projet'!$B$10,Paramètres!$A$1:$I$89,5,0)</f>
        <v>172.42368000000005</v>
      </c>
      <c r="AK81" s="13">
        <f t="shared" si="89"/>
        <v>43.632399241685164</v>
      </c>
      <c r="AL81" s="20">
        <f t="shared" si="58"/>
        <v>376.29767134593504</v>
      </c>
      <c r="AM81" s="59">
        <f t="shared" si="59"/>
        <v>669.63100467926836</v>
      </c>
      <c r="AN81" s="59">
        <f ca="1">AVERAGE(OFFSET($AM$3,0,0,'Données projet'!$E$10+1,1))-AVERAGE(OFFSET($H$3,0,0,'Données projet'!$E$10+1,1))</f>
        <v>260.68055529826694</v>
      </c>
      <c r="AO81" s="59">
        <f t="shared" si="90"/>
        <v>119.74772096645967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354.12969276420569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1.3596945791505279E-13</v>
      </c>
      <c r="P82" s="13">
        <f t="shared" si="87"/>
        <v>1.9708830566360721E-12</v>
      </c>
      <c r="Q82" s="20">
        <f t="shared" si="54"/>
        <v>3.669434796176543E-12</v>
      </c>
      <c r="R82" s="59">
        <f t="shared" si="55"/>
        <v>293.33333333333701</v>
      </c>
      <c r="S82" s="59">
        <f ca="1">AVERAGE(OFFSET($R$3,0,0,'Données projet'!$E$9+1,1))-AVERAGE(OFFSET($H$3,0,0,'Données projet'!$E$9+1,1))</f>
        <v>244.06766379043052</v>
      </c>
      <c r="T82" s="59">
        <f t="shared" si="88"/>
        <v>300.17085261974006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3.2881163418841046</v>
      </c>
      <c r="AA82" s="21">
        <f>EXP(-LN(2)/25)*AA81+(1-EXP(-LN(2)/25))/(LN(2)/25)*Calculateur!V82*Calculateur!X82*VLOOKUP('Données projet'!$B$9,Paramètres!$A$1:$I$89,3,0)*0.475*44/12</f>
        <v>2.1866351961726926</v>
      </c>
      <c r="AB82" s="21">
        <f>EXP(-LN(2)/2)*AB81+(1-EXP(-LN(2)/2))/(LN(2)/2)*V82*Y82*VLOOKUP('Données projet'!$B$9,Paramètres!$A$1:$I$89,3,0)*0.475*44/12</f>
        <v>4.8863977956048811E-7</v>
      </c>
      <c r="AC82" s="22">
        <f t="shared" si="57"/>
        <v>5.4747520266965761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5.9</v>
      </c>
      <c r="AI82" s="13">
        <f>IF('Données projet'!$A$62&gt;35,AI81+AH82-AQ81,IF(A82&lt;'Données projet'!$A$62,$AF$205^A82,IF(A82='Données projet'!$A$62,'Données projet'!$B$62,AI81+AH82-AQ81)))</f>
        <v>178.60000000000002</v>
      </c>
      <c r="AJ82" s="13">
        <f>AI82*VLOOKUP('Données projet'!$B$10,Paramètres!$A$1:$I$89,3,0)*VLOOKUP('Données projet'!$B$10,Paramètres!$A$1:$I$89,5,0)</f>
        <v>178.31424000000004</v>
      </c>
      <c r="AK82" s="13">
        <f t="shared" si="89"/>
        <v>44.946930482894025</v>
      </c>
      <c r="AL82" s="20">
        <f t="shared" si="58"/>
        <v>388.84653859104054</v>
      </c>
      <c r="AM82" s="59">
        <f t="shared" si="59"/>
        <v>682.17987192437386</v>
      </c>
      <c r="AN82" s="59">
        <f ca="1">AVERAGE(OFFSET($AM$3,0,0,'Données projet'!$E$10+1,1))-AVERAGE(OFFSET($H$3,0,0,'Données projet'!$E$10+1,1))</f>
        <v>260.68055529826694</v>
      </c>
      <c r="AO82" s="59">
        <f t="shared" si="90"/>
        <v>119.74772096645967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355.33030558297088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1.3596945791505279E-13</v>
      </c>
      <c r="P83" s="13">
        <f t="shared" si="87"/>
        <v>1.9708830566360721E-12</v>
      </c>
      <c r="Q83" s="20">
        <f t="shared" si="54"/>
        <v>3.669434796176543E-12</v>
      </c>
      <c r="R83" s="59">
        <f t="shared" si="55"/>
        <v>293.33333333333701</v>
      </c>
      <c r="S83" s="59">
        <f ca="1">AVERAGE(OFFSET($R$3,0,0,'Données projet'!$E$9+1,1))-AVERAGE(OFFSET($H$3,0,0,'Données projet'!$E$9+1,1))</f>
        <v>244.06766379043052</v>
      </c>
      <c r="T83" s="59">
        <f t="shared" si="88"/>
        <v>300.17085261974006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3.223638385972694</v>
      </c>
      <c r="AA83" s="21">
        <f>EXP(-LN(2)/25)*AA82+(1-EXP(-LN(2)/25))/(LN(2)/25)*Calculateur!V83*Calculateur!X83*VLOOKUP('Données projet'!$B$9,Paramètres!$A$1:$I$89,3,0)*0.475*44/12</f>
        <v>2.1268415417432029</v>
      </c>
      <c r="AB83" s="21">
        <f>EXP(-LN(2)/2)*AB82+(1-EXP(-LN(2)/2))/(LN(2)/2)*V83*Y83*VLOOKUP('Données projet'!$B$9,Paramètres!$A$1:$I$89,3,0)*0.475*44/12</f>
        <v>3.455205016847209E-7</v>
      </c>
      <c r="AC83" s="22">
        <f t="shared" si="57"/>
        <v>5.350480273236399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5.9</v>
      </c>
      <c r="AI83" s="13">
        <f>IF('Données projet'!$A$62&gt;35,AI82+AH83-AQ82,IF(A83&lt;'Données projet'!$A$62,$AF$205^A83,IF(A83='Données projet'!$A$62,'Données projet'!$B$62,AI82+AH83-AQ82)))</f>
        <v>184.50000000000003</v>
      </c>
      <c r="AJ83" s="13">
        <f>AI83*VLOOKUP('Données projet'!$B$10,Paramètres!$A$1:$I$89,3,0)*VLOOKUP('Données projet'!$B$10,Paramètres!$A$1:$I$89,5,0)</f>
        <v>184.20480000000003</v>
      </c>
      <c r="AK83" s="13">
        <f t="shared" si="89"/>
        <v>46.256415771222933</v>
      </c>
      <c r="AL83" s="20">
        <f t="shared" si="58"/>
        <v>401.38661746821327</v>
      </c>
      <c r="AM83" s="59">
        <f t="shared" si="59"/>
        <v>694.71995080154659</v>
      </c>
      <c r="AN83" s="59">
        <f ca="1">AVERAGE(OFFSET($AM$3,0,0,'Données projet'!$E$10+1,1))-AVERAGE(OFFSET($H$3,0,0,'Données projet'!$E$10+1,1))</f>
        <v>260.68055529826694</v>
      </c>
      <c r="AO83" s="59">
        <f t="shared" si="90"/>
        <v>119.74772096645967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356.53055539648136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1.3596945791505279E-13</v>
      </c>
      <c r="P84" s="13">
        <f t="shared" si="87"/>
        <v>1.9708830566360721E-12</v>
      </c>
      <c r="Q84" s="20">
        <f t="shared" si="54"/>
        <v>3.669434796176543E-12</v>
      </c>
      <c r="R84" s="59">
        <f t="shared" si="55"/>
        <v>293.33333333333701</v>
      </c>
      <c r="S84" s="59">
        <f ca="1">AVERAGE(OFFSET($R$3,0,0,'Données projet'!$E$9+1,1))-AVERAGE(OFFSET($H$3,0,0,'Données projet'!$E$9+1,1))</f>
        <v>244.06766379043052</v>
      </c>
      <c r="T84" s="59">
        <f t="shared" si="88"/>
        <v>300.17085261974006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3.1604248034490365</v>
      </c>
      <c r="AA84" s="21">
        <f>EXP(-LN(2)/25)*AA83+(1-EXP(-LN(2)/25))/(LN(2)/25)*Calculateur!V84*Calculateur!X84*VLOOKUP('Données projet'!$B$9,Paramètres!$A$1:$I$89,3,0)*0.475*44/12</f>
        <v>2.0686829479384992</v>
      </c>
      <c r="AB84" s="21">
        <f>EXP(-LN(2)/2)*AB83+(1-EXP(-LN(2)/2))/(LN(2)/2)*V84*Y84*VLOOKUP('Données projet'!$B$9,Paramètres!$A$1:$I$89,3,0)*0.475*44/12</f>
        <v>2.4431988978024406E-7</v>
      </c>
      <c r="AC84" s="22">
        <f t="shared" si="57"/>
        <v>5.2291079957074258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5.9</v>
      </c>
      <c r="AI84" s="13">
        <f>IF('Données projet'!$A$62&gt;35,AI83+AH84-AQ83,IF(A84&lt;'Données projet'!$A$62,$AF$205^A84,IF(A84='Données projet'!$A$62,'Données projet'!$B$62,AI83+AH84-AQ83)))</f>
        <v>190.40000000000003</v>
      </c>
      <c r="AJ84" s="13">
        <f>AI84*VLOOKUP('Données projet'!$B$10,Paramètres!$A$1:$I$89,3,0)*VLOOKUP('Données projet'!$B$10,Paramètres!$A$1:$I$89,5,0)</f>
        <v>190.09536000000006</v>
      </c>
      <c r="AK84" s="13">
        <f t="shared" si="89"/>
        <v>47.56103497756866</v>
      </c>
      <c r="AL84" s="20">
        <f t="shared" si="58"/>
        <v>413.91822125259887</v>
      </c>
      <c r="AM84" s="59">
        <f t="shared" si="59"/>
        <v>707.25155458593213</v>
      </c>
      <c r="AN84" s="59">
        <f ca="1">AVERAGE(OFFSET($AM$3,0,0,'Données projet'!$E$10+1,1))-AVERAGE(OFFSET($H$3,0,0,'Données projet'!$E$10+1,1))</f>
        <v>260.68055529826694</v>
      </c>
      <c r="AO84" s="59">
        <f t="shared" si="90"/>
        <v>119.74772096645967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357.73044720459762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1.3596945791505279E-13</v>
      </c>
      <c r="P85" s="13">
        <f t="shared" si="87"/>
        <v>1.9708830566360721E-12</v>
      </c>
      <c r="Q85" s="20">
        <f t="shared" si="54"/>
        <v>3.669434796176543E-12</v>
      </c>
      <c r="R85" s="59">
        <f t="shared" si="55"/>
        <v>293.33333333333701</v>
      </c>
      <c r="S85" s="59">
        <f ca="1">AVERAGE(OFFSET($R$3,0,0,'Données projet'!$E$9+1,1))-AVERAGE(OFFSET($H$3,0,0,'Données projet'!$E$9+1,1))</f>
        <v>244.06766379043052</v>
      </c>
      <c r="T85" s="59">
        <f t="shared" si="88"/>
        <v>300.17085261974006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3.0984508007221896</v>
      </c>
      <c r="AA85" s="21">
        <f>EXP(-LN(2)/25)*AA84+(1-EXP(-LN(2)/25))/(LN(2)/25)*Calculateur!V85*Calculateur!X85*VLOOKUP('Données projet'!$B$9,Paramètres!$A$1:$I$89,3,0)*0.475*44/12</f>
        <v>2.0121147039398126</v>
      </c>
      <c r="AB85" s="21">
        <f>EXP(-LN(2)/2)*AB84+(1-EXP(-LN(2)/2))/(LN(2)/2)*V85*Y85*VLOOKUP('Données projet'!$B$9,Paramètres!$A$1:$I$89,3,0)*0.475*44/12</f>
        <v>1.7276025084236045E-7</v>
      </c>
      <c r="AC85" s="22">
        <f t="shared" si="57"/>
        <v>5.1105656774222528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5.9</v>
      </c>
      <c r="AI85" s="13">
        <f>IF('Données projet'!$A$62&gt;35,AI84+AH85-AQ84,IF(A85&lt;'Données projet'!$A$62,$AF$205^A85,IF(A85='Données projet'!$A$62,'Données projet'!$B$62,AI84+AH85-AQ84)))</f>
        <v>196.30000000000004</v>
      </c>
      <c r="AJ85" s="13">
        <f>AI85*VLOOKUP('Données projet'!$B$10,Paramètres!$A$1:$I$89,3,0)*VLOOKUP('Données projet'!$B$10,Paramètres!$A$1:$I$89,5,0)</f>
        <v>195.98592000000005</v>
      </c>
      <c r="AK85" s="13">
        <f t="shared" si="89"/>
        <v>48.860956192114351</v>
      </c>
      <c r="AL85" s="20">
        <f t="shared" si="58"/>
        <v>426.44164270126589</v>
      </c>
      <c r="AM85" s="59">
        <f t="shared" si="59"/>
        <v>719.77497603459915</v>
      </c>
      <c r="AN85" s="59">
        <f ca="1">AVERAGE(OFFSET($AM$3,0,0,'Données projet'!$E$10+1,1))-AVERAGE(OFFSET($H$3,0,0,'Données projet'!$E$10+1,1))</f>
        <v>260.68055529826694</v>
      </c>
      <c r="AO85" s="59">
        <f t="shared" si="90"/>
        <v>119.74772096645967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358.92998587821728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1.3596945791505279E-13</v>
      </c>
      <c r="P86" s="13">
        <f t="shared" si="87"/>
        <v>1.9708830566360721E-12</v>
      </c>
      <c r="Q86" s="20">
        <f t="shared" si="54"/>
        <v>3.669434796176543E-12</v>
      </c>
      <c r="R86" s="59">
        <f t="shared" si="55"/>
        <v>293.33333333333701</v>
      </c>
      <c r="S86" s="59">
        <f ca="1">AVERAGE(OFFSET($R$3,0,0,'Données projet'!$E$9+1,1))-AVERAGE(OFFSET($H$3,0,0,'Données projet'!$E$9+1,1))</f>
        <v>244.06766379043052</v>
      </c>
      <c r="T86" s="59">
        <f t="shared" si="88"/>
        <v>300.17085261974006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3.0376920703884069</v>
      </c>
      <c r="AA86" s="21">
        <f>EXP(-LN(2)/25)*AA85+(1-EXP(-LN(2)/25))/(LN(2)/25)*Calculateur!V86*Calculateur!X86*VLOOKUP('Données projet'!$B$9,Paramètres!$A$1:$I$89,3,0)*0.475*44/12</f>
        <v>1.9570933215480648</v>
      </c>
      <c r="AB86" s="21">
        <f>EXP(-LN(2)/2)*AB85+(1-EXP(-LN(2)/2))/(LN(2)/2)*V86*Y86*VLOOKUP('Données projet'!$B$9,Paramètres!$A$1:$I$89,3,0)*0.475*44/12</f>
        <v>1.2215994489012203E-7</v>
      </c>
      <c r="AC86" s="22">
        <f t="shared" si="57"/>
        <v>4.9947855140964172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5.9</v>
      </c>
      <c r="AI86" s="13">
        <f>IF('Données projet'!$A$62&gt;35,AI85+AH86-AQ85,IF(A86&lt;'Données projet'!$A$62,$AF$205^A86,IF(A86='Données projet'!$A$62,'Données projet'!$B$62,AI85+AH86-AQ85)))</f>
        <v>202.20000000000005</v>
      </c>
      <c r="AJ86" s="13">
        <f>AI86*VLOOKUP('Données projet'!$B$10,Paramètres!$A$1:$I$89,3,0)*VLOOKUP('Données projet'!$B$10,Paramètres!$A$1:$I$89,5,0)</f>
        <v>201.87648000000007</v>
      </c>
      <c r="AK86" s="13">
        <f t="shared" si="89"/>
        <v>50.156336826536098</v>
      </c>
      <c r="AL86" s="20">
        <f t="shared" si="58"/>
        <v>438.95715597288381</v>
      </c>
      <c r="AM86" s="59">
        <f t="shared" si="59"/>
        <v>732.29048930621707</v>
      </c>
      <c r="AN86" s="59">
        <f ca="1">AVERAGE(OFFSET($AM$3,0,0,'Données projet'!$E$10+1,1))-AVERAGE(OFFSET($H$3,0,0,'Données projet'!$E$10+1,1))</f>
        <v>260.68055529826694</v>
      </c>
      <c r="AO86" s="59">
        <f t="shared" si="90"/>
        <v>119.74772096645967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360.12917616411374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1.3596945791505279E-13</v>
      </c>
      <c r="P87" s="13">
        <f t="shared" si="87"/>
        <v>1.9708830566360721E-12</v>
      </c>
      <c r="Q87" s="20">
        <f t="shared" si="54"/>
        <v>3.669434796176543E-12</v>
      </c>
      <c r="R87" s="59">
        <f t="shared" si="55"/>
        <v>293.33333333333701</v>
      </c>
      <c r="S87" s="59">
        <f ca="1">AVERAGE(OFFSET($R$3,0,0,'Données projet'!$E$9+1,1))-AVERAGE(OFFSET($H$3,0,0,'Données projet'!$E$9+1,1))</f>
        <v>244.06766379043052</v>
      </c>
      <c r="T87" s="59">
        <f t="shared" si="88"/>
        <v>300.17085261974006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2.9781247816973035</v>
      </c>
      <c r="AA87" s="21">
        <f>EXP(-LN(2)/25)*AA86+(1-EXP(-LN(2)/25))/(LN(2)/25)*Calculateur!V87*Calculateur!X87*VLOOKUP('Données projet'!$B$9,Paramètres!$A$1:$I$89,3,0)*0.475*44/12</f>
        <v>1.9035765017512682</v>
      </c>
      <c r="AB87" s="21">
        <f>EXP(-LN(2)/2)*AB86+(1-EXP(-LN(2)/2))/(LN(2)/2)*V87*Y87*VLOOKUP('Données projet'!$B$9,Paramètres!$A$1:$I$89,3,0)*0.475*44/12</f>
        <v>8.6380125421180224E-8</v>
      </c>
      <c r="AC87" s="22">
        <f t="shared" si="57"/>
        <v>4.8817013698286971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5.9</v>
      </c>
      <c r="AI87" s="13">
        <f>IF('Données projet'!$A$62&gt;35,AI86+AH87-AQ86,IF(A87&lt;'Données projet'!$A$62,$AF$205^A87,IF(A87='Données projet'!$A$62,'Données projet'!$B$62,AI86+AH87-AQ86)))</f>
        <v>208.10000000000005</v>
      </c>
      <c r="AJ87" s="13">
        <f>AI87*VLOOKUP('Données projet'!$B$10,Paramètres!$A$1:$I$89,3,0)*VLOOKUP('Données projet'!$B$10,Paramètres!$A$1:$I$89,5,0)</f>
        <v>207.76704000000004</v>
      </c>
      <c r="AK87" s="13">
        <f t="shared" si="89"/>
        <v>51.447324583948777</v>
      </c>
      <c r="AL87" s="20">
        <f t="shared" si="58"/>
        <v>451.4650183170441</v>
      </c>
      <c r="AM87" s="59">
        <f t="shared" si="59"/>
        <v>744.79835165037741</v>
      </c>
      <c r="AN87" s="59">
        <f ca="1">AVERAGE(OFFSET($AM$3,0,0,'Données projet'!$E$10+1,1))-AVERAGE(OFFSET($H$3,0,0,'Données projet'!$E$10+1,1))</f>
        <v>260.68055529826694</v>
      </c>
      <c r="AO87" s="59">
        <f t="shared" si="90"/>
        <v>119.74772096645967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361.32802268953901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1.3596945791505279E-13</v>
      </c>
      <c r="P88" s="13">
        <f t="shared" si="87"/>
        <v>1.9708830566360721E-12</v>
      </c>
      <c r="Q88" s="20">
        <f t="shared" si="54"/>
        <v>3.669434796176543E-12</v>
      </c>
      <c r="R88" s="59">
        <f t="shared" si="55"/>
        <v>293.33333333333701</v>
      </c>
      <c r="S88" s="59">
        <f ca="1">AVERAGE(OFFSET($R$3,0,0,'Données projet'!$E$9+1,1))-AVERAGE(OFFSET($H$3,0,0,'Données projet'!$E$9+1,1))</f>
        <v>244.06766379043052</v>
      </c>
      <c r="T88" s="59">
        <f t="shared" si="88"/>
        <v>300.17085261974006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2.9197255712049741</v>
      </c>
      <c r="AA88" s="21">
        <f>EXP(-LN(2)/25)*AA87+(1-EXP(-LN(2)/25))/(LN(2)/25)*Calculateur!V88*Calculateur!X88*VLOOKUP('Données projet'!$B$9,Paramètres!$A$1:$I$89,3,0)*0.475*44/12</f>
        <v>1.8515231022061422</v>
      </c>
      <c r="AB88" s="21">
        <f>EXP(-LN(2)/2)*AB87+(1-EXP(-LN(2)/2))/(LN(2)/2)*V88*Y88*VLOOKUP('Données projet'!$B$9,Paramètres!$A$1:$I$89,3,0)*0.475*44/12</f>
        <v>6.1079972445061014E-8</v>
      </c>
      <c r="AC88" s="22">
        <f t="shared" si="57"/>
        <v>4.7712487344910883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214</v>
      </c>
      <c r="AG88" s="12">
        <f>VLOOKUP(A88,'Données projet'!$A$61:$I$81,9,0)</f>
        <v>5.9</v>
      </c>
      <c r="AH88" s="12">
        <f t="array" ref="AH88">INDEX(AG:AG,MIN(IF(ISNUMBER(AG88:AG284),ROW(AG88:AG284),"")))</f>
        <v>5.9</v>
      </c>
      <c r="AI88" s="13">
        <f>IF('Données projet'!$A$62&gt;35,AI87+AH88-AQ87,IF(A88&lt;'Données projet'!$A$62,$AF$205^A88,IF(A88='Données projet'!$A$62,'Données projet'!$B$62,AI87+AH88-AQ87)))</f>
        <v>214.00000000000006</v>
      </c>
      <c r="AJ88" s="13">
        <f>AI88*VLOOKUP('Données projet'!$B$10,Paramètres!$A$1:$I$89,3,0)*VLOOKUP('Données projet'!$B$10,Paramètres!$A$1:$I$89,5,0)</f>
        <v>213.65760000000006</v>
      </c>
      <c r="AK88" s="13">
        <f t="shared" si="89"/>
        <v>52.73405831576197</v>
      </c>
      <c r="AL88" s="20">
        <f t="shared" si="58"/>
        <v>463.96547156661882</v>
      </c>
      <c r="AM88" s="59">
        <f t="shared" si="59"/>
        <v>757.29880489995207</v>
      </c>
      <c r="AN88" s="59">
        <f ca="1">AVERAGE(OFFSET($AM$3,0,0,'Données projet'!$E$10+1,1))-AVERAGE(OFFSET($H$3,0,0,'Données projet'!$E$10+1,1))</f>
        <v>260.68055529826694</v>
      </c>
      <c r="AO88" s="59">
        <f t="shared" si="90"/>
        <v>119.74772096645967</v>
      </c>
      <c r="AP88" s="15">
        <f>IF(ISNA(VLOOKUP(A88,'Données projet'!$A$61:$I$81,3,0)),0,VLOOKUP(A88,'Données projet'!$A$61:$I$81,3,0))</f>
        <v>6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362.52652996660277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1.3596945791505279E-13</v>
      </c>
      <c r="P89" s="13">
        <f t="shared" si="87"/>
        <v>1.9708830566360721E-12</v>
      </c>
      <c r="Q89" s="20">
        <f t="shared" si="54"/>
        <v>3.669434796176543E-12</v>
      </c>
      <c r="R89" s="59">
        <f t="shared" si="55"/>
        <v>293.33333333333701</v>
      </c>
      <c r="S89" s="59">
        <f ca="1">AVERAGE(OFFSET($R$3,0,0,'Données projet'!$E$9+1,1))-AVERAGE(OFFSET($H$3,0,0,'Données projet'!$E$9+1,1))</f>
        <v>244.06766379043052</v>
      </c>
      <c r="T89" s="59">
        <f t="shared" si="88"/>
        <v>300.17085261974006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2.8624715336103979</v>
      </c>
      <c r="AA89" s="21">
        <f>EXP(-LN(2)/25)*AA88+(1-EXP(-LN(2)/25))/(LN(2)/25)*Calculateur!V89*Calculateur!X89*VLOOKUP('Données projet'!$B$9,Paramètres!$A$1:$I$89,3,0)*0.475*44/12</f>
        <v>1.800893105608947</v>
      </c>
      <c r="AB89" s="21">
        <f>EXP(-LN(2)/2)*AB88+(1-EXP(-LN(2)/2))/(LN(2)/2)*V89*Y89*VLOOKUP('Données projet'!$B$9,Paramètres!$A$1:$I$89,3,0)*0.475*44/12</f>
        <v>4.3190062710590112E-8</v>
      </c>
      <c r="AC89" s="22">
        <f t="shared" si="57"/>
        <v>4.6633646824094077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4</v>
      </c>
      <c r="AI89" s="13">
        <f>IF('Données projet'!$A$62&gt;35,AI88+AH89-AQ88,IF(A89&lt;'Données projet'!$A$62,$AF$205^A89,IF(A89='Données projet'!$A$62,'Données projet'!$B$62,AI88+AH89-AQ88)))</f>
        <v>190.00000000000006</v>
      </c>
      <c r="AJ89" s="13">
        <f>AI89*VLOOKUP('Données projet'!$B$10,Paramètres!$A$1:$I$89,3,0)*VLOOKUP('Données projet'!$B$10,Paramètres!$A$1:$I$89,5,0)</f>
        <v>189.69600000000005</v>
      </c>
      <c r="AK89" s="13">
        <f t="shared" si="89"/>
        <v>47.472736505152511</v>
      </c>
      <c r="AL89" s="20">
        <f t="shared" si="58"/>
        <v>413.068882746474</v>
      </c>
      <c r="AM89" s="59">
        <f t="shared" si="59"/>
        <v>706.40221607980732</v>
      </c>
      <c r="AN89" s="59">
        <f ca="1">AVERAGE(OFFSET($AM$3,0,0,'Données projet'!$E$10+1,1))-AVERAGE(OFFSET($H$3,0,0,'Données projet'!$E$10+1,1))</f>
        <v>260.68055529826694</v>
      </c>
      <c r="AO89" s="59">
        <f t="shared" si="90"/>
        <v>119.74772096645967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363.72470239644252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1.3596945791505279E-13</v>
      </c>
      <c r="P90" s="13">
        <f t="shared" si="87"/>
        <v>1.9708830566360721E-12</v>
      </c>
      <c r="Q90" s="20">
        <f t="shared" si="54"/>
        <v>3.669434796176543E-12</v>
      </c>
      <c r="R90" s="59">
        <f t="shared" si="55"/>
        <v>293.33333333333701</v>
      </c>
      <c r="S90" s="59">
        <f ca="1">AVERAGE(OFFSET($R$3,0,0,'Données projet'!$E$9+1,1))-AVERAGE(OFFSET($H$3,0,0,'Données projet'!$E$9+1,1))</f>
        <v>244.06766379043052</v>
      </c>
      <c r="T90" s="59">
        <f t="shared" si="88"/>
        <v>300.17085261974006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2.8063402127715369</v>
      </c>
      <c r="AA90" s="21">
        <f>EXP(-LN(2)/25)*AA89+(1-EXP(-LN(2)/25))/(LN(2)/25)*Calculateur!V90*Calculateur!X90*VLOOKUP('Données projet'!$B$9,Paramètres!$A$1:$I$89,3,0)*0.475*44/12</f>
        <v>1.751647588931218</v>
      </c>
      <c r="AB90" s="21">
        <f>EXP(-LN(2)/2)*AB89+(1-EXP(-LN(2)/2))/(LN(2)/2)*V90*Y90*VLOOKUP('Données projet'!$B$9,Paramètres!$A$1:$I$89,3,0)*0.475*44/12</f>
        <v>3.0539986222530507E-8</v>
      </c>
      <c r="AC90" s="22">
        <f t="shared" si="57"/>
        <v>4.5579878322427412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4</v>
      </c>
      <c r="AI90" s="13">
        <f>IF('Données projet'!$A$62&gt;35,AI89+AH90-AQ89,IF(A90&lt;'Données projet'!$A$62,$AF$205^A90,IF(A90='Données projet'!$A$62,'Données projet'!$B$62,AI89+AH90-AQ89)))</f>
        <v>194.00000000000006</v>
      </c>
      <c r="AJ90" s="13">
        <f>AI90*VLOOKUP('Données projet'!$B$10,Paramètres!$A$1:$I$89,3,0)*VLOOKUP('Données projet'!$B$10,Paramètres!$A$1:$I$89,5,0)</f>
        <v>193.68960000000007</v>
      </c>
      <c r="AK90" s="13">
        <f t="shared" si="89"/>
        <v>48.354755709395633</v>
      </c>
      <c r="AL90" s="20">
        <f t="shared" si="58"/>
        <v>421.56058619386414</v>
      </c>
      <c r="AM90" s="59">
        <f t="shared" si="59"/>
        <v>714.89391952719745</v>
      </c>
      <c r="AN90" s="59">
        <f ca="1">AVERAGE(OFFSET($AM$3,0,0,'Données projet'!$E$10+1,1))-AVERAGE(OFFSET($H$3,0,0,'Données projet'!$E$10+1,1))</f>
        <v>260.68055529826694</v>
      </c>
      <c r="AO90" s="59">
        <f t="shared" si="90"/>
        <v>119.74772096645967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364.92254427319637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1.3596945791505279E-13</v>
      </c>
      <c r="P91" s="13">
        <f t="shared" si="87"/>
        <v>1.9708830566360721E-12</v>
      </c>
      <c r="Q91" s="20">
        <f t="shared" si="54"/>
        <v>3.669434796176543E-12</v>
      </c>
      <c r="R91" s="59">
        <f t="shared" si="55"/>
        <v>293.33333333333701</v>
      </c>
      <c r="S91" s="59">
        <f ca="1">AVERAGE(OFFSET($R$3,0,0,'Données projet'!$E$9+1,1))-AVERAGE(OFFSET($H$3,0,0,'Données projet'!$E$9+1,1))</f>
        <v>244.06766379043052</v>
      </c>
      <c r="T91" s="59">
        <f t="shared" si="88"/>
        <v>300.17085261974006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2.7513095928976008</v>
      </c>
      <c r="AA91" s="21">
        <f>EXP(-LN(2)/25)*AA90+(1-EXP(-LN(2)/25))/(LN(2)/25)*Calculateur!V91*Calculateur!X91*VLOOKUP('Données projet'!$B$9,Paramètres!$A$1:$I$89,3,0)*0.475*44/12</f>
        <v>1.7037486934967505</v>
      </c>
      <c r="AB91" s="21">
        <f>EXP(-LN(2)/2)*AB90+(1-EXP(-LN(2)/2))/(LN(2)/2)*V91*Y91*VLOOKUP('Données projet'!$B$9,Paramètres!$A$1:$I$89,3,0)*0.475*44/12</f>
        <v>2.1595031355295056E-8</v>
      </c>
      <c r="AC91" s="22">
        <f t="shared" si="57"/>
        <v>4.4550583079893826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4</v>
      </c>
      <c r="AI91" s="13">
        <f>IF('Données projet'!$A$62&gt;35,AI90+AH91-AQ90,IF(A91&lt;'Données projet'!$A$62,$AF$205^A91,IF(A91='Données projet'!$A$62,'Données projet'!$B$62,AI90+AH91-AQ90)))</f>
        <v>198.00000000000006</v>
      </c>
      <c r="AJ91" s="13">
        <f>AI91*VLOOKUP('Données projet'!$B$10,Paramètres!$A$1:$I$89,3,0)*VLOOKUP('Données projet'!$B$10,Paramètres!$A$1:$I$89,5,0)</f>
        <v>197.68320000000008</v>
      </c>
      <c r="AK91" s="13">
        <f t="shared" si="89"/>
        <v>49.234660447368675</v>
      </c>
      <c r="AL91" s="20">
        <f t="shared" si="58"/>
        <v>430.04860694583391</v>
      </c>
      <c r="AM91" s="59">
        <f t="shared" si="59"/>
        <v>723.38194027916722</v>
      </c>
      <c r="AN91" s="59">
        <f ca="1">AVERAGE(OFFSET($AM$3,0,0,'Données projet'!$E$10+1,1))-AVERAGE(OFFSET($H$3,0,0,'Données projet'!$E$10+1,1))</f>
        <v>260.68055529826694</v>
      </c>
      <c r="AO91" s="59">
        <f t="shared" si="90"/>
        <v>119.74772096645967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366.12005978779001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1.3596945791505279E-13</v>
      </c>
      <c r="P92" s="13">
        <f t="shared" si="87"/>
        <v>1.9708830566360721E-12</v>
      </c>
      <c r="Q92" s="20">
        <f t="shared" si="54"/>
        <v>3.669434796176543E-12</v>
      </c>
      <c r="R92" s="59">
        <f t="shared" si="55"/>
        <v>293.33333333333701</v>
      </c>
      <c r="S92" s="59">
        <f ca="1">AVERAGE(OFFSET($R$3,0,0,'Données projet'!$E$9+1,1))-AVERAGE(OFFSET($H$3,0,0,'Données projet'!$E$9+1,1))</f>
        <v>244.06766379043052</v>
      </c>
      <c r="T92" s="59">
        <f t="shared" si="88"/>
        <v>300.17085261974006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2.6973580899140286</v>
      </c>
      <c r="AA92" s="21">
        <f>EXP(-LN(2)/25)*AA91+(1-EXP(-LN(2)/25))/(LN(2)/25)*Calculateur!V92*Calculateur!X92*VLOOKUP('Données projet'!$B$9,Paramètres!$A$1:$I$89,3,0)*0.475*44/12</f>
        <v>1.6571595958768321</v>
      </c>
      <c r="AB92" s="21">
        <f>EXP(-LN(2)/2)*AB91+(1-EXP(-LN(2)/2))/(LN(2)/2)*V92*Y92*VLOOKUP('Données projet'!$B$9,Paramètres!$A$1:$I$89,3,0)*0.475*44/12</f>
        <v>1.5269993111265254E-8</v>
      </c>
      <c r="AC92" s="22">
        <f t="shared" si="57"/>
        <v>4.3545177010608542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4</v>
      </c>
      <c r="AI92" s="13">
        <f>IF('Données projet'!$A$62&gt;35,AI91+AH92-AQ91,IF(A92&lt;'Données projet'!$A$62,$AF$205^A92,IF(A92='Données projet'!$A$62,'Données projet'!$B$62,AI91+AH92-AQ91)))</f>
        <v>202.00000000000006</v>
      </c>
      <c r="AJ92" s="13">
        <f>AI92*VLOOKUP('Données projet'!$B$10,Paramètres!$A$1:$I$89,3,0)*VLOOKUP('Données projet'!$B$10,Paramètres!$A$1:$I$89,5,0)</f>
        <v>201.67680000000004</v>
      </c>
      <c r="AK92" s="13">
        <f t="shared" si="89"/>
        <v>50.112498358275509</v>
      </c>
      <c r="AL92" s="20">
        <f t="shared" si="58"/>
        <v>438.53302797399652</v>
      </c>
      <c r="AM92" s="59">
        <f t="shared" si="59"/>
        <v>731.86636130732984</v>
      </c>
      <c r="AN92" s="59">
        <f ca="1">AVERAGE(OFFSET($AM$3,0,0,'Données projet'!$E$10+1,1))-AVERAGE(OFFSET($H$3,0,0,'Données projet'!$E$10+1,1))</f>
        <v>260.68055529826694</v>
      </c>
      <c r="AO92" s="59">
        <f t="shared" si="90"/>
        <v>119.74772096645967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367.31725303154894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1.3596945791505279E-13</v>
      </c>
      <c r="P93" s="13">
        <f t="shared" si="87"/>
        <v>1.9708830566360721E-12</v>
      </c>
      <c r="Q93" s="20">
        <f t="shared" si="54"/>
        <v>3.669434796176543E-12</v>
      </c>
      <c r="R93" s="59">
        <f t="shared" si="55"/>
        <v>293.33333333333701</v>
      </c>
      <c r="S93" s="59">
        <f ca="1">AVERAGE(OFFSET($R$3,0,0,'Données projet'!$E$9+1,1))-AVERAGE(OFFSET($H$3,0,0,'Données projet'!$E$9+1,1))</f>
        <v>244.06766379043052</v>
      </c>
      <c r="T93" s="59">
        <f t="shared" si="88"/>
        <v>300.17085261974006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2.6444645429967966</v>
      </c>
      <c r="AA93" s="21">
        <f>EXP(-LN(2)/25)*AA92+(1-EXP(-LN(2)/25))/(LN(2)/25)*Calculateur!V93*Calculateur!X93*VLOOKUP('Données projet'!$B$9,Paramètres!$A$1:$I$89,3,0)*0.475*44/12</f>
        <v>1.6118444795813445</v>
      </c>
      <c r="AB93" s="21">
        <f>EXP(-LN(2)/2)*AB92+(1-EXP(-LN(2)/2))/(LN(2)/2)*V93*Y93*VLOOKUP('Données projet'!$B$9,Paramètres!$A$1:$I$89,3,0)*0.475*44/12</f>
        <v>1.0797515677647528E-8</v>
      </c>
      <c r="AC93" s="22">
        <f t="shared" si="57"/>
        <v>4.2563090333756568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4</v>
      </c>
      <c r="AI93" s="13">
        <f>IF('Données projet'!$A$62&gt;35,AI92+AH93-AQ92,IF(A93&lt;'Données projet'!$A$62,$AF$205^A93,IF(A93='Données projet'!$A$62,'Données projet'!$B$62,AI92+AH93-AQ92)))</f>
        <v>206.00000000000006</v>
      </c>
      <c r="AJ93" s="13">
        <f>AI93*VLOOKUP('Données projet'!$B$10,Paramètres!$A$1:$I$89,3,0)*VLOOKUP('Données projet'!$B$10,Paramètres!$A$1:$I$89,5,0)</f>
        <v>205.67040000000006</v>
      </c>
      <c r="AK93" s="13">
        <f t="shared" si="89"/>
        <v>50.988315086721265</v>
      </c>
      <c r="AL93" s="20">
        <f t="shared" si="58"/>
        <v>447.01392877603956</v>
      </c>
      <c r="AM93" s="59">
        <f t="shared" si="59"/>
        <v>740.34726210937288</v>
      </c>
      <c r="AN93" s="59">
        <f ca="1">AVERAGE(OFFSET($AM$3,0,0,'Données projet'!$E$10+1,1))-AVERAGE(OFFSET($H$3,0,0,'Données projet'!$E$10+1,1))</f>
        <v>260.68055529826694</v>
      </c>
      <c r="AO93" s="59">
        <f t="shared" si="90"/>
        <v>119.74772096645967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368.51412799964498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1.3596945791505279E-13</v>
      </c>
      <c r="P94" s="13">
        <f t="shared" si="87"/>
        <v>1.9708830566360721E-12</v>
      </c>
      <c r="Q94" s="20">
        <f t="shared" si="54"/>
        <v>3.669434796176543E-12</v>
      </c>
      <c r="R94" s="59">
        <f t="shared" si="55"/>
        <v>293.33333333333701</v>
      </c>
      <c r="S94" s="59">
        <f ca="1">AVERAGE(OFFSET($R$3,0,0,'Données projet'!$E$9+1,1))-AVERAGE(OFFSET($H$3,0,0,'Données projet'!$E$9+1,1))</f>
        <v>244.06766379043052</v>
      </c>
      <c r="T94" s="59">
        <f t="shared" si="88"/>
        <v>300.17085261974006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2.5926082062727338</v>
      </c>
      <c r="AA94" s="21">
        <f>EXP(-LN(2)/25)*AA93+(1-EXP(-LN(2)/25))/(LN(2)/25)*Calculateur!V94*Calculateur!X94*VLOOKUP('Données projet'!$B$9,Paramètres!$A$1:$I$89,3,0)*0.475*44/12</f>
        <v>1.5677685075239753</v>
      </c>
      <c r="AB94" s="21">
        <f>EXP(-LN(2)/2)*AB93+(1-EXP(-LN(2)/2))/(LN(2)/2)*V94*Y94*VLOOKUP('Données projet'!$B$9,Paramètres!$A$1:$I$89,3,0)*0.475*44/12</f>
        <v>7.6349965556326268E-9</v>
      </c>
      <c r="AC94" s="22">
        <f t="shared" si="57"/>
        <v>4.1603767214317058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</v>
      </c>
      <c r="AI94" s="13">
        <f>IF('Données projet'!$A$62&gt;35,AI93+AH94-AQ93,IF(A94&lt;'Données projet'!$A$62,$AF$205^A94,IF(A94='Données projet'!$A$62,'Données projet'!$B$62,AI93+AH94-AQ93)))</f>
        <v>210.00000000000006</v>
      </c>
      <c r="AJ94" s="13">
        <f>AI94*VLOOKUP('Données projet'!$B$10,Paramètres!$A$1:$I$89,3,0)*VLOOKUP('Données projet'!$B$10,Paramètres!$A$1:$I$89,5,0)</f>
        <v>209.66400000000007</v>
      </c>
      <c r="AK94" s="13">
        <f t="shared" si="89"/>
        <v>51.862154403304537</v>
      </c>
      <c r="AL94" s="20">
        <f t="shared" si="58"/>
        <v>455.49138558575549</v>
      </c>
      <c r="AM94" s="59">
        <f t="shared" si="59"/>
        <v>748.82471891908881</v>
      </c>
      <c r="AN94" s="59">
        <f ca="1">AVERAGE(OFFSET($AM$3,0,0,'Données projet'!$E$10+1,1))-AVERAGE(OFFSET($H$3,0,0,'Données projet'!$E$10+1,1))</f>
        <v>260.68055529826694</v>
      </c>
      <c r="AO94" s="59">
        <f t="shared" si="90"/>
        <v>119.74772096645967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369.71068859438765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1.3596945791505279E-13</v>
      </c>
      <c r="P95" s="13">
        <f t="shared" si="87"/>
        <v>1.9708830566360721E-12</v>
      </c>
      <c r="Q95" s="20">
        <f t="shared" si="54"/>
        <v>3.669434796176543E-12</v>
      </c>
      <c r="R95" s="59">
        <f t="shared" si="55"/>
        <v>293.33333333333701</v>
      </c>
      <c r="S95" s="59">
        <f ca="1">AVERAGE(OFFSET($R$3,0,0,'Données projet'!$E$9+1,1))-AVERAGE(OFFSET($H$3,0,0,'Données projet'!$E$9+1,1))</f>
        <v>244.06766379043052</v>
      </c>
      <c r="T95" s="59">
        <f t="shared" si="88"/>
        <v>300.17085261974006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2.5417687406825875</v>
      </c>
      <c r="AA95" s="21">
        <f>EXP(-LN(2)/25)*AA94+(1-EXP(-LN(2)/25))/(LN(2)/25)*Calculateur!V95*Calculateur!X95*VLOOKUP('Données projet'!$B$9,Paramètres!$A$1:$I$89,3,0)*0.475*44/12</f>
        <v>1.5248977952403695</v>
      </c>
      <c r="AB95" s="21">
        <f>EXP(-LN(2)/2)*AB94+(1-EXP(-LN(2)/2))/(LN(2)/2)*V95*Y95*VLOOKUP('Données projet'!$B$9,Paramètres!$A$1:$I$89,3,0)*0.475*44/12</f>
        <v>5.398757838823764E-9</v>
      </c>
      <c r="AC95" s="22">
        <f t="shared" si="57"/>
        <v>4.0666665413217151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</v>
      </c>
      <c r="AI95" s="13">
        <f>IF('Données projet'!$A$62&gt;35,AI94+AH95-AQ94,IF(A95&lt;'Données projet'!$A$62,$AF$205^A95,IF(A95='Données projet'!$A$62,'Données projet'!$B$62,AI94+AH95-AQ94)))</f>
        <v>214.00000000000006</v>
      </c>
      <c r="AJ95" s="13">
        <f>AI95*VLOOKUP('Données projet'!$B$10,Paramètres!$A$1:$I$89,3,0)*VLOOKUP('Données projet'!$B$10,Paramètres!$A$1:$I$89,5,0)</f>
        <v>213.65760000000006</v>
      </c>
      <c r="AK95" s="13">
        <f t="shared" si="89"/>
        <v>52.73405831576197</v>
      </c>
      <c r="AL95" s="20">
        <f t="shared" si="58"/>
        <v>463.96547156661882</v>
      </c>
      <c r="AM95" s="59">
        <f t="shared" si="59"/>
        <v>757.29880489995207</v>
      </c>
      <c r="AN95" s="59">
        <f ca="1">AVERAGE(OFFSET($AM$3,0,0,'Données projet'!$E$10+1,1))-AVERAGE(OFFSET($H$3,0,0,'Données projet'!$E$10+1,1))</f>
        <v>260.68055529826694</v>
      </c>
      <c r="AO95" s="59">
        <f t="shared" si="90"/>
        <v>119.74772096645967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370.90693862836775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1.3596945791505279E-13</v>
      </c>
      <c r="P96" s="13">
        <f t="shared" si="87"/>
        <v>1.9708830566360721E-12</v>
      </c>
      <c r="Q96" s="20">
        <f t="shared" si="54"/>
        <v>3.669434796176543E-12</v>
      </c>
      <c r="R96" s="59">
        <f t="shared" si="55"/>
        <v>293.33333333333701</v>
      </c>
      <c r="S96" s="59">
        <f ca="1">AVERAGE(OFFSET($R$3,0,0,'Données projet'!$E$9+1,1))-AVERAGE(OFFSET($H$3,0,0,'Données projet'!$E$9+1,1))</f>
        <v>244.06766379043052</v>
      </c>
      <c r="T96" s="59">
        <f t="shared" si="88"/>
        <v>300.17085261974006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2.4919262060036518</v>
      </c>
      <c r="AA96" s="21">
        <f>EXP(-LN(2)/25)*AA95+(1-EXP(-LN(2)/25))/(LN(2)/25)*Calculateur!V96*Calculateur!X96*VLOOKUP('Données projet'!$B$9,Paramètres!$A$1:$I$89,3,0)*0.475*44/12</f>
        <v>1.4831993848386318</v>
      </c>
      <c r="AB96" s="21">
        <f>EXP(-LN(2)/2)*AB95+(1-EXP(-LN(2)/2))/(LN(2)/2)*V96*Y96*VLOOKUP('Données projet'!$B$9,Paramètres!$A$1:$I$89,3,0)*0.475*44/12</f>
        <v>3.8174982778163134E-9</v>
      </c>
      <c r="AC96" s="22">
        <f t="shared" si="57"/>
        <v>3.9751255946597821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</v>
      </c>
      <c r="AI96" s="13">
        <f>IF('Données projet'!$A$62&gt;35,AI95+AH96-AQ95,IF(A96&lt;'Données projet'!$A$62,$AF$205^A96,IF(A96='Données projet'!$A$62,'Données projet'!$B$62,AI95+AH96-AQ95)))</f>
        <v>218.00000000000006</v>
      </c>
      <c r="AJ96" s="13">
        <f>AI96*VLOOKUP('Données projet'!$B$10,Paramètres!$A$1:$I$89,3,0)*VLOOKUP('Données projet'!$B$10,Paramètres!$A$1:$I$89,5,0)</f>
        <v>217.65120000000007</v>
      </c>
      <c r="AK96" s="13">
        <f t="shared" si="89"/>
        <v>53.604067171568239</v>
      </c>
      <c r="AL96" s="20">
        <f t="shared" si="58"/>
        <v>472.43625699048152</v>
      </c>
      <c r="AM96" s="59">
        <f t="shared" si="59"/>
        <v>765.76959032381478</v>
      </c>
      <c r="AN96" s="59">
        <f ca="1">AVERAGE(OFFSET($AM$3,0,0,'Données projet'!$E$10+1,1))-AVERAGE(OFFSET($H$3,0,0,'Données projet'!$E$10+1,1))</f>
        <v>260.68055529826694</v>
      </c>
      <c r="AO96" s="59">
        <f t="shared" si="90"/>
        <v>119.74772096645967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372.10288182746245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1.3596945791505279E-13</v>
      </c>
      <c r="P97" s="13">
        <f t="shared" si="87"/>
        <v>1.9708830566360721E-12</v>
      </c>
      <c r="Q97" s="20">
        <f t="shared" si="54"/>
        <v>3.669434796176543E-12</v>
      </c>
      <c r="R97" s="59">
        <f t="shared" si="55"/>
        <v>293.33333333333701</v>
      </c>
      <c r="S97" s="59">
        <f ca="1">AVERAGE(OFFSET($R$3,0,0,'Données projet'!$E$9+1,1))-AVERAGE(OFFSET($H$3,0,0,'Données projet'!$E$9+1,1))</f>
        <v>244.06766379043052</v>
      </c>
      <c r="T97" s="59">
        <f t="shared" si="88"/>
        <v>300.17085261974006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2.4430610530288259</v>
      </c>
      <c r="AA97" s="21">
        <f>EXP(-LN(2)/25)*AA96+(1-EXP(-LN(2)/25))/(LN(2)/25)*Calculateur!V97*Calculateur!X97*VLOOKUP('Données projet'!$B$9,Paramètres!$A$1:$I$89,3,0)*0.475*44/12</f>
        <v>1.4426412196621536</v>
      </c>
      <c r="AB97" s="21">
        <f>EXP(-LN(2)/2)*AB96+(1-EXP(-LN(2)/2))/(LN(2)/2)*V97*Y97*VLOOKUP('Données projet'!$B$9,Paramètres!$A$1:$I$89,3,0)*0.475*44/12</f>
        <v>2.699378919411882E-9</v>
      </c>
      <c r="AC97" s="22">
        <f t="shared" si="57"/>
        <v>3.8857022753903583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</v>
      </c>
      <c r="AI97" s="13">
        <f>IF('Données projet'!$A$62&gt;35,AI96+AH97-AQ96,IF(A97&lt;'Données projet'!$A$62,$AF$205^A97,IF(A97='Données projet'!$A$62,'Données projet'!$B$62,AI96+AH97-AQ96)))</f>
        <v>222.00000000000006</v>
      </c>
      <c r="AJ97" s="13">
        <f>AI97*VLOOKUP('Données projet'!$B$10,Paramètres!$A$1:$I$89,3,0)*VLOOKUP('Données projet'!$B$10,Paramètres!$A$1:$I$89,5,0)</f>
        <v>221.64480000000006</v>
      </c>
      <c r="AK97" s="13">
        <f t="shared" si="89"/>
        <v>54.47221975279232</v>
      </c>
      <c r="AL97" s="20">
        <f t="shared" si="58"/>
        <v>480.90380940278004</v>
      </c>
      <c r="AM97" s="59">
        <f t="shared" si="59"/>
        <v>774.23714273611336</v>
      </c>
      <c r="AN97" s="59">
        <f ca="1">AVERAGE(OFFSET($AM$3,0,0,'Données projet'!$E$10+1,1))-AVERAGE(OFFSET($H$3,0,0,'Données projet'!$E$10+1,1))</f>
        <v>260.68055529826694</v>
      </c>
      <c r="AO97" s="59">
        <f t="shared" si="90"/>
        <v>119.74772096645967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373.29852183370838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1.3596945791505279E-13</v>
      </c>
      <c r="P98" s="13">
        <f t="shared" si="87"/>
        <v>1.9708830566360721E-12</v>
      </c>
      <c r="Q98" s="20">
        <f t="shared" si="54"/>
        <v>3.669434796176543E-12</v>
      </c>
      <c r="R98" s="59">
        <f t="shared" si="55"/>
        <v>293.33333333333701</v>
      </c>
      <c r="S98" s="59">
        <f ca="1">AVERAGE(OFFSET($R$3,0,0,'Données projet'!$E$9+1,1))-AVERAGE(OFFSET($H$3,0,0,'Données projet'!$E$9+1,1))</f>
        <v>244.06766379043052</v>
      </c>
      <c r="T98" s="59">
        <f t="shared" si="88"/>
        <v>300.17085261974006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2.3951541158990359</v>
      </c>
      <c r="AA98" s="21">
        <f>EXP(-LN(2)/25)*AA97+(1-EXP(-LN(2)/25))/(LN(2)/25)*Calculateur!V98*Calculateur!X98*VLOOKUP('Données projet'!$B$9,Paramètres!$A$1:$I$89,3,0)*0.475*44/12</f>
        <v>1.4031921196452875</v>
      </c>
      <c r="AB98" s="21">
        <f>EXP(-LN(2)/2)*AB97+(1-EXP(-LN(2)/2))/(LN(2)/2)*V98*Y98*VLOOKUP('Données projet'!$B$9,Paramètres!$A$1:$I$89,3,0)*0.475*44/12</f>
        <v>1.9087491389081567E-9</v>
      </c>
      <c r="AC98" s="22">
        <f t="shared" si="57"/>
        <v>3.7983462374530723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226</v>
      </c>
      <c r="AG98" s="12">
        <f>VLOOKUP(A98,'Données projet'!$A$61:$I$81,9,0)</f>
        <v>4</v>
      </c>
      <c r="AH98" s="12">
        <f t="array" ref="AH98">INDEX(AG:AG,MIN(IF(ISNUMBER(AG98:AG294),ROW(AG98:AG294),"")))</f>
        <v>4</v>
      </c>
      <c r="AI98" s="13">
        <f>IF('Données projet'!$A$62&gt;35,AI97+AH98-AQ97,IF(A98&lt;'Données projet'!$A$62,$AF$205^A98,IF(A98='Données projet'!$A$62,'Données projet'!$B$62,AI97+AH98-AQ97)))</f>
        <v>226.00000000000006</v>
      </c>
      <c r="AJ98" s="13">
        <f>AI98*VLOOKUP('Données projet'!$B$10,Paramètres!$A$1:$I$89,3,0)*VLOOKUP('Données projet'!$B$10,Paramètres!$A$1:$I$89,5,0)</f>
        <v>225.63840000000008</v>
      </c>
      <c r="AK98" s="13">
        <f t="shared" si="89"/>
        <v>55.33855336392395</v>
      </c>
      <c r="AL98" s="20">
        <f t="shared" si="58"/>
        <v>489.36819377550097</v>
      </c>
      <c r="AM98" s="59">
        <f t="shared" si="59"/>
        <v>782.70152710883428</v>
      </c>
      <c r="AN98" s="59">
        <f ca="1">AVERAGE(OFFSET($AM$3,0,0,'Données projet'!$E$10+1,1))-AVERAGE(OFFSET($H$3,0,0,'Données projet'!$E$10+1,1))</f>
        <v>260.68055529826694</v>
      </c>
      <c r="AO98" s="59">
        <f t="shared" si="90"/>
        <v>119.74772096645967</v>
      </c>
      <c r="AP98" s="15">
        <f>IF(ISNA(VLOOKUP(A98,'Données projet'!$A$61:$I$81,3,0)),0,VLOOKUP(A98,'Données projet'!$A$61:$I$81,3,0))</f>
        <v>7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374.49386220805047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1.3596945791505279E-13</v>
      </c>
      <c r="P99" s="13">
        <f t="shared" si="87"/>
        <v>1.9708830566360721E-12</v>
      </c>
      <c r="Q99" s="20">
        <f t="shared" ref="Q99:Q130" si="107">(O99+P99)*0.475*44/12</f>
        <v>3.669434796176543E-12</v>
      </c>
      <c r="R99" s="59">
        <f t="shared" si="55"/>
        <v>293.33333333333701</v>
      </c>
      <c r="S99" s="59">
        <f ca="1">AVERAGE(OFFSET($R$3,0,0,'Données projet'!$E$9+1,1))-AVERAGE(OFFSET($H$3,0,0,'Données projet'!$E$9+1,1))</f>
        <v>244.06766379043052</v>
      </c>
      <c r="T99" s="59">
        <f t="shared" si="88"/>
        <v>300.17085261974006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2.3481866045860147</v>
      </c>
      <c r="AA99" s="21">
        <f>EXP(-LN(2)/25)*AA98+(1-EXP(-LN(2)/25))/(LN(2)/25)*Calculateur!V99*Calculateur!X99*VLOOKUP('Données projet'!$B$9,Paramètres!$A$1:$I$89,3,0)*0.475*44/12</f>
        <v>1.3648217573429204</v>
      </c>
      <c r="AB99" s="21">
        <f>EXP(-LN(2)/2)*AB98+(1-EXP(-LN(2)/2))/(LN(2)/2)*V99*Y99*VLOOKUP('Données projet'!$B$9,Paramètres!$A$1:$I$89,3,0)*0.475*44/12</f>
        <v>1.349689459705941E-9</v>
      </c>
      <c r="AC99" s="22">
        <f t="shared" si="57"/>
        <v>3.7130083632786244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3.4</v>
      </c>
      <c r="AI99" s="13">
        <f>IF('Données projet'!$A$62&gt;35,AI98+AH99-AQ98,IF(A99&lt;'Données projet'!$A$62,$AF$205^A99,IF(A99='Données projet'!$A$62,'Données projet'!$B$62,AI98+AH99-AQ98)))</f>
        <v>201.40000000000006</v>
      </c>
      <c r="AJ99" s="13">
        <f>AI99*VLOOKUP('Données projet'!$B$10,Paramètres!$A$1:$I$89,3,0)*VLOOKUP('Données projet'!$B$10,Paramètres!$A$1:$I$89,5,0)</f>
        <v>201.07776000000007</v>
      </c>
      <c r="AK99" s="13">
        <f t="shared" si="89"/>
        <v>49.980952615717456</v>
      </c>
      <c r="AL99" s="20">
        <f t="shared" si="58"/>
        <v>437.26059113904131</v>
      </c>
      <c r="AM99" s="59">
        <f t="shared" si="59"/>
        <v>730.59392447237462</v>
      </c>
      <c r="AN99" s="59">
        <f ca="1">AVERAGE(OFFSET($AM$3,0,0,'Données projet'!$E$10+1,1))-AVERAGE(OFFSET($H$3,0,0,'Données projet'!$E$10+1,1))</f>
        <v>260.68055529826694</v>
      </c>
      <c r="AO99" s="59">
        <f t="shared" si="90"/>
        <v>119.74772096645967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375.68890643297289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1.3596945791505279E-13</v>
      </c>
      <c r="P100" s="13">
        <f t="shared" si="87"/>
        <v>1.9708830566360721E-12</v>
      </c>
      <c r="Q100" s="20">
        <f t="shared" si="107"/>
        <v>3.669434796176543E-12</v>
      </c>
      <c r="R100" s="59">
        <f t="shared" si="55"/>
        <v>293.33333333333701</v>
      </c>
      <c r="S100" s="59">
        <f ca="1">AVERAGE(OFFSET($R$3,0,0,'Données projet'!$E$9+1,1))-AVERAGE(OFFSET($H$3,0,0,'Données projet'!$E$9+1,1))</f>
        <v>244.06766379043052</v>
      </c>
      <c r="T100" s="59">
        <f t="shared" si="88"/>
        <v>300.17085261974006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2.3021400975224884</v>
      </c>
      <c r="AA100" s="21">
        <f>EXP(-LN(2)/25)*AA99+(1-EXP(-LN(2)/25))/(LN(2)/25)*Calculateur!V100*Calculateur!X100*VLOOKUP('Données projet'!$B$9,Paramètres!$A$1:$I$89,3,0)*0.475*44/12</f>
        <v>1.3275006346155214</v>
      </c>
      <c r="AB100" s="21">
        <f>EXP(-LN(2)/2)*AB99+(1-EXP(-LN(2)/2))/(LN(2)/2)*V100*Y100*VLOOKUP('Données projet'!$B$9,Paramètres!$A$1:$I$89,3,0)*0.475*44/12</f>
        <v>9.5437456945407834E-10</v>
      </c>
      <c r="AC100" s="22">
        <f t="shared" si="57"/>
        <v>3.6296407330923843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3.4</v>
      </c>
      <c r="AI100" s="13">
        <f>IF('Données projet'!$A$62&gt;35,AI99+AH100-AQ99,IF(A100&lt;'Données projet'!$A$62,$AF$205^A100,IF(A100='Données projet'!$A$62,'Données projet'!$B$62,AI99+AH100-AQ99)))</f>
        <v>204.80000000000007</v>
      </c>
      <c r="AJ100" s="13">
        <f>AI100*VLOOKUP('Données projet'!$B$10,Paramètres!$A$1:$I$89,3,0)*VLOOKUP('Données projet'!$B$10,Paramètres!$A$1:$I$89,5,0)</f>
        <v>204.47232000000011</v>
      </c>
      <c r="AK100" s="13">
        <f t="shared" si="89"/>
        <v>50.725779652953165</v>
      </c>
      <c r="AL100" s="20">
        <f t="shared" si="58"/>
        <v>444.47002356222691</v>
      </c>
      <c r="AM100" s="59">
        <f t="shared" si="59"/>
        <v>737.80335689556023</v>
      </c>
      <c r="AN100" s="59">
        <f ca="1">AVERAGE(OFFSET($AM$3,0,0,'Données projet'!$E$10+1,1))-AVERAGE(OFFSET($H$3,0,0,'Données projet'!$E$10+1,1))</f>
        <v>260.68055529826694</v>
      </c>
      <c r="AO100" s="59">
        <f t="shared" si="90"/>
        <v>119.74772096645967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376.88365791501889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1.3596945791505279E-13</v>
      </c>
      <c r="P101" s="13">
        <f t="shared" si="87"/>
        <v>1.9708830566360721E-12</v>
      </c>
      <c r="Q101" s="20">
        <f t="shared" si="107"/>
        <v>3.669434796176543E-12</v>
      </c>
      <c r="R101" s="59">
        <f t="shared" si="55"/>
        <v>293.33333333333701</v>
      </c>
      <c r="S101" s="59">
        <f ca="1">AVERAGE(OFFSET($R$3,0,0,'Données projet'!$E$9+1,1))-AVERAGE(OFFSET($H$3,0,0,'Données projet'!$E$9+1,1))</f>
        <v>244.06766379043052</v>
      </c>
      <c r="T101" s="59">
        <f t="shared" si="88"/>
        <v>300.17085261974006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2.2569965343768819</v>
      </c>
      <c r="AA101" s="21">
        <f>EXP(-LN(2)/25)*AA100+(1-EXP(-LN(2)/25))/(LN(2)/25)*Calculateur!V101*Calculateur!X101*VLOOKUP('Données projet'!$B$9,Paramètres!$A$1:$I$89,3,0)*0.475*44/12</f>
        <v>1.2912000599517357</v>
      </c>
      <c r="AB101" s="21">
        <f>EXP(-LN(2)/2)*AB100+(1-EXP(-LN(2)/2))/(LN(2)/2)*V101*Y101*VLOOKUP('Données projet'!$B$9,Paramètres!$A$1:$I$89,3,0)*0.475*44/12</f>
        <v>6.748447298529705E-10</v>
      </c>
      <c r="AC101" s="22">
        <f t="shared" si="57"/>
        <v>3.548196595003462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3.4</v>
      </c>
      <c r="AI101" s="13">
        <f>IF('Données projet'!$A$62&gt;35,AI100+AH101-AQ100,IF(A101&lt;'Données projet'!$A$62,$AF$205^A101,IF(A101='Données projet'!$A$62,'Données projet'!$B$62,AI100+AH101-AQ100)))</f>
        <v>208.20000000000007</v>
      </c>
      <c r="AJ101" s="13">
        <f>AI101*VLOOKUP('Données projet'!$B$10,Paramètres!$A$1:$I$89,3,0)*VLOOKUP('Données projet'!$B$10,Paramètres!$A$1:$I$89,5,0)</f>
        <v>207.86688000000009</v>
      </c>
      <c r="AK101" s="13">
        <f t="shared" si="89"/>
        <v>51.469168690083912</v>
      </c>
      <c r="AL101" s="20">
        <f t="shared" si="58"/>
        <v>451.67695146856295</v>
      </c>
      <c r="AM101" s="59">
        <f t="shared" si="59"/>
        <v>745.0102848018962</v>
      </c>
      <c r="AN101" s="59">
        <f ca="1">AVERAGE(OFFSET($AM$3,0,0,'Données projet'!$E$10+1,1))-AVERAGE(OFFSET($H$3,0,0,'Données projet'!$E$10+1,1))</f>
        <v>260.68055529826694</v>
      </c>
      <c r="AO101" s="59">
        <f t="shared" si="90"/>
        <v>119.74772096645967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378.07811998720388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1.3596945791505279E-13</v>
      </c>
      <c r="P102" s="13">
        <f t="shared" si="87"/>
        <v>1.9708830566360721E-12</v>
      </c>
      <c r="Q102" s="20">
        <f t="shared" si="107"/>
        <v>3.669434796176543E-12</v>
      </c>
      <c r="R102" s="59">
        <f t="shared" si="55"/>
        <v>293.33333333333701</v>
      </c>
      <c r="S102" s="59">
        <f ca="1">AVERAGE(OFFSET($R$3,0,0,'Données projet'!$E$9+1,1))-AVERAGE(OFFSET($H$3,0,0,'Données projet'!$E$9+1,1))</f>
        <v>244.06766379043052</v>
      </c>
      <c r="T102" s="59">
        <f t="shared" si="88"/>
        <v>300.17085261974006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2.2127382089697059</v>
      </c>
      <c r="AA102" s="21">
        <f>EXP(-LN(2)/25)*AA101+(1-EXP(-LN(2)/25))/(LN(2)/25)*Calculateur!V102*Calculateur!X102*VLOOKUP('Données projet'!$B$9,Paramètres!$A$1:$I$89,3,0)*0.475*44/12</f>
        <v>1.2558921264110954</v>
      </c>
      <c r="AB102" s="21">
        <f>EXP(-LN(2)/2)*AB101+(1-EXP(-LN(2)/2))/(LN(2)/2)*V102*Y102*VLOOKUP('Données projet'!$B$9,Paramètres!$A$1:$I$89,3,0)*0.475*44/12</f>
        <v>4.7718728472703917E-10</v>
      </c>
      <c r="AC102" s="22">
        <f t="shared" si="57"/>
        <v>3.4686303358579886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3.4</v>
      </c>
      <c r="AI102" s="13">
        <f>IF('Données projet'!$A$62&gt;35,AI101+AH102-AQ101,IF(A102&lt;'Données projet'!$A$62,$AF$205^A102,IF(A102='Données projet'!$A$62,'Données projet'!$B$62,AI101+AH102-AQ101)))</f>
        <v>211.60000000000008</v>
      </c>
      <c r="AJ102" s="13">
        <f>AI102*VLOOKUP('Données projet'!$B$10,Paramètres!$A$1:$I$89,3,0)*VLOOKUP('Données projet'!$B$10,Paramètres!$A$1:$I$89,5,0)</f>
        <v>211.26144000000011</v>
      </c>
      <c r="AK102" s="13">
        <f t="shared" si="89"/>
        <v>52.211145921188461</v>
      </c>
      <c r="AL102" s="20">
        <f t="shared" si="58"/>
        <v>458.8814204794034</v>
      </c>
      <c r="AM102" s="59">
        <f t="shared" si="59"/>
        <v>752.21475381273672</v>
      </c>
      <c r="AN102" s="59">
        <f ca="1">AVERAGE(OFFSET($AM$3,0,0,'Données projet'!$E$10+1,1))-AVERAGE(OFFSET($H$3,0,0,'Données projet'!$E$10+1,1))</f>
        <v>260.68055529826694</v>
      </c>
      <c r="AO102" s="59">
        <f t="shared" si="90"/>
        <v>119.74772096645967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379.27229591132925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1.3596945791505279E-13</v>
      </c>
      <c r="P103" s="13">
        <f t="shared" si="87"/>
        <v>1.9708830566360721E-12</v>
      </c>
      <c r="Q103" s="20">
        <f t="shared" si="107"/>
        <v>3.669434796176543E-12</v>
      </c>
      <c r="R103" s="59">
        <f t="shared" si="55"/>
        <v>293.33333333333701</v>
      </c>
      <c r="S103" s="59">
        <f ca="1">AVERAGE(OFFSET($R$3,0,0,'Données projet'!$E$9+1,1))-AVERAGE(OFFSET($H$3,0,0,'Données projet'!$E$9+1,1))</f>
        <v>244.06766379043052</v>
      </c>
      <c r="T103" s="59">
        <f t="shared" si="88"/>
        <v>300.17085261974006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2.1693477623288517</v>
      </c>
      <c r="AA103" s="21">
        <f>EXP(-LN(2)/25)*AA102+(1-EXP(-LN(2)/25))/(LN(2)/25)*Calculateur!V103*Calculateur!X103*VLOOKUP('Données projet'!$B$9,Paramètres!$A$1:$I$89,3,0)*0.475*44/12</f>
        <v>1.2215496901698875</v>
      </c>
      <c r="AB103" s="21">
        <f>EXP(-LN(2)/2)*AB102+(1-EXP(-LN(2)/2))/(LN(2)/2)*V103*Y103*VLOOKUP('Données projet'!$B$9,Paramètres!$A$1:$I$89,3,0)*0.475*44/12</f>
        <v>3.3742236492648525E-10</v>
      </c>
      <c r="AC103" s="22">
        <f t="shared" si="57"/>
        <v>3.3908974528361617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3.4</v>
      </c>
      <c r="AI103" s="13">
        <f>IF('Données projet'!$A$62&gt;35,AI102+AH103-AQ102,IF(A103&lt;'Données projet'!$A$62,$AF$205^A103,IF(A103='Données projet'!$A$62,'Données projet'!$B$62,AI102+AH103-AQ102)))</f>
        <v>215.00000000000009</v>
      </c>
      <c r="AJ103" s="13">
        <f>AI103*VLOOKUP('Données projet'!$B$10,Paramètres!$A$1:$I$89,3,0)*VLOOKUP('Données projet'!$B$10,Paramètres!$A$1:$I$89,5,0)</f>
        <v>214.65600000000009</v>
      </c>
      <c r="AK103" s="13">
        <f t="shared" si="89"/>
        <v>52.951736650296596</v>
      </c>
      <c r="AL103" s="20">
        <f t="shared" si="58"/>
        <v>466.08347466593341</v>
      </c>
      <c r="AM103" s="59">
        <f t="shared" si="59"/>
        <v>759.41680799926667</v>
      </c>
      <c r="AN103" s="59">
        <f ca="1">AVERAGE(OFFSET($AM$3,0,0,'Données projet'!$E$10+1,1))-AVERAGE(OFFSET($H$3,0,0,'Données projet'!$E$10+1,1))</f>
        <v>260.68055529826694</v>
      </c>
      <c r="AO103" s="59">
        <f t="shared" si="90"/>
        <v>119.74772096645967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380.46618888020032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1.3596945791505279E-13</v>
      </c>
      <c r="P104" s="13">
        <f t="shared" si="87"/>
        <v>1.9708830566360721E-12</v>
      </c>
      <c r="Q104" s="20">
        <f t="shared" si="107"/>
        <v>3.669434796176543E-12</v>
      </c>
      <c r="R104" s="59">
        <f t="shared" si="55"/>
        <v>293.33333333333701</v>
      </c>
      <c r="S104" s="59">
        <f ca="1">AVERAGE(OFFSET($R$3,0,0,'Données projet'!$E$9+1,1))-AVERAGE(OFFSET($H$3,0,0,'Données projet'!$E$9+1,1))</f>
        <v>244.06766379043052</v>
      </c>
      <c r="T104" s="59">
        <f t="shared" si="88"/>
        <v>300.17085261974006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2.1268081758810657</v>
      </c>
      <c r="AA104" s="21">
        <f>EXP(-LN(2)/25)*AA103+(1-EXP(-LN(2)/25))/(LN(2)/25)*Calculateur!V104*Calculateur!X104*VLOOKUP('Données projet'!$B$9,Paramètres!$A$1:$I$89,3,0)*0.475*44/12</f>
        <v>1.1881463496536855</v>
      </c>
      <c r="AB104" s="21">
        <f>EXP(-LN(2)/2)*AB103+(1-EXP(-LN(2)/2))/(LN(2)/2)*V104*Y104*VLOOKUP('Données projet'!$B$9,Paramètres!$A$1:$I$89,3,0)*0.475*44/12</f>
        <v>2.3859364236351959E-10</v>
      </c>
      <c r="AC104" s="22">
        <f t="shared" si="57"/>
        <v>3.3149545257733446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3.4</v>
      </c>
      <c r="AI104" s="13">
        <f>IF('Données projet'!$A$62&gt;35,AI103+AH104-AQ103,IF(A104&lt;'Données projet'!$A$62,$AF$205^A104,IF(A104='Données projet'!$A$62,'Données projet'!$B$62,AI103+AH104-AQ103)))</f>
        <v>218.40000000000009</v>
      </c>
      <c r="AJ104" s="13">
        <f>AI104*VLOOKUP('Données projet'!$B$10,Paramètres!$A$1:$I$89,3,0)*VLOOKUP('Données projet'!$B$10,Paramètres!$A$1:$I$89,5,0)</f>
        <v>218.0505600000001</v>
      </c>
      <c r="AK104" s="13">
        <f t="shared" si="89"/>
        <v>53.690965335220078</v>
      </c>
      <c r="AL104" s="20">
        <f t="shared" si="58"/>
        <v>473.28315662550841</v>
      </c>
      <c r="AM104" s="59">
        <f t="shared" si="59"/>
        <v>766.61648995884173</v>
      </c>
      <c r="AN104" s="59">
        <f ca="1">AVERAGE(OFFSET($AM$3,0,0,'Données projet'!$E$10+1,1))-AVERAGE(OFFSET($H$3,0,0,'Données projet'!$E$10+1,1))</f>
        <v>260.68055529826694</v>
      </c>
      <c r="AO104" s="59">
        <f t="shared" si="90"/>
        <v>119.74772096645967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381.6598020197543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1.3596945791505279E-13</v>
      </c>
      <c r="P105" s="13">
        <f t="shared" si="87"/>
        <v>1.9708830566360721E-12</v>
      </c>
      <c r="Q105" s="20">
        <f t="shared" si="107"/>
        <v>3.669434796176543E-12</v>
      </c>
      <c r="R105" s="59">
        <f t="shared" si="55"/>
        <v>293.33333333333701</v>
      </c>
      <c r="S105" s="59">
        <f ca="1">AVERAGE(OFFSET($R$3,0,0,'Données projet'!$E$9+1,1))-AVERAGE(OFFSET($H$3,0,0,'Données projet'!$E$9+1,1))</f>
        <v>244.06766379043052</v>
      </c>
      <c r="T105" s="59">
        <f t="shared" si="88"/>
        <v>300.17085261974006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2.0851027647769351</v>
      </c>
      <c r="AA105" s="21">
        <f>EXP(-LN(2)/25)*AA104+(1-EXP(-LN(2)/25))/(LN(2)/25)*Calculateur!V105*Calculateur!X105*VLOOKUP('Données projet'!$B$9,Paramètres!$A$1:$I$89,3,0)*0.475*44/12</f>
        <v>1.1556564252405044</v>
      </c>
      <c r="AB105" s="21">
        <f>EXP(-LN(2)/2)*AB104+(1-EXP(-LN(2)/2))/(LN(2)/2)*V105*Y105*VLOOKUP('Données projet'!$B$9,Paramètres!$A$1:$I$89,3,0)*0.475*44/12</f>
        <v>1.6871118246324263E-10</v>
      </c>
      <c r="AC105" s="22">
        <f t="shared" si="57"/>
        <v>3.240759190186151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3.4</v>
      </c>
      <c r="AI105" s="13">
        <f>IF('Données projet'!$A$62&gt;35,AI104+AH105-AQ104,IF(A105&lt;'Données projet'!$A$62,$AF$205^A105,IF(A105='Données projet'!$A$62,'Données projet'!$B$62,AI104+AH105-AQ104)))</f>
        <v>221.8000000000001</v>
      </c>
      <c r="AJ105" s="13">
        <f>AI105*VLOOKUP('Données projet'!$B$10,Paramètres!$A$1:$I$89,3,0)*VLOOKUP('Données projet'!$B$10,Paramètres!$A$1:$I$89,5,0)</f>
        <v>221.44512000000009</v>
      </c>
      <c r="AK105" s="13">
        <f t="shared" si="89"/>
        <v>54.428855628576379</v>
      </c>
      <c r="AL105" s="20">
        <f t="shared" si="58"/>
        <v>480.48050755310402</v>
      </c>
      <c r="AM105" s="59">
        <f t="shared" si="59"/>
        <v>773.81384088643733</v>
      </c>
      <c r="AN105" s="59">
        <f ca="1">AVERAGE(OFFSET($AM$3,0,0,'Données projet'!$E$10+1,1))-AVERAGE(OFFSET($H$3,0,0,'Données projet'!$E$10+1,1))</f>
        <v>260.68055529826694</v>
      </c>
      <c r="AO105" s="59">
        <f t="shared" si="90"/>
        <v>119.74772096645967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382.85313839110199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1.3596945791505279E-13</v>
      </c>
      <c r="P106" s="13">
        <f t="shared" si="87"/>
        <v>1.9708830566360721E-12</v>
      </c>
      <c r="Q106" s="20">
        <f t="shared" si="107"/>
        <v>3.669434796176543E-12</v>
      </c>
      <c r="R106" s="59">
        <f t="shared" si="55"/>
        <v>293.33333333333701</v>
      </c>
      <c r="S106" s="59">
        <f ca="1">AVERAGE(OFFSET($R$3,0,0,'Données projet'!$E$9+1,1))-AVERAGE(OFFSET($H$3,0,0,'Données projet'!$E$9+1,1))</f>
        <v>244.06766379043052</v>
      </c>
      <c r="T106" s="59">
        <f t="shared" si="88"/>
        <v>300.17085261974006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2.0442151713467673</v>
      </c>
      <c r="AA106" s="21">
        <f>EXP(-LN(2)/25)*AA105+(1-EXP(-LN(2)/25))/(LN(2)/25)*Calculateur!V106*Calculateur!X106*VLOOKUP('Données projet'!$B$9,Paramètres!$A$1:$I$89,3,0)*0.475*44/12</f>
        <v>1.1240549395189727</v>
      </c>
      <c r="AB106" s="21">
        <f>EXP(-LN(2)/2)*AB105+(1-EXP(-LN(2)/2))/(LN(2)/2)*V106*Y106*VLOOKUP('Données projet'!$B$9,Paramètres!$A$1:$I$89,3,0)*0.475*44/12</f>
        <v>1.1929682118175979E-10</v>
      </c>
      <c r="AC106" s="22">
        <f t="shared" si="57"/>
        <v>3.1682701109850373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3.4</v>
      </c>
      <c r="AI106" s="13">
        <f>IF('Données projet'!$A$62&gt;35,AI105+AH106-AQ105,IF(A106&lt;'Données projet'!$A$62,$AF$205^A106,IF(A106='Données projet'!$A$62,'Données projet'!$B$62,AI105+AH106-AQ105)))</f>
        <v>225.2000000000001</v>
      </c>
      <c r="AJ106" s="13">
        <f>AI106*VLOOKUP('Données projet'!$B$10,Paramètres!$A$1:$I$89,3,0)*VLOOKUP('Données projet'!$B$10,Paramètres!$A$1:$I$89,5,0)</f>
        <v>224.83968000000013</v>
      </c>
      <c r="AK106" s="13">
        <f t="shared" si="89"/>
        <v>55.165430416226137</v>
      </c>
      <c r="AL106" s="20">
        <f t="shared" si="58"/>
        <v>487.67556730826072</v>
      </c>
      <c r="AM106" s="59">
        <f t="shared" si="59"/>
        <v>781.00890064159398</v>
      </c>
      <c r="AN106" s="59">
        <f ca="1">AVERAGE(OFFSET($AM$3,0,0,'Données projet'!$E$10+1,1))-AVERAGE(OFFSET($H$3,0,0,'Données projet'!$E$10+1,1))</f>
        <v>260.68055529826694</v>
      </c>
      <c r="AO106" s="59">
        <f t="shared" si="90"/>
        <v>119.74772096645967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384.04620099248854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1.3596945791505279E-13</v>
      </c>
      <c r="P107" s="13">
        <f t="shared" si="87"/>
        <v>1.9708830566360721E-12</v>
      </c>
      <c r="Q107" s="20">
        <f t="shared" si="107"/>
        <v>3.669434796176543E-12</v>
      </c>
      <c r="R107" s="59">
        <f t="shared" si="55"/>
        <v>293.33333333333701</v>
      </c>
      <c r="S107" s="59">
        <f ca="1">AVERAGE(OFFSET($R$3,0,0,'Données projet'!$E$9+1,1))-AVERAGE(OFFSET($H$3,0,0,'Données projet'!$E$9+1,1))</f>
        <v>244.06766379043052</v>
      </c>
      <c r="T107" s="59">
        <f t="shared" si="88"/>
        <v>300.17085261974006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2.0041293586847959</v>
      </c>
      <c r="AA107" s="21">
        <f>EXP(-LN(2)/25)*AA106+(1-EXP(-LN(2)/25))/(LN(2)/25)*Calculateur!V107*Calculateur!X107*VLOOKUP('Données projet'!$B$9,Paramètres!$A$1:$I$89,3,0)*0.475*44/12</f>
        <v>1.0933175980863463</v>
      </c>
      <c r="AB107" s="21">
        <f>EXP(-LN(2)/2)*AB106+(1-EXP(-LN(2)/2))/(LN(2)/2)*V107*Y107*VLOOKUP('Données projet'!$B$9,Paramètres!$A$1:$I$89,3,0)*0.475*44/12</f>
        <v>8.4355591231621313E-11</v>
      </c>
      <c r="AC107" s="22">
        <f t="shared" si="57"/>
        <v>3.0974469568554976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3.4</v>
      </c>
      <c r="AI107" s="13">
        <f>IF('Données projet'!$A$62&gt;35,AI106+AH107-AQ106,IF(A107&lt;'Données projet'!$A$62,$AF$205^A107,IF(A107='Données projet'!$A$62,'Données projet'!$B$62,AI106+AH107-AQ106)))</f>
        <v>228.60000000000011</v>
      </c>
      <c r="AJ107" s="13">
        <f>AI107*VLOOKUP('Données projet'!$B$10,Paramètres!$A$1:$I$89,3,0)*VLOOKUP('Données projet'!$B$10,Paramètres!$A$1:$I$89,5,0)</f>
        <v>228.23424000000011</v>
      </c>
      <c r="AK107" s="13">
        <f t="shared" si="89"/>
        <v>55.900711853323038</v>
      </c>
      <c r="AL107" s="20">
        <f t="shared" si="58"/>
        <v>494.86837447787121</v>
      </c>
      <c r="AM107" s="59">
        <f t="shared" si="59"/>
        <v>788.20170781120453</v>
      </c>
      <c r="AN107" s="59">
        <f ca="1">AVERAGE(OFFSET($AM$3,0,0,'Données projet'!$E$10+1,1))-AVERAGE(OFFSET($H$3,0,0,'Données projet'!$E$10+1,1))</f>
        <v>260.68055529826694</v>
      </c>
      <c r="AO107" s="59">
        <f t="shared" si="90"/>
        <v>119.74772096645967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385.23899276117606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1.3596945791505279E-13</v>
      </c>
      <c r="P108" s="13">
        <f t="shared" si="87"/>
        <v>1.9708830566360721E-12</v>
      </c>
      <c r="Q108" s="20">
        <f t="shared" si="107"/>
        <v>3.669434796176543E-12</v>
      </c>
      <c r="R108" s="59">
        <f t="shared" si="55"/>
        <v>293.33333333333701</v>
      </c>
      <c r="S108" s="59">
        <f ca="1">AVERAGE(OFFSET($R$3,0,0,'Données projet'!$E$9+1,1))-AVERAGE(OFFSET($H$3,0,0,'Données projet'!$E$9+1,1))</f>
        <v>244.06766379043052</v>
      </c>
      <c r="T108" s="59">
        <f t="shared" si="88"/>
        <v>300.17085261974006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1.964829604359194</v>
      </c>
      <c r="AA108" s="21">
        <f>EXP(-LN(2)/25)*AA107+(1-EXP(-LN(2)/25))/(LN(2)/25)*Calculateur!V108*Calculateur!X108*VLOOKUP('Données projet'!$B$9,Paramètres!$A$1:$I$89,3,0)*0.475*44/12</f>
        <v>1.0634207708716015</v>
      </c>
      <c r="AB108" s="21">
        <f>EXP(-LN(2)/2)*AB107+(1-EXP(-LN(2)/2))/(LN(2)/2)*V108*Y108*VLOOKUP('Données projet'!$B$9,Paramètres!$A$1:$I$89,3,0)*0.475*44/12</f>
        <v>5.9648410590879897E-11</v>
      </c>
      <c r="AC108" s="22">
        <f t="shared" si="57"/>
        <v>3.0282503752904439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232</v>
      </c>
      <c r="AG108" s="12">
        <f>VLOOKUP(A108,'Données projet'!$A$61:$I$81,9,0)</f>
        <v>3.4</v>
      </c>
      <c r="AH108" s="12">
        <f t="array" ref="AH108">INDEX(AG:AG,MIN(IF(ISNUMBER(AG108:AG304),ROW(AG108:AG304),"")))</f>
        <v>3.4</v>
      </c>
      <c r="AI108" s="13">
        <f>IF('Données projet'!$A$62&gt;35,AI107+AH108-AQ107,IF(A108&lt;'Données projet'!$A$62,$AF$205^A108,IF(A108='Données projet'!$A$62,'Données projet'!$B$62,AI107+AH108-AQ107)))</f>
        <v>232.00000000000011</v>
      </c>
      <c r="AJ108" s="13">
        <f>AI108*VLOOKUP('Données projet'!$B$10,Paramètres!$A$1:$I$89,3,0)*VLOOKUP('Données projet'!$B$10,Paramètres!$A$1:$I$89,5,0)</f>
        <v>231.62880000000013</v>
      </c>
      <c r="AK108" s="13">
        <f t="shared" si="89"/>
        <v>56.63472139815827</v>
      </c>
      <c r="AL108" s="20">
        <f t="shared" si="58"/>
        <v>502.0589664351258</v>
      </c>
      <c r="AM108" s="59">
        <f t="shared" si="59"/>
        <v>795.39229976845911</v>
      </c>
      <c r="AN108" s="59">
        <f ca="1">AVERAGE(OFFSET($AM$3,0,0,'Données projet'!$E$10+1,1))-AVERAGE(OFFSET($H$3,0,0,'Données projet'!$E$10+1,1))</f>
        <v>260.68055529826694</v>
      </c>
      <c r="AO108" s="59">
        <f t="shared" si="90"/>
        <v>119.74772096645967</v>
      </c>
      <c r="AP108" s="15">
        <f>IF(ISNA(VLOOKUP(A108,'Données projet'!$A$61:$I$81,3,0)),0,VLOOKUP(A108,'Données projet'!$A$61:$I$81,3,0))</f>
        <v>8</v>
      </c>
      <c r="AQ108" s="15">
        <f>IF(ISNA(VLOOKUP(A108,'Données projet'!$A$61:$I$81,4,0)),0,VLOOKUP(A108,'Données projet'!$A$61:$I$81,4,0))</f>
        <v>28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386.43151657525294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1.3596945791505279E-13</v>
      </c>
      <c r="P109" s="13">
        <f t="shared" si="87"/>
        <v>1.9708830566360721E-12</v>
      </c>
      <c r="Q109" s="20">
        <f t="shared" si="107"/>
        <v>3.669434796176543E-12</v>
      </c>
      <c r="R109" s="59">
        <f t="shared" si="55"/>
        <v>293.33333333333701</v>
      </c>
      <c r="S109" s="59">
        <f ca="1">AVERAGE(OFFSET($R$3,0,0,'Données projet'!$E$9+1,1))-AVERAGE(OFFSET($H$3,0,0,'Données projet'!$E$9+1,1))</f>
        <v>244.06766379043052</v>
      </c>
      <c r="T109" s="59">
        <f t="shared" si="88"/>
        <v>300.17085261974006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1.9263004942454338</v>
      </c>
      <c r="AA109" s="21">
        <f>EXP(-LN(2)/25)*AA108+(1-EXP(-LN(2)/25))/(LN(2)/25)*Calculateur!V109*Calculateur!X109*VLOOKUP('Données projet'!$B$9,Paramètres!$A$1:$I$89,3,0)*0.475*44/12</f>
        <v>1.0343414739692496</v>
      </c>
      <c r="AB109" s="21">
        <f>EXP(-LN(2)/2)*AB108+(1-EXP(-LN(2)/2))/(LN(2)/2)*V109*Y109*VLOOKUP('Données projet'!$B$9,Paramètres!$A$1:$I$89,3,0)*0.475*44/12</f>
        <v>4.2177795615810656E-11</v>
      </c>
      <c r="AC109" s="22">
        <f t="shared" si="57"/>
        <v>2.9606419682568612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2.9</v>
      </c>
      <c r="AI109" s="13">
        <f>IF('Données projet'!$A$62&gt;35,AI108+AH109-AQ108,IF(A109&lt;'Données projet'!$A$62,$AF$205^A109,IF(A109='Données projet'!$A$62,'Données projet'!$B$62,AI108+AH109-AQ108)))</f>
        <v>206.90000000000012</v>
      </c>
      <c r="AJ109" s="13">
        <f>AI109*VLOOKUP('Données projet'!$B$10,Paramètres!$A$1:$I$89,3,0)*VLOOKUP('Données projet'!$B$10,Paramètres!$A$1:$I$89,5,0)</f>
        <v>206.56896000000015</v>
      </c>
      <c r="AK109" s="13">
        <f t="shared" si="89"/>
        <v>51.185099815906021</v>
      </c>
      <c r="AL109" s="20">
        <f t="shared" si="58"/>
        <v>448.92165417936985</v>
      </c>
      <c r="AM109" s="59">
        <f t="shared" si="59"/>
        <v>742.25498751270311</v>
      </c>
      <c r="AN109" s="59">
        <f ca="1">AVERAGE(OFFSET($AM$3,0,0,'Données projet'!$E$10+1,1))-AVERAGE(OFFSET($H$3,0,0,'Données projet'!$E$10+1,1))</f>
        <v>260.68055529826694</v>
      </c>
      <c r="AO109" s="59">
        <f t="shared" si="90"/>
        <v>119.74772096645967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387.62377525537238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1.3596945791505279E-13</v>
      </c>
      <c r="P110" s="13">
        <f t="shared" si="87"/>
        <v>1.9708830566360721E-12</v>
      </c>
      <c r="Q110" s="20">
        <f t="shared" si="107"/>
        <v>3.669434796176543E-12</v>
      </c>
      <c r="R110" s="59">
        <f t="shared" si="55"/>
        <v>293.33333333333701</v>
      </c>
      <c r="S110" s="59">
        <f ca="1">AVERAGE(OFFSET($R$3,0,0,'Données projet'!$E$9+1,1))-AVERAGE(OFFSET($H$3,0,0,'Données projet'!$E$9+1,1))</f>
        <v>244.06766379043052</v>
      </c>
      <c r="T110" s="59">
        <f t="shared" si="88"/>
        <v>300.17085261974006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1.8885269164805678</v>
      </c>
      <c r="AA110" s="21">
        <f>EXP(-LN(2)/25)*AA109+(1-EXP(-LN(2)/25))/(LN(2)/25)*Calculateur!V110*Calculateur!X110*VLOOKUP('Données projet'!$B$9,Paramètres!$A$1:$I$89,3,0)*0.475*44/12</f>
        <v>1.0060573519699063</v>
      </c>
      <c r="AB110" s="21">
        <f>EXP(-LN(2)/2)*AB109+(1-EXP(-LN(2)/2))/(LN(2)/2)*V110*Y110*VLOOKUP('Données projet'!$B$9,Paramètres!$A$1:$I$89,3,0)*0.475*44/12</f>
        <v>2.9824205295439948E-11</v>
      </c>
      <c r="AC110" s="22">
        <f t="shared" si="57"/>
        <v>2.8945842684802985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2.9</v>
      </c>
      <c r="AI110" s="13">
        <f>IF('Données projet'!$A$62&gt;35,AI109+AH110-AQ109,IF(A110&lt;'Données projet'!$A$62,$AF$205^A110,IF(A110='Données projet'!$A$62,'Données projet'!$B$62,AI109+AH110-AQ109)))</f>
        <v>209.80000000000013</v>
      </c>
      <c r="AJ110" s="13">
        <f>AI110*VLOOKUP('Données projet'!$B$10,Paramètres!$A$1:$I$89,3,0)*VLOOKUP('Données projet'!$B$10,Paramètres!$A$1:$I$89,5,0)</f>
        <v>209.46432000000013</v>
      </c>
      <c r="AK110" s="13">
        <f t="shared" si="89"/>
        <v>51.818508745620861</v>
      </c>
      <c r="AL110" s="20">
        <f t="shared" si="58"/>
        <v>455.06759339862316</v>
      </c>
      <c r="AM110" s="59">
        <f t="shared" si="59"/>
        <v>748.40092673195647</v>
      </c>
      <c r="AN110" s="59">
        <f ca="1">AVERAGE(OFFSET($AM$3,0,0,'Données projet'!$E$10+1,1))-AVERAGE(OFFSET($H$3,0,0,'Données projet'!$E$10+1,1))</f>
        <v>260.68055529826694</v>
      </c>
      <c r="AO110" s="59">
        <f t="shared" si="90"/>
        <v>119.74772096645967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388.81577156642459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1.3596945791505279E-13</v>
      </c>
      <c r="P111" s="13">
        <f t="shared" si="87"/>
        <v>1.9708830566360721E-12</v>
      </c>
      <c r="Q111" s="20">
        <f t="shared" si="107"/>
        <v>3.669434796176543E-12</v>
      </c>
      <c r="R111" s="59">
        <f t="shared" si="55"/>
        <v>293.33333333333701</v>
      </c>
      <c r="S111" s="59">
        <f ca="1">AVERAGE(OFFSET($R$3,0,0,'Données projet'!$E$9+1,1))-AVERAGE(OFFSET($H$3,0,0,'Données projet'!$E$9+1,1))</f>
        <v>244.06766379043052</v>
      </c>
      <c r="T111" s="59">
        <f t="shared" si="88"/>
        <v>300.17085261974006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1.8514940555360635</v>
      </c>
      <c r="AA111" s="21">
        <f>EXP(-LN(2)/25)*AA110+(1-EXP(-LN(2)/25))/(LN(2)/25)*Calculateur!V111*Calculateur!X111*VLOOKUP('Données projet'!$B$9,Paramètres!$A$1:$I$89,3,0)*0.475*44/12</f>
        <v>0.97854666077403241</v>
      </c>
      <c r="AB111" s="21">
        <f>EXP(-LN(2)/2)*AB110+(1-EXP(-LN(2)/2))/(LN(2)/2)*V111*Y111*VLOOKUP('Données projet'!$B$9,Paramètres!$A$1:$I$89,3,0)*0.475*44/12</f>
        <v>2.1088897807905328E-11</v>
      </c>
      <c r="AC111" s="22">
        <f t="shared" si="57"/>
        <v>2.8300407163311849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2.9</v>
      </c>
      <c r="AI111" s="13">
        <f>IF('Données projet'!$A$62&gt;35,AI110+AH111-AQ110,IF(A111&lt;'Données projet'!$A$62,$AF$205^A111,IF(A111='Données projet'!$A$62,'Données projet'!$B$62,AI110+AH111-AQ110)))</f>
        <v>212.70000000000013</v>
      </c>
      <c r="AJ111" s="13">
        <f>AI111*VLOOKUP('Données projet'!$B$10,Paramètres!$A$1:$I$89,3,0)*VLOOKUP('Données projet'!$B$10,Paramètres!$A$1:$I$89,5,0)</f>
        <v>212.35968000000017</v>
      </c>
      <c r="AK111" s="13">
        <f t="shared" si="89"/>
        <v>52.450899330265351</v>
      </c>
      <c r="AL111" s="20">
        <f t="shared" si="58"/>
        <v>461.2117590002124</v>
      </c>
      <c r="AM111" s="59">
        <f t="shared" si="59"/>
        <v>754.54509233354565</v>
      </c>
      <c r="AN111" s="59">
        <f ca="1">AVERAGE(OFFSET($AM$3,0,0,'Données projet'!$E$10+1,1))-AVERAGE(OFFSET($H$3,0,0,'Données projet'!$E$10+1,1))</f>
        <v>260.68055529826694</v>
      </c>
      <c r="AO111" s="59">
        <f t="shared" si="90"/>
        <v>119.74772096645967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390.00750821914528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1.3596945791505279E-13</v>
      </c>
      <c r="P112" s="13">
        <f t="shared" si="87"/>
        <v>1.9708830566360721E-12</v>
      </c>
      <c r="Q112" s="20">
        <f t="shared" si="107"/>
        <v>3.669434796176543E-12</v>
      </c>
      <c r="R112" s="59">
        <f t="shared" si="55"/>
        <v>293.33333333333701</v>
      </c>
      <c r="S112" s="59">
        <f ca="1">AVERAGE(OFFSET($R$3,0,0,'Données projet'!$E$9+1,1))-AVERAGE(OFFSET($H$3,0,0,'Données projet'!$E$9+1,1))</f>
        <v>244.06766379043052</v>
      </c>
      <c r="T112" s="59">
        <f t="shared" si="88"/>
        <v>300.17085261974006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1.8151873864068662</v>
      </c>
      <c r="AA112" s="21">
        <f>EXP(-LN(2)/25)*AA111+(1-EXP(-LN(2)/25))/(LN(2)/25)*Calculateur!V112*Calculateur!X112*VLOOKUP('Données projet'!$B$9,Paramètres!$A$1:$I$89,3,0)*0.475*44/12</f>
        <v>0.95178825087563412</v>
      </c>
      <c r="AB112" s="21">
        <f>EXP(-LN(2)/2)*AB111+(1-EXP(-LN(2)/2))/(LN(2)/2)*V112*Y112*VLOOKUP('Données projet'!$B$9,Paramètres!$A$1:$I$89,3,0)*0.475*44/12</f>
        <v>1.4912102647719974E-11</v>
      </c>
      <c r="AC112" s="22">
        <f t="shared" si="57"/>
        <v>2.7669756372974121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2.9</v>
      </c>
      <c r="AI112" s="13">
        <f>IF('Données projet'!$A$62&gt;35,AI111+AH112-AQ111,IF(A112&lt;'Données projet'!$A$62,$AF$205^A112,IF(A112='Données projet'!$A$62,'Données projet'!$B$62,AI111+AH112-AQ111)))</f>
        <v>215.60000000000014</v>
      </c>
      <c r="AJ112" s="13">
        <f>AI112*VLOOKUP('Données projet'!$B$10,Paramètres!$A$1:$I$89,3,0)*VLOOKUP('Données projet'!$B$10,Paramètres!$A$1:$I$89,5,0)</f>
        <v>215.25504000000015</v>
      </c>
      <c r="AK112" s="13">
        <f t="shared" si="89"/>
        <v>53.082287058997267</v>
      </c>
      <c r="AL112" s="20">
        <f t="shared" si="58"/>
        <v>467.35417796108709</v>
      </c>
      <c r="AM112" s="59">
        <f t="shared" si="59"/>
        <v>760.68751129442035</v>
      </c>
      <c r="AN112" s="59">
        <f ca="1">AVERAGE(OFFSET($AM$3,0,0,'Données projet'!$E$10+1,1))-AVERAGE(OFFSET($H$3,0,0,'Données projet'!$E$10+1,1))</f>
        <v>260.68055529826694</v>
      </c>
      <c r="AO112" s="59">
        <f t="shared" si="90"/>
        <v>119.74772096645967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391.19898787166267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1.3596945791505279E-13</v>
      </c>
      <c r="P113" s="13">
        <f t="shared" si="87"/>
        <v>1.9708830566360721E-12</v>
      </c>
      <c r="Q113" s="20">
        <f t="shared" si="107"/>
        <v>3.669434796176543E-12</v>
      </c>
      <c r="R113" s="59">
        <f t="shared" si="55"/>
        <v>293.33333333333701</v>
      </c>
      <c r="S113" s="59">
        <f ca="1">AVERAGE(OFFSET($R$3,0,0,'Données projet'!$E$9+1,1))-AVERAGE(OFFSET($H$3,0,0,'Données projet'!$E$9+1,1))</f>
        <v>244.06766379043052</v>
      </c>
      <c r="T113" s="59">
        <f t="shared" si="88"/>
        <v>300.17085261974006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1.7795926689144108</v>
      </c>
      <c r="AA113" s="21">
        <f>EXP(-LN(2)/25)*AA112+(1-EXP(-LN(2)/25))/(LN(2)/25)*Calculateur!V113*Calculateur!X113*VLOOKUP('Données projet'!$B$9,Paramètres!$A$1:$I$89,3,0)*0.475*44/12</f>
        <v>0.92576155110307112</v>
      </c>
      <c r="AB113" s="21">
        <f>EXP(-LN(2)/2)*AB112+(1-EXP(-LN(2)/2))/(LN(2)/2)*V113*Y113*VLOOKUP('Données projet'!$B$9,Paramètres!$A$1:$I$89,3,0)*0.475*44/12</f>
        <v>1.0544448903952664E-11</v>
      </c>
      <c r="AC113" s="22">
        <f t="shared" si="57"/>
        <v>2.7053542200280263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2.9</v>
      </c>
      <c r="AI113" s="13">
        <f>IF('Données projet'!$A$62&gt;35,AI112+AH113-AQ112,IF(A113&lt;'Données projet'!$A$62,$AF$205^A113,IF(A113='Données projet'!$A$62,'Données projet'!$B$62,AI112+AH113-AQ112)))</f>
        <v>218.50000000000014</v>
      </c>
      <c r="AJ113" s="13">
        <f>AI113*VLOOKUP('Données projet'!$B$10,Paramètres!$A$1:$I$89,3,0)*VLOOKUP('Données projet'!$B$10,Paramètres!$A$1:$I$89,5,0)</f>
        <v>218.15040000000013</v>
      </c>
      <c r="AK113" s="13">
        <f t="shared" si="89"/>
        <v>53.712686980344657</v>
      </c>
      <c r="AL113" s="20">
        <f t="shared" si="58"/>
        <v>473.49487649076718</v>
      </c>
      <c r="AM113" s="59">
        <f t="shared" si="59"/>
        <v>766.82820982410044</v>
      </c>
      <c r="AN113" s="59">
        <f ca="1">AVERAGE(OFFSET($AM$3,0,0,'Données projet'!$E$10+1,1))-AVERAGE(OFFSET($H$3,0,0,'Données projet'!$E$10+1,1))</f>
        <v>260.68055529826694</v>
      </c>
      <c r="AO113" s="59">
        <f t="shared" si="90"/>
        <v>119.74772096645967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392.39021313098795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1.3596945791505279E-13</v>
      </c>
      <c r="P114" s="13">
        <f t="shared" si="87"/>
        <v>1.9708830566360721E-12</v>
      </c>
      <c r="Q114" s="20">
        <f t="shared" si="107"/>
        <v>3.669434796176543E-12</v>
      </c>
      <c r="R114" s="59">
        <f t="shared" si="55"/>
        <v>293.33333333333701</v>
      </c>
      <c r="S114" s="59">
        <f ca="1">AVERAGE(OFFSET($R$3,0,0,'Données projet'!$E$9+1,1))-AVERAGE(OFFSET($H$3,0,0,'Données projet'!$E$9+1,1))</f>
        <v>244.06766379043052</v>
      </c>
      <c r="T114" s="59">
        <f t="shared" si="88"/>
        <v>300.17085261974006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1.7446959421213486</v>
      </c>
      <c r="AA114" s="21">
        <f>EXP(-LN(2)/25)*AA113+(1-EXP(-LN(2)/25))/(LN(2)/25)*Calculateur!V114*Calculateur!X114*VLOOKUP('Données projet'!$B$9,Paramètres!$A$1:$I$89,3,0)*0.475*44/12</f>
        <v>0.9004465528044735</v>
      </c>
      <c r="AB114" s="21">
        <f>EXP(-LN(2)/2)*AB113+(1-EXP(-LN(2)/2))/(LN(2)/2)*V114*Y114*VLOOKUP('Données projet'!$B$9,Paramètres!$A$1:$I$89,3,0)*0.475*44/12</f>
        <v>7.4560513238599871E-12</v>
      </c>
      <c r="AC114" s="22">
        <f t="shared" si="57"/>
        <v>2.6451424949332782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2.9</v>
      </c>
      <c r="AI114" s="13">
        <f>IF('Données projet'!$A$62&gt;35,AI113+AH114-AQ113,IF(A114&lt;'Données projet'!$A$62,$AF$205^A114,IF(A114='Données projet'!$A$62,'Données projet'!$B$62,AI113+AH114-AQ113)))</f>
        <v>221.40000000000015</v>
      </c>
      <c r="AJ114" s="13">
        <f>AI114*VLOOKUP('Données projet'!$B$10,Paramètres!$A$1:$I$89,3,0)*VLOOKUP('Données projet'!$B$10,Paramètres!$A$1:$I$89,5,0)</f>
        <v>221.04576000000017</v>
      </c>
      <c r="AK114" s="13">
        <f t="shared" si="89"/>
        <v>54.342113720419057</v>
      </c>
      <c r="AL114" s="20">
        <f t="shared" si="58"/>
        <v>479.63388006306349</v>
      </c>
      <c r="AM114" s="59">
        <f t="shared" si="59"/>
        <v>772.9672133963968</v>
      </c>
      <c r="AN114" s="59">
        <f ca="1">AVERAGE(OFFSET($AM$3,0,0,'Données projet'!$E$10+1,1))-AVERAGE(OFFSET($H$3,0,0,'Données projet'!$E$10+1,1))</f>
        <v>260.68055529826694</v>
      </c>
      <c r="AO114" s="59">
        <f t="shared" si="90"/>
        <v>119.74772096645967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393.581186554449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1.3596945791505279E-13</v>
      </c>
      <c r="P115" s="13">
        <f t="shared" si="87"/>
        <v>1.9708830566360721E-12</v>
      </c>
      <c r="Q115" s="20">
        <f t="shared" si="107"/>
        <v>3.669434796176543E-12</v>
      </c>
      <c r="R115" s="59">
        <f t="shared" si="55"/>
        <v>293.33333333333701</v>
      </c>
      <c r="S115" s="59">
        <f ca="1">AVERAGE(OFFSET($R$3,0,0,'Données projet'!$E$9+1,1))-AVERAGE(OFFSET($H$3,0,0,'Données projet'!$E$9+1,1))</f>
        <v>244.06766379043052</v>
      </c>
      <c r="T115" s="59">
        <f t="shared" si="88"/>
        <v>300.17085261974006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1.7104835188557965</v>
      </c>
      <c r="AA115" s="21">
        <f>EXP(-LN(2)/25)*AA114+(1-EXP(-LN(2)/25))/(LN(2)/25)*Calculateur!V115*Calculateur!X115*VLOOKUP('Données projet'!$B$9,Paramètres!$A$1:$I$89,3,0)*0.475*44/12</f>
        <v>0.87582379446560898</v>
      </c>
      <c r="AB115" s="21">
        <f>EXP(-LN(2)/2)*AB114+(1-EXP(-LN(2)/2))/(LN(2)/2)*V115*Y115*VLOOKUP('Données projet'!$B$9,Paramètres!$A$1:$I$89,3,0)*0.475*44/12</f>
        <v>5.2722244519763321E-12</v>
      </c>
      <c r="AC115" s="22">
        <f t="shared" si="57"/>
        <v>2.5863073133266776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2.9</v>
      </c>
      <c r="AI115" s="13">
        <f>IF('Données projet'!$A$62&gt;35,AI114+AH115-AQ114,IF(A115&lt;'Données projet'!$A$62,$AF$205^A115,IF(A115='Données projet'!$A$62,'Données projet'!$B$62,AI114+AH115-AQ114)))</f>
        <v>224.30000000000015</v>
      </c>
      <c r="AJ115" s="13">
        <f>AI115*VLOOKUP('Données projet'!$B$10,Paramètres!$A$1:$I$89,3,0)*VLOOKUP('Données projet'!$B$10,Paramètres!$A$1:$I$89,5,0)</f>
        <v>223.94112000000018</v>
      </c>
      <c r="AK115" s="13">
        <f t="shared" si="89"/>
        <v>54.970581500147375</v>
      </c>
      <c r="AL115" s="20">
        <f t="shared" si="58"/>
        <v>485.77121344609031</v>
      </c>
      <c r="AM115" s="59">
        <f t="shared" si="59"/>
        <v>779.10454677942357</v>
      </c>
      <c r="AN115" s="59">
        <f ca="1">AVERAGE(OFFSET($AM$3,0,0,'Données projet'!$E$10+1,1))-AVERAGE(OFFSET($H$3,0,0,'Données projet'!$E$10+1,1))</f>
        <v>260.68055529826694</v>
      </c>
      <c r="AO115" s="59">
        <f t="shared" si="90"/>
        <v>119.74772096645967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394.77191065107274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1.3596945791505279E-13</v>
      </c>
      <c r="P116" s="13">
        <f t="shared" si="87"/>
        <v>1.9708830566360721E-12</v>
      </c>
      <c r="Q116" s="20">
        <f t="shared" si="107"/>
        <v>3.669434796176543E-12</v>
      </c>
      <c r="R116" s="59">
        <f t="shared" si="55"/>
        <v>293.33333333333701</v>
      </c>
      <c r="S116" s="59">
        <f ca="1">AVERAGE(OFFSET($R$3,0,0,'Données projet'!$E$9+1,1))-AVERAGE(OFFSET($H$3,0,0,'Données projet'!$E$9+1,1))</f>
        <v>244.06766379043052</v>
      </c>
      <c r="T116" s="59">
        <f t="shared" si="88"/>
        <v>300.17085261974006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1.6769419803429644</v>
      </c>
      <c r="AA116" s="21">
        <f>EXP(-LN(2)/25)*AA115+(1-EXP(-LN(2)/25))/(LN(2)/25)*Calculateur!V116*Calculateur!X116*VLOOKUP('Données projet'!$B$9,Paramètres!$A$1:$I$89,3,0)*0.475*44/12</f>
        <v>0.85187434674837526</v>
      </c>
      <c r="AB116" s="21">
        <f>EXP(-LN(2)/2)*AB115+(1-EXP(-LN(2)/2))/(LN(2)/2)*V116*Y116*VLOOKUP('Données projet'!$B$9,Paramètres!$A$1:$I$89,3,0)*0.475*44/12</f>
        <v>3.7280256619299935E-12</v>
      </c>
      <c r="AC116" s="22">
        <f t="shared" si="57"/>
        <v>2.5288163270950679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2.9</v>
      </c>
      <c r="AI116" s="13">
        <f>IF('Données projet'!$A$62&gt;35,AI115+AH116-AQ115,IF(A116&lt;'Données projet'!$A$62,$AF$205^A116,IF(A116='Données projet'!$A$62,'Données projet'!$B$62,AI115+AH116-AQ115)))</f>
        <v>227.20000000000016</v>
      </c>
      <c r="AJ116" s="13">
        <f>AI116*VLOOKUP('Données projet'!$B$10,Paramètres!$A$1:$I$89,3,0)*VLOOKUP('Données projet'!$B$10,Paramètres!$A$1:$I$89,5,0)</f>
        <v>226.83648000000017</v>
      </c>
      <c r="AK116" s="13">
        <f t="shared" si="89"/>
        <v>55.598104151587052</v>
      </c>
      <c r="AL116" s="20">
        <f t="shared" si="58"/>
        <v>491.906900730681</v>
      </c>
      <c r="AM116" s="59">
        <f t="shared" si="59"/>
        <v>785.24023406401432</v>
      </c>
      <c r="AN116" s="59">
        <f ca="1">AVERAGE(OFFSET($AM$3,0,0,'Données projet'!$E$10+1,1))-AVERAGE(OFFSET($H$3,0,0,'Données projet'!$E$10+1,1))</f>
        <v>260.68055529826694</v>
      </c>
      <c r="AO116" s="59">
        <f t="shared" si="90"/>
        <v>119.74772096645967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395.96238788291635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1.3596945791505279E-13</v>
      </c>
      <c r="P117" s="13">
        <f t="shared" si="87"/>
        <v>1.9708830566360721E-12</v>
      </c>
      <c r="Q117" s="20">
        <f t="shared" si="107"/>
        <v>3.669434796176543E-12</v>
      </c>
      <c r="R117" s="59">
        <f t="shared" si="55"/>
        <v>293.33333333333701</v>
      </c>
      <c r="S117" s="59">
        <f ca="1">AVERAGE(OFFSET($R$3,0,0,'Données projet'!$E$9+1,1))-AVERAGE(OFFSET($H$3,0,0,'Données projet'!$E$9+1,1))</f>
        <v>244.06766379043052</v>
      </c>
      <c r="T117" s="59">
        <f t="shared" si="88"/>
        <v>300.17085261974006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1.6440581709420505</v>
      </c>
      <c r="AA117" s="21">
        <f>EXP(-LN(2)/25)*AA116+(1-EXP(-LN(2)/25))/(LN(2)/25)*Calculateur!V117*Calculateur!X117*VLOOKUP('Données projet'!$B$9,Paramètres!$A$1:$I$89,3,0)*0.475*44/12</f>
        <v>0.82857979793841607</v>
      </c>
      <c r="AB117" s="21">
        <f>EXP(-LN(2)/2)*AB116+(1-EXP(-LN(2)/2))/(LN(2)/2)*V117*Y117*VLOOKUP('Données projet'!$B$9,Paramètres!$A$1:$I$89,3,0)*0.475*44/12</f>
        <v>2.636112225988166E-12</v>
      </c>
      <c r="AC117" s="22">
        <f t="shared" si="57"/>
        <v>2.4726379688831028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2.9</v>
      </c>
      <c r="AI117" s="13">
        <f>IF('Données projet'!$A$62&gt;35,AI116+AH117-AQ116,IF(A117&lt;'Données projet'!$A$62,$AF$205^A117,IF(A117='Données projet'!$A$62,'Données projet'!$B$62,AI116+AH117-AQ116)))</f>
        <v>230.10000000000016</v>
      </c>
      <c r="AJ117" s="13">
        <f>AI117*VLOOKUP('Données projet'!$B$10,Paramètres!$A$1:$I$89,3,0)*VLOOKUP('Données projet'!$B$10,Paramètres!$A$1:$I$89,5,0)</f>
        <v>229.73184000000015</v>
      </c>
      <c r="AK117" s="13">
        <f t="shared" si="89"/>
        <v>56.22469513338509</v>
      </c>
      <c r="AL117" s="20">
        <f t="shared" si="58"/>
        <v>498.04096535731259</v>
      </c>
      <c r="AM117" s="59">
        <f t="shared" si="59"/>
        <v>791.3742986906459</v>
      </c>
      <c r="AN117" s="59">
        <f ca="1">AVERAGE(OFFSET($AM$3,0,0,'Données projet'!$E$10+1,1))-AVERAGE(OFFSET($H$3,0,0,'Données projet'!$E$10+1,1))</f>
        <v>260.68055529826694</v>
      </c>
      <c r="AO117" s="59">
        <f t="shared" si="90"/>
        <v>119.74772096645967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397.15262066635069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1.3596945791505279E-13</v>
      </c>
      <c r="P118" s="13">
        <f t="shared" si="87"/>
        <v>1.9708830566360721E-12</v>
      </c>
      <c r="Q118" s="20">
        <f t="shared" si="107"/>
        <v>3.669434796176543E-12</v>
      </c>
      <c r="R118" s="59">
        <f t="shared" si="55"/>
        <v>293.33333333333701</v>
      </c>
      <c r="S118" s="59">
        <f ca="1">AVERAGE(OFFSET($R$3,0,0,'Données projet'!$E$9+1,1))-AVERAGE(OFFSET($H$3,0,0,'Données projet'!$E$9+1,1))</f>
        <v>244.06766379043052</v>
      </c>
      <c r="T118" s="59">
        <f t="shared" si="88"/>
        <v>300.17085261974006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1.6118191929863452</v>
      </c>
      <c r="AA118" s="21">
        <f>EXP(-LN(2)/25)*AA117+(1-EXP(-LN(2)/25))/(LN(2)/25)*Calculateur!V118*Calculateur!X118*VLOOKUP('Données projet'!$B$9,Paramètres!$A$1:$I$89,3,0)*0.475*44/12</f>
        <v>0.80592223979067223</v>
      </c>
      <c r="AB118" s="21">
        <f>EXP(-LN(2)/2)*AB117+(1-EXP(-LN(2)/2))/(LN(2)/2)*V118*Y118*VLOOKUP('Données projet'!$B$9,Paramètres!$A$1:$I$89,3,0)*0.475*44/12</f>
        <v>1.8640128309649968E-12</v>
      </c>
      <c r="AC118" s="22">
        <f t="shared" si="57"/>
        <v>2.4177414327788811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233</v>
      </c>
      <c r="AG118" s="12">
        <f>VLOOKUP(A118,'Données projet'!$A$61:$I$81,9,0)</f>
        <v>2.9</v>
      </c>
      <c r="AH118" s="12">
        <f t="array" ref="AH118">INDEX(AG:AG,MIN(IF(ISNUMBER(AG118:AG314),ROW(AG118:AG314),"")))</f>
        <v>2.9</v>
      </c>
      <c r="AI118" s="13">
        <f>IF('Données projet'!$A$62&gt;35,AI117+AH118-AQ117,IF(A118&lt;'Données projet'!$A$62,$AF$205^A118,IF(A118='Données projet'!$A$62,'Données projet'!$B$62,AI117+AH118-AQ117)))</f>
        <v>233.00000000000017</v>
      </c>
      <c r="AJ118" s="13">
        <f>AI118*VLOOKUP('Données projet'!$B$10,Paramètres!$A$1:$I$89,3,0)*VLOOKUP('Données projet'!$B$10,Paramètres!$A$1:$I$89,5,0)</f>
        <v>232.62720000000019</v>
      </c>
      <c r="AK118" s="13">
        <f t="shared" si="89"/>
        <v>56.850367545434707</v>
      </c>
      <c r="AL118" s="20">
        <f t="shared" si="58"/>
        <v>504.17343014163242</v>
      </c>
      <c r="AM118" s="59">
        <f t="shared" si="59"/>
        <v>797.50676347496574</v>
      </c>
      <c r="AN118" s="59">
        <f ca="1">AVERAGE(OFFSET($AM$3,0,0,'Données projet'!$E$10+1,1))-AVERAGE(OFFSET($H$3,0,0,'Données projet'!$E$10+1,1))</f>
        <v>260.68055529826694</v>
      </c>
      <c r="AO118" s="59">
        <f t="shared" si="90"/>
        <v>119.74772096645967</v>
      </c>
      <c r="AP118" s="15">
        <f>IF(ISNA(VLOOKUP(A118,'Données projet'!$A$61:$I$81,3,0)),0,VLOOKUP(A118,'Données projet'!$A$61:$I$81,3,0))</f>
        <v>9</v>
      </c>
      <c r="AQ118" s="15">
        <f>IF(ISNA(VLOOKUP(A118,'Données projet'!$A$61:$I$81,4,0)),0,VLOOKUP(A118,'Données projet'!$A$61:$I$81,4,0))</f>
        <v>26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398.34261137329793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1.3596945791505279E-13</v>
      </c>
      <c r="P119" s="13">
        <f t="shared" si="87"/>
        <v>1.9708830566360721E-12</v>
      </c>
      <c r="Q119" s="20">
        <f t="shared" si="107"/>
        <v>3.669434796176543E-12</v>
      </c>
      <c r="R119" s="59">
        <f t="shared" si="55"/>
        <v>293.33333333333701</v>
      </c>
      <c r="S119" s="59">
        <f ca="1">AVERAGE(OFFSET($R$3,0,0,'Données projet'!$E$9+1,1))-AVERAGE(OFFSET($H$3,0,0,'Données projet'!$E$9+1,1))</f>
        <v>244.06766379043052</v>
      </c>
      <c r="T119" s="59">
        <f t="shared" si="88"/>
        <v>300.17085261974006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1.5802124017245165</v>
      </c>
      <c r="AA119" s="21">
        <f>EXP(-LN(2)/25)*AA118+(1-EXP(-LN(2)/25))/(LN(2)/25)*Calculateur!V119*Calculateur!X119*VLOOKUP('Données projet'!$B$9,Paramètres!$A$1:$I$89,3,0)*0.475*44/12</f>
        <v>0.78388425376198767</v>
      </c>
      <c r="AB119" s="21">
        <f>EXP(-LN(2)/2)*AB118+(1-EXP(-LN(2)/2))/(LN(2)/2)*V119*Y119*VLOOKUP('Données projet'!$B$9,Paramètres!$A$1:$I$89,3,0)*0.475*44/12</f>
        <v>1.318056112994083E-12</v>
      </c>
      <c r="AC119" s="22">
        <f t="shared" si="57"/>
        <v>2.3640966554878222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2.5</v>
      </c>
      <c r="AI119" s="13">
        <f>IF('Données projet'!$A$62&gt;35,AI118+AH119-AQ118,IF(A119&lt;'Données projet'!$A$62,$AF$205^A119,IF(A119='Données projet'!$A$62,'Données projet'!$B$62,AI118+AH119-AQ118)))</f>
        <v>209.50000000000017</v>
      </c>
      <c r="AJ119" s="13">
        <f>AI119*VLOOKUP('Données projet'!$B$10,Paramètres!$A$1:$I$89,3,0)*VLOOKUP('Données projet'!$B$10,Paramètres!$A$1:$I$89,5,0)</f>
        <v>209.16480000000016</v>
      </c>
      <c r="AK119" s="13">
        <f t="shared" si="89"/>
        <v>51.75303117626806</v>
      </c>
      <c r="AL119" s="20">
        <f t="shared" si="58"/>
        <v>454.43188929866716</v>
      </c>
      <c r="AM119" s="59">
        <f t="shared" si="59"/>
        <v>747.76522263200047</v>
      </c>
      <c r="AN119" s="59">
        <f ca="1">AVERAGE(OFFSET($AM$3,0,0,'Données projet'!$E$10+1,1))-AVERAGE(OFFSET($H$3,0,0,'Données projet'!$E$10+1,1))</f>
        <v>260.68055529826694</v>
      </c>
      <c r="AO119" s="59">
        <f t="shared" si="90"/>
        <v>119.74772096645967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399.53236233242478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1.3596945791505279E-13</v>
      </c>
      <c r="P120" s="13">
        <f t="shared" si="87"/>
        <v>1.9708830566360721E-12</v>
      </c>
      <c r="Q120" s="20">
        <f t="shared" si="107"/>
        <v>3.669434796176543E-12</v>
      </c>
      <c r="R120" s="59">
        <f t="shared" si="55"/>
        <v>293.33333333333701</v>
      </c>
      <c r="S120" s="59">
        <f ca="1">AVERAGE(OFFSET($R$3,0,0,'Données projet'!$E$9+1,1))-AVERAGE(OFFSET($H$3,0,0,'Données projet'!$E$9+1,1))</f>
        <v>244.06766379043052</v>
      </c>
      <c r="T120" s="59">
        <f t="shared" si="88"/>
        <v>300.17085261974006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1.549225400361093</v>
      </c>
      <c r="AA120" s="21">
        <f>EXP(-LN(2)/25)*AA119+(1-EXP(-LN(2)/25))/(LN(2)/25)*Calculateur!V120*Calculateur!X120*VLOOKUP('Données projet'!$B$9,Paramètres!$A$1:$I$89,3,0)*0.475*44/12</f>
        <v>0.76244889762018475</v>
      </c>
      <c r="AB120" s="21">
        <f>EXP(-LN(2)/2)*AB119+(1-EXP(-LN(2)/2))/(LN(2)/2)*V120*Y120*VLOOKUP('Données projet'!$B$9,Paramètres!$A$1:$I$89,3,0)*0.475*44/12</f>
        <v>9.3200641548249838E-13</v>
      </c>
      <c r="AC120" s="22">
        <f t="shared" si="57"/>
        <v>2.31167429798221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2.5</v>
      </c>
      <c r="AI120" s="13">
        <f>IF('Données projet'!$A$62&gt;35,AI119+AH120-AQ119,IF(A120&lt;'Données projet'!$A$62,$AF$205^A120,IF(A120='Données projet'!$A$62,'Données projet'!$B$62,AI119+AH120-AQ119)))</f>
        <v>212.00000000000017</v>
      </c>
      <c r="AJ120" s="13">
        <f>AI120*VLOOKUP('Données projet'!$B$10,Paramètres!$A$1:$I$89,3,0)*VLOOKUP('Données projet'!$B$10,Paramètres!$A$1:$I$89,5,0)</f>
        <v>211.66080000000019</v>
      </c>
      <c r="AK120" s="13">
        <f t="shared" si="89"/>
        <v>52.298345725567067</v>
      </c>
      <c r="AL120" s="20">
        <f t="shared" si="58"/>
        <v>459.72884547202966</v>
      </c>
      <c r="AM120" s="59">
        <f t="shared" si="59"/>
        <v>753.06217880536292</v>
      </c>
      <c r="AN120" s="59">
        <f ca="1">AVERAGE(OFFSET($AM$3,0,0,'Données projet'!$E$10+1,1))-AVERAGE(OFFSET($H$3,0,0,'Données projet'!$E$10+1,1))</f>
        <v>260.68055529826694</v>
      </c>
      <c r="AO120" s="59">
        <f t="shared" si="90"/>
        <v>119.74772096645967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400.72187583029472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1.3596945791505279E-13</v>
      </c>
      <c r="P121" s="13">
        <f t="shared" si="87"/>
        <v>1.9708830566360721E-12</v>
      </c>
      <c r="Q121" s="20">
        <f t="shared" si="107"/>
        <v>3.669434796176543E-12</v>
      </c>
      <c r="R121" s="59">
        <f t="shared" si="55"/>
        <v>293.33333333333701</v>
      </c>
      <c r="S121" s="59">
        <f ca="1">AVERAGE(OFFSET($R$3,0,0,'Données projet'!$E$9+1,1))-AVERAGE(OFFSET($H$3,0,0,'Données projet'!$E$9+1,1))</f>
        <v>244.06766379043052</v>
      </c>
      <c r="T121" s="59">
        <f t="shared" si="88"/>
        <v>300.17085261974006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1.5188460351942017</v>
      </c>
      <c r="AA121" s="21">
        <f>EXP(-LN(2)/25)*AA120+(1-EXP(-LN(2)/25))/(LN(2)/25)*Calculateur!V121*Calculateur!X121*VLOOKUP('Données projet'!$B$9,Paramètres!$A$1:$I$89,3,0)*0.475*44/12</f>
        <v>0.74159969241931589</v>
      </c>
      <c r="AB121" s="21">
        <f>EXP(-LN(2)/2)*AB120+(1-EXP(-LN(2)/2))/(LN(2)/2)*V121*Y121*VLOOKUP('Données projet'!$B$9,Paramètres!$A$1:$I$89,3,0)*0.475*44/12</f>
        <v>6.5902805649704151E-13</v>
      </c>
      <c r="AC121" s="22">
        <f t="shared" si="57"/>
        <v>2.2604457276141767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2.5</v>
      </c>
      <c r="AI121" s="13">
        <f>IF('Données projet'!$A$62&gt;35,AI120+AH121-AQ120,IF(A121&lt;'Données projet'!$A$62,$AF$205^A121,IF(A121='Données projet'!$A$62,'Données projet'!$B$62,AI120+AH121-AQ120)))</f>
        <v>214.50000000000017</v>
      </c>
      <c r="AJ121" s="13">
        <f>AI121*VLOOKUP('Données projet'!$B$10,Paramètres!$A$1:$I$89,3,0)*VLOOKUP('Données projet'!$B$10,Paramètres!$A$1:$I$89,5,0)</f>
        <v>214.15680000000017</v>
      </c>
      <c r="AK121" s="13">
        <f t="shared" si="89"/>
        <v>52.842912248636694</v>
      </c>
      <c r="AL121" s="20">
        <f t="shared" si="58"/>
        <v>465.02449883304251</v>
      </c>
      <c r="AM121" s="59">
        <f t="shared" si="59"/>
        <v>758.35783216637583</v>
      </c>
      <c r="AN121" s="59">
        <f ca="1">AVERAGE(OFFSET($AM$3,0,0,'Données projet'!$E$10+1,1))-AVERAGE(OFFSET($H$3,0,0,'Données projet'!$E$10+1,1))</f>
        <v>260.68055529826694</v>
      </c>
      <c r="AO121" s="59">
        <f t="shared" si="90"/>
        <v>119.74772096645967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401.91115411247904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1.3596945791505279E-13</v>
      </c>
      <c r="P122" s="13">
        <f t="shared" si="87"/>
        <v>1.9708830566360721E-12</v>
      </c>
      <c r="Q122" s="20">
        <f t="shared" si="107"/>
        <v>3.669434796176543E-12</v>
      </c>
      <c r="R122" s="59">
        <f t="shared" si="55"/>
        <v>293.33333333333701</v>
      </c>
      <c r="S122" s="59">
        <f ca="1">AVERAGE(OFFSET($R$3,0,0,'Données projet'!$E$9+1,1))-AVERAGE(OFFSET($H$3,0,0,'Données projet'!$E$9+1,1))</f>
        <v>244.06766379043052</v>
      </c>
      <c r="T122" s="59">
        <f t="shared" si="88"/>
        <v>300.17085261974006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1.48906239084865</v>
      </c>
      <c r="AA122" s="21">
        <f>EXP(-LN(2)/25)*AA121+(1-EXP(-LN(2)/25))/(LN(2)/25)*Calculateur!V122*Calculateur!X122*VLOOKUP('Données projet'!$B$9,Paramètres!$A$1:$I$89,3,0)*0.475*44/12</f>
        <v>0.72132060983107682</v>
      </c>
      <c r="AB122" s="21">
        <f>EXP(-LN(2)/2)*AB121+(1-EXP(-LN(2)/2))/(LN(2)/2)*V122*Y122*VLOOKUP('Données projet'!$B$9,Paramètres!$A$1:$I$89,3,0)*0.475*44/12</f>
        <v>4.6600320774124919E-13</v>
      </c>
      <c r="AC122" s="22">
        <f t="shared" si="57"/>
        <v>2.2103830006801926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2.5</v>
      </c>
      <c r="AI122" s="13">
        <f>IF('Données projet'!$A$62&gt;35,AI121+AH122-AQ121,IF(A122&lt;'Données projet'!$A$62,$AF$205^A122,IF(A122='Données projet'!$A$62,'Données projet'!$B$62,AI121+AH122-AQ121)))</f>
        <v>217.00000000000017</v>
      </c>
      <c r="AJ122" s="13">
        <f>AI122*VLOOKUP('Données projet'!$B$10,Paramètres!$A$1:$I$89,3,0)*VLOOKUP('Données projet'!$B$10,Paramètres!$A$1:$I$89,5,0)</f>
        <v>216.65280000000018</v>
      </c>
      <c r="AK122" s="13">
        <f t="shared" si="89"/>
        <v>53.38674047237987</v>
      </c>
      <c r="AL122" s="20">
        <f t="shared" si="58"/>
        <v>470.31886632272858</v>
      </c>
      <c r="AM122" s="59">
        <f t="shared" si="59"/>
        <v>763.65219965606184</v>
      </c>
      <c r="AN122" s="59">
        <f ca="1">AVERAGE(OFFSET($AM$3,0,0,'Données projet'!$E$10+1,1))-AVERAGE(OFFSET($H$3,0,0,'Données projet'!$E$10+1,1))</f>
        <v>260.68055529826694</v>
      </c>
      <c r="AO122" s="59">
        <f t="shared" si="90"/>
        <v>119.74772096645967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403.10019938462972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1.3596945791505279E-13</v>
      </c>
      <c r="P123" s="13">
        <f t="shared" si="87"/>
        <v>1.9708830566360721E-12</v>
      </c>
      <c r="Q123" s="20">
        <f t="shared" si="107"/>
        <v>3.669434796176543E-12</v>
      </c>
      <c r="R123" s="59">
        <f t="shared" si="55"/>
        <v>293.33333333333701</v>
      </c>
      <c r="S123" s="59">
        <f ca="1">AVERAGE(OFFSET($R$3,0,0,'Données projet'!$E$9+1,1))-AVERAGE(OFFSET($H$3,0,0,'Données projet'!$E$9+1,1))</f>
        <v>244.06766379043052</v>
      </c>
      <c r="T123" s="59">
        <f t="shared" si="88"/>
        <v>300.17085261974006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1.4598627856024853</v>
      </c>
      <c r="AA123" s="21">
        <f>EXP(-LN(2)/25)*AA122+(1-EXP(-LN(2)/25))/(LN(2)/25)*Calculateur!V123*Calculateur!X123*VLOOKUP('Données projet'!$B$9,Paramètres!$A$1:$I$89,3,0)*0.475*44/12</f>
        <v>0.70159605982264373</v>
      </c>
      <c r="AB123" s="21">
        <f>EXP(-LN(2)/2)*AB122+(1-EXP(-LN(2)/2))/(LN(2)/2)*V123*Y123*VLOOKUP('Données projet'!$B$9,Paramètres!$A$1:$I$89,3,0)*0.475*44/12</f>
        <v>3.2951402824852075E-13</v>
      </c>
      <c r="AC123" s="22">
        <f t="shared" si="57"/>
        <v>2.1614588454254586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2.5</v>
      </c>
      <c r="AI123" s="13">
        <f>IF('Données projet'!$A$62&gt;35,AI122+AH123-AQ122,IF(A123&lt;'Données projet'!$A$62,$AF$205^A123,IF(A123='Données projet'!$A$62,'Données projet'!$B$62,AI122+AH123-AQ122)))</f>
        <v>219.50000000000017</v>
      </c>
      <c r="AJ123" s="13">
        <f>AI123*VLOOKUP('Données projet'!$B$10,Paramètres!$A$1:$I$89,3,0)*VLOOKUP('Données projet'!$B$10,Paramètres!$A$1:$I$89,5,0)</f>
        <v>219.14880000000016</v>
      </c>
      <c r="AK123" s="13">
        <f t="shared" si="89"/>
        <v>53.929839886676582</v>
      </c>
      <c r="AL123" s="20">
        <f t="shared" si="58"/>
        <v>475.61196446929534</v>
      </c>
      <c r="AM123" s="59">
        <f t="shared" si="59"/>
        <v>768.9452978026286</v>
      </c>
      <c r="AN123" s="59">
        <f ca="1">AVERAGE(OFFSET($AM$3,0,0,'Données projet'!$E$10+1,1))-AVERAGE(OFFSET($H$3,0,0,'Données projet'!$E$10+1,1))</f>
        <v>260.68055529826694</v>
      </c>
      <c r="AO123" s="59">
        <f t="shared" si="90"/>
        <v>119.74772096645967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404.28901381351614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1.3596945791505279E-13</v>
      </c>
      <c r="P124" s="13">
        <f t="shared" si="87"/>
        <v>1.9708830566360721E-12</v>
      </c>
      <c r="Q124" s="20">
        <f t="shared" si="107"/>
        <v>3.669434796176543E-12</v>
      </c>
      <c r="R124" s="59">
        <f t="shared" si="55"/>
        <v>293.33333333333701</v>
      </c>
      <c r="S124" s="59">
        <f ca="1">AVERAGE(OFFSET($R$3,0,0,'Données projet'!$E$9+1,1))-AVERAGE(OFFSET($H$3,0,0,'Données projet'!$E$9+1,1))</f>
        <v>244.06766379043052</v>
      </c>
      <c r="T124" s="59">
        <f t="shared" si="88"/>
        <v>300.17085261974006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1.4312357668051972</v>
      </c>
      <c r="AA124" s="21">
        <f>EXP(-LN(2)/25)*AA123+(1-EXP(-LN(2)/25))/(LN(2)/25)*Calculateur!V124*Calculateur!X124*VLOOKUP('Données projet'!$B$9,Paramètres!$A$1:$I$89,3,0)*0.475*44/12</f>
        <v>0.68241087867146022</v>
      </c>
      <c r="AB124" s="21">
        <f>EXP(-LN(2)/2)*AB123+(1-EXP(-LN(2)/2))/(LN(2)/2)*V124*Y124*VLOOKUP('Données projet'!$B$9,Paramètres!$A$1:$I$89,3,0)*0.475*44/12</f>
        <v>2.330016038706246E-13</v>
      </c>
      <c r="AC124" s="22">
        <f t="shared" si="57"/>
        <v>2.1136466454768903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2.5</v>
      </c>
      <c r="AI124" s="13">
        <f>IF('Données projet'!$A$62&gt;35,AI123+AH124-AQ123,IF(A124&lt;'Données projet'!$A$62,$AF$205^A124,IF(A124='Données projet'!$A$62,'Données projet'!$B$62,AI123+AH124-AQ123)))</f>
        <v>222.00000000000017</v>
      </c>
      <c r="AJ124" s="13">
        <f>AI124*VLOOKUP('Données projet'!$B$10,Paramètres!$A$1:$I$89,3,0)*VLOOKUP('Données projet'!$B$10,Paramètres!$A$1:$I$89,5,0)</f>
        <v>221.6448000000002</v>
      </c>
      <c r="AK124" s="13">
        <f t="shared" si="89"/>
        <v>54.47221975279232</v>
      </c>
      <c r="AL124" s="20">
        <f t="shared" si="58"/>
        <v>480.90380940278033</v>
      </c>
      <c r="AM124" s="59">
        <f t="shared" si="59"/>
        <v>774.23714273611358</v>
      </c>
      <c r="AN124" s="59">
        <f ca="1">AVERAGE(OFFSET($AM$3,0,0,'Données projet'!$E$10+1,1))-AVERAGE(OFFSET($H$3,0,0,'Données projet'!$E$10+1,1))</f>
        <v>260.68055529826694</v>
      </c>
      <c r="AO124" s="59">
        <f t="shared" si="90"/>
        <v>119.74772096645967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405.47759952802585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1.3596945791505279E-13</v>
      </c>
      <c r="P125" s="13">
        <f t="shared" si="87"/>
        <v>1.9708830566360721E-12</v>
      </c>
      <c r="Q125" s="20">
        <f t="shared" si="107"/>
        <v>3.669434796176543E-12</v>
      </c>
      <c r="R125" s="59">
        <f t="shared" si="55"/>
        <v>293.33333333333701</v>
      </c>
      <c r="S125" s="59">
        <f ca="1">AVERAGE(OFFSET($R$3,0,0,'Données projet'!$E$9+1,1))-AVERAGE(OFFSET($H$3,0,0,'Données projet'!$E$9+1,1))</f>
        <v>244.06766379043052</v>
      </c>
      <c r="T125" s="59">
        <f t="shared" si="88"/>
        <v>300.17085261974006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1.4031701063857667</v>
      </c>
      <c r="AA125" s="21">
        <f>EXP(-LN(2)/25)*AA124+(1-EXP(-LN(2)/25))/(LN(2)/25)*Calculateur!V125*Calculateur!X125*VLOOKUP('Données projet'!$B$9,Paramètres!$A$1:$I$89,3,0)*0.475*44/12</f>
        <v>0.66375031730776068</v>
      </c>
      <c r="AB125" s="21">
        <f>EXP(-LN(2)/2)*AB124+(1-EXP(-LN(2)/2))/(LN(2)/2)*V125*Y125*VLOOKUP('Données projet'!$B$9,Paramètres!$A$1:$I$89,3,0)*0.475*44/12</f>
        <v>1.6475701412426038E-13</v>
      </c>
      <c r="AC125" s="22">
        <f t="shared" si="57"/>
        <v>2.0669204236936922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2.5</v>
      </c>
      <c r="AI125" s="13">
        <f>IF('Données projet'!$A$62&gt;35,AI124+AH125-AQ124,IF(A125&lt;'Données projet'!$A$62,$AF$205^A125,IF(A125='Données projet'!$A$62,'Données projet'!$B$62,AI124+AH125-AQ124)))</f>
        <v>224.50000000000017</v>
      </c>
      <c r="AJ125" s="13">
        <f>AI125*VLOOKUP('Données projet'!$B$10,Paramètres!$A$1:$I$89,3,0)*VLOOKUP('Données projet'!$B$10,Paramètres!$A$1:$I$89,5,0)</f>
        <v>224.14080000000018</v>
      </c>
      <c r="AK125" s="13">
        <f t="shared" si="89"/>
        <v>55.013889111396395</v>
      </c>
      <c r="AL125" s="20">
        <f t="shared" si="58"/>
        <v>486.1944168690157</v>
      </c>
      <c r="AM125" s="59">
        <f t="shared" si="59"/>
        <v>779.52775020234901</v>
      </c>
      <c r="AN125" s="59">
        <f ca="1">AVERAGE(OFFSET($AM$3,0,0,'Données projet'!$E$10+1,1))-AVERAGE(OFFSET($H$3,0,0,'Données projet'!$E$10+1,1))</f>
        <v>260.68055529826694</v>
      </c>
      <c r="AO125" s="59">
        <f t="shared" si="90"/>
        <v>119.74772096645967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406.66595862013173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1.3596945791505279E-13</v>
      </c>
      <c r="P126" s="13">
        <f t="shared" si="87"/>
        <v>1.9708830566360721E-12</v>
      </c>
      <c r="Q126" s="20">
        <f t="shared" si="107"/>
        <v>3.669434796176543E-12</v>
      </c>
      <c r="R126" s="59">
        <f t="shared" si="55"/>
        <v>293.33333333333701</v>
      </c>
      <c r="S126" s="59">
        <f ca="1">AVERAGE(OFFSET($R$3,0,0,'Données projet'!$E$9+1,1))-AVERAGE(OFFSET($H$3,0,0,'Données projet'!$E$9+1,1))</f>
        <v>244.06766379043052</v>
      </c>
      <c r="T126" s="59">
        <f t="shared" si="88"/>
        <v>300.17085261974006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1.3756547964487986</v>
      </c>
      <c r="AA126" s="21">
        <f>EXP(-LN(2)/25)*AA125+(1-EXP(-LN(2)/25))/(LN(2)/25)*Calculateur!V126*Calculateur!X126*VLOOKUP('Données projet'!$B$9,Paramètres!$A$1:$I$89,3,0)*0.475*44/12</f>
        <v>0.64560002997586785</v>
      </c>
      <c r="AB126" s="21">
        <f>EXP(-LN(2)/2)*AB125+(1-EXP(-LN(2)/2))/(LN(2)/2)*V126*Y126*VLOOKUP('Données projet'!$B$9,Paramètres!$A$1:$I$89,3,0)*0.475*44/12</f>
        <v>1.165008019353123E-13</v>
      </c>
      <c r="AC126" s="22">
        <f t="shared" si="57"/>
        <v>2.0212548264247827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2.5</v>
      </c>
      <c r="AI126" s="13">
        <f>IF('Données projet'!$A$62&gt;35,AI125+AH126-AQ125,IF(A126&lt;'Données projet'!$A$62,$AF$205^A126,IF(A126='Données projet'!$A$62,'Données projet'!$B$62,AI125+AH126-AQ125)))</f>
        <v>227.00000000000017</v>
      </c>
      <c r="AJ126" s="13">
        <f>AI126*VLOOKUP('Données projet'!$B$10,Paramètres!$A$1:$I$89,3,0)*VLOOKUP('Données projet'!$B$10,Paramètres!$A$1:$I$89,5,0)</f>
        <v>226.63680000000019</v>
      </c>
      <c r="AK126" s="13">
        <f t="shared" si="89"/>
        <v>55.554856790213258</v>
      </c>
      <c r="AL126" s="20">
        <f t="shared" si="58"/>
        <v>491.48380224295516</v>
      </c>
      <c r="AM126" s="59">
        <f t="shared" si="59"/>
        <v>784.81713557628848</v>
      </c>
      <c r="AN126" s="59">
        <f ca="1">AVERAGE(OFFSET($AM$3,0,0,'Données projet'!$E$10+1,1))-AVERAGE(OFFSET($H$3,0,0,'Données projet'!$E$10+1,1))</f>
        <v>260.68055529826694</v>
      </c>
      <c r="AO126" s="59">
        <f t="shared" si="90"/>
        <v>119.74772096645967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407.85409314582705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1.3596945791505279E-13</v>
      </c>
      <c r="P127" s="13">
        <f t="shared" si="87"/>
        <v>1.9708830566360721E-12</v>
      </c>
      <c r="Q127" s="20">
        <f t="shared" si="107"/>
        <v>3.669434796176543E-12</v>
      </c>
      <c r="R127" s="59">
        <f t="shared" si="55"/>
        <v>293.33333333333701</v>
      </c>
      <c r="S127" s="59">
        <f ca="1">AVERAGE(OFFSET($R$3,0,0,'Données projet'!$E$9+1,1))-AVERAGE(OFFSET($H$3,0,0,'Données projet'!$E$9+1,1))</f>
        <v>244.06766379043052</v>
      </c>
      <c r="T127" s="59">
        <f t="shared" si="88"/>
        <v>300.17085261974006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1.3486790449570125</v>
      </c>
      <c r="AA127" s="21">
        <f>EXP(-LN(2)/25)*AA126+(1-EXP(-LN(2)/25))/(LN(2)/25)*Calculateur!V127*Calculateur!X127*VLOOKUP('Données projet'!$B$9,Paramètres!$A$1:$I$89,3,0)*0.475*44/12</f>
        <v>0.62794606320554769</v>
      </c>
      <c r="AB127" s="21">
        <f>EXP(-LN(2)/2)*AB126+(1-EXP(-LN(2)/2))/(LN(2)/2)*V127*Y127*VLOOKUP('Données projet'!$B$9,Paramètres!$A$1:$I$89,3,0)*0.475*44/12</f>
        <v>8.2378507062130188E-14</v>
      </c>
      <c r="AC127" s="22">
        <f t="shared" si="57"/>
        <v>1.9766251081626425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2.5</v>
      </c>
      <c r="AI127" s="13">
        <f>IF('Données projet'!$A$62&gt;35,AI126+AH127-AQ126,IF(A127&lt;'Données projet'!$A$62,$AF$205^A127,IF(A127='Données projet'!$A$62,'Données projet'!$B$62,AI126+AH127-AQ126)))</f>
        <v>229.50000000000017</v>
      </c>
      <c r="AJ127" s="13">
        <f>AI127*VLOOKUP('Données projet'!$B$10,Paramètres!$A$1:$I$89,3,0)*VLOOKUP('Données projet'!$B$10,Paramètres!$A$1:$I$89,5,0)</f>
        <v>229.13280000000017</v>
      </c>
      <c r="AK127" s="13">
        <f t="shared" si="89"/>
        <v>56.095131411326932</v>
      </c>
      <c r="AL127" s="20">
        <f t="shared" si="58"/>
        <v>496.77198054139467</v>
      </c>
      <c r="AM127" s="59">
        <f t="shared" si="59"/>
        <v>790.10531387472793</v>
      </c>
      <c r="AN127" s="59">
        <f ca="1">AVERAGE(OFFSET($AM$3,0,0,'Données projet'!$E$10+1,1))-AVERAGE(OFFSET($H$3,0,0,'Données projet'!$E$10+1,1))</f>
        <v>260.68055529826694</v>
      </c>
      <c r="AO127" s="59">
        <f t="shared" si="90"/>
        <v>119.74772096645967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409.04200512602915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1.3596945791505279E-13</v>
      </c>
      <c r="P128" s="13">
        <f t="shared" si="87"/>
        <v>1.9708830566360721E-12</v>
      </c>
      <c r="Q128" s="20">
        <f t="shared" si="107"/>
        <v>3.669434796176543E-12</v>
      </c>
      <c r="R128" s="59">
        <f t="shared" si="55"/>
        <v>293.33333333333701</v>
      </c>
      <c r="S128" s="59">
        <f ca="1">AVERAGE(OFFSET($R$3,0,0,'Données projet'!$E$9+1,1))-AVERAGE(OFFSET($H$3,0,0,'Données projet'!$E$9+1,1))</f>
        <v>244.06766379043052</v>
      </c>
      <c r="T128" s="59">
        <f t="shared" si="88"/>
        <v>300.17085261974006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1.3222322714983967</v>
      </c>
      <c r="AA128" s="21">
        <f>EXP(-LN(2)/25)*AA127+(1-EXP(-LN(2)/25))/(LN(2)/25)*Calculateur!V128*Calculateur!X128*VLOOKUP('Données projet'!$B$9,Paramètres!$A$1:$I$89,3,0)*0.475*44/12</f>
        <v>0.61077484508494373</v>
      </c>
      <c r="AB128" s="21">
        <f>EXP(-LN(2)/2)*AB127+(1-EXP(-LN(2)/2))/(LN(2)/2)*V128*Y128*VLOOKUP('Données projet'!$B$9,Paramètres!$A$1:$I$89,3,0)*0.475*44/12</f>
        <v>5.8250400967656149E-14</v>
      </c>
      <c r="AC128" s="22">
        <f t="shared" si="57"/>
        <v>1.9330071165833986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232</v>
      </c>
      <c r="AG128" s="12">
        <f>VLOOKUP(A128,'Données projet'!$A$61:$I$81,9,0)</f>
        <v>2.5</v>
      </c>
      <c r="AH128" s="12">
        <f t="array" ref="AH128">INDEX(AG:AG,MIN(IF(ISNUMBER(AG128:AG324),ROW(AG128:AG324),"")))</f>
        <v>2.5</v>
      </c>
      <c r="AI128" s="13">
        <f>IF('Données projet'!$A$62&gt;35,AI127+AH128-AQ127,IF(A128&lt;'Données projet'!$A$62,$AF$205^A128,IF(A128='Données projet'!$A$62,'Données projet'!$B$62,AI127+AH128-AQ127)))</f>
        <v>232.00000000000017</v>
      </c>
      <c r="AJ128" s="13">
        <f>AI128*VLOOKUP('Données projet'!$B$10,Paramètres!$A$1:$I$89,3,0)*VLOOKUP('Données projet'!$B$10,Paramètres!$A$1:$I$89,5,0)</f>
        <v>231.62880000000018</v>
      </c>
      <c r="AK128" s="13">
        <f t="shared" si="89"/>
        <v>56.63472139815827</v>
      </c>
      <c r="AL128" s="20">
        <f t="shared" si="58"/>
        <v>502.05896643512597</v>
      </c>
      <c r="AM128" s="59">
        <f t="shared" si="59"/>
        <v>795.39229976845922</v>
      </c>
      <c r="AN128" s="59">
        <f ca="1">AVERAGE(OFFSET($AM$3,0,0,'Données projet'!$E$10+1,1))-AVERAGE(OFFSET($H$3,0,0,'Données projet'!$E$10+1,1))</f>
        <v>260.68055529826694</v>
      </c>
      <c r="AO128" s="59">
        <f t="shared" si="90"/>
        <v>119.74772096645967</v>
      </c>
      <c r="AP128" s="15">
        <f>IF(ISNA(VLOOKUP(A128,'Données projet'!$A$61:$I$81,3,0)),0,VLOOKUP(A128,'Données projet'!$A$61:$I$81,3,0))</f>
        <v>10</v>
      </c>
      <c r="AQ128" s="15">
        <f>IF(ISNA(VLOOKUP(A128,'Données projet'!$A$61:$I$81,4,0)),0,VLOOKUP(A128,'Données projet'!$A$61:$I$81,4,0))</f>
        <v>23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410.22969654745395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1.3596945791505279E-13</v>
      </c>
      <c r="P129" s="13">
        <f t="shared" si="87"/>
        <v>1.9708830566360721E-12</v>
      </c>
      <c r="Q129" s="20">
        <f t="shared" si="107"/>
        <v>3.669434796176543E-12</v>
      </c>
      <c r="R129" s="59">
        <f t="shared" si="55"/>
        <v>293.33333333333701</v>
      </c>
      <c r="S129" s="59">
        <f ca="1">AVERAGE(OFFSET($R$3,0,0,'Données projet'!$E$9+1,1))-AVERAGE(OFFSET($H$3,0,0,'Données projet'!$E$9+1,1))</f>
        <v>244.06766379043052</v>
      </c>
      <c r="T129" s="59">
        <f t="shared" si="88"/>
        <v>300.17085261974006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1.2963041031363653</v>
      </c>
      <c r="AA129" s="21">
        <f>EXP(-LN(2)/25)*AA128+(1-EXP(-LN(2)/25))/(LN(2)/25)*Calculateur!V129*Calculateur!X129*VLOOKUP('Données projet'!$B$9,Paramètres!$A$1:$I$89,3,0)*0.475*44/12</f>
        <v>0.59407317482684274</v>
      </c>
      <c r="AB129" s="21">
        <f>EXP(-LN(2)/2)*AB128+(1-EXP(-LN(2)/2))/(LN(2)/2)*V129*Y129*VLOOKUP('Données projet'!$B$9,Paramètres!$A$1:$I$89,3,0)*0.475*44/12</f>
        <v>4.1189253531065094E-14</v>
      </c>
      <c r="AC129" s="22">
        <f t="shared" si="57"/>
        <v>1.8903772779632493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</v>
      </c>
      <c r="AI129" s="13">
        <f>IF('Données projet'!$A$62&gt;35,AI128+AH129-AQ128,IF(A129&lt;'Données projet'!$A$62,$AF$205^A129,IF(A129='Données projet'!$A$62,'Données projet'!$B$62,AI128+AH129-AQ128)))</f>
        <v>211.00000000000017</v>
      </c>
      <c r="AJ129" s="13">
        <f>AI129*VLOOKUP('Données projet'!$B$10,Paramètres!$A$1:$I$89,3,0)*VLOOKUP('Données projet'!$B$10,Paramètres!$A$1:$I$89,5,0)</f>
        <v>210.66240000000016</v>
      </c>
      <c r="AK129" s="13">
        <f t="shared" si="89"/>
        <v>52.080310221864423</v>
      </c>
      <c r="AL129" s="20">
        <f t="shared" si="58"/>
        <v>457.61022030308072</v>
      </c>
      <c r="AM129" s="59">
        <f t="shared" si="59"/>
        <v>750.94355363641398</v>
      </c>
      <c r="AN129" s="59">
        <f ca="1">AVERAGE(OFFSET($AM$3,0,0,'Données projet'!$E$10+1,1))-AVERAGE(OFFSET($H$3,0,0,'Données projet'!$E$10+1,1))</f>
        <v>260.68055529826694</v>
      </c>
      <c r="AO129" s="59">
        <f t="shared" si="90"/>
        <v>119.74772096645967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411.41716936346074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1.3596945791505279E-13</v>
      </c>
      <c r="P130" s="13">
        <f t="shared" si="87"/>
        <v>1.9708830566360721E-12</v>
      </c>
      <c r="Q130" s="20">
        <f t="shared" si="107"/>
        <v>3.669434796176543E-12</v>
      </c>
      <c r="R130" s="59">
        <f t="shared" si="55"/>
        <v>293.33333333333701</v>
      </c>
      <c r="S130" s="59">
        <f ca="1">AVERAGE(OFFSET($R$3,0,0,'Données projet'!$E$9+1,1))-AVERAGE(OFFSET($H$3,0,0,'Données projet'!$E$9+1,1))</f>
        <v>244.06766379043052</v>
      </c>
      <c r="T130" s="59">
        <f t="shared" si="88"/>
        <v>300.17085261974006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1.2708843703412922</v>
      </c>
      <c r="AA130" s="21">
        <f>EXP(-LN(2)/25)*AA129+(1-EXP(-LN(2)/25))/(LN(2)/25)*Calculateur!V130*Calculateur!X130*VLOOKUP('Données projet'!$B$9,Paramètres!$A$1:$I$89,3,0)*0.475*44/12</f>
        <v>0.57782821262025219</v>
      </c>
      <c r="AB130" s="21">
        <f>EXP(-LN(2)/2)*AB129+(1-EXP(-LN(2)/2))/(LN(2)/2)*V130*Y130*VLOOKUP('Données projet'!$B$9,Paramètres!$A$1:$I$89,3,0)*0.475*44/12</f>
        <v>2.9125200483828074E-14</v>
      </c>
      <c r="AC130" s="22">
        <f t="shared" si="57"/>
        <v>1.8487125829615734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2</v>
      </c>
      <c r="AI130" s="13">
        <f>IF('Données projet'!$A$62&gt;35,AI129+AH130-AQ129,IF(A130&lt;'Données projet'!$A$62,$AF$205^A130,IF(A130='Données projet'!$A$62,'Données projet'!$B$62,AI129+AH130-AQ129)))</f>
        <v>213.00000000000017</v>
      </c>
      <c r="AJ130" s="13">
        <f>AI130*VLOOKUP('Données projet'!$B$10,Paramètres!$A$1:$I$89,3,0)*VLOOKUP('Données projet'!$B$10,Paramètres!$A$1:$I$89,5,0)</f>
        <v>212.65920000000017</v>
      </c>
      <c r="AK130" s="13">
        <f t="shared" si="89"/>
        <v>52.516261547825792</v>
      </c>
      <c r="AL130" s="20">
        <f t="shared" si="58"/>
        <v>461.84726219579693</v>
      </c>
      <c r="AM130" s="59">
        <f t="shared" si="59"/>
        <v>755.18059552913019</v>
      </c>
      <c r="AN130" s="59">
        <f ca="1">AVERAGE(OFFSET($AM$3,0,0,'Données projet'!$E$10+1,1))-AVERAGE(OFFSET($H$3,0,0,'Données projet'!$E$10+1,1))</f>
        <v>260.68055529826694</v>
      </c>
      <c r="AO130" s="59">
        <f t="shared" si="90"/>
        <v>119.74772096645967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412.60442549487129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1.3596945791505279E-13</v>
      </c>
      <c r="P131" s="13">
        <f t="shared" si="87"/>
        <v>1.9708830566360721E-12</v>
      </c>
      <c r="Q131" s="20">
        <f t="shared" ref="Q131:Q153" si="108">(O131+P131)*0.475*44/12</f>
        <v>3.669434796176543E-12</v>
      </c>
      <c r="R131" s="59">
        <f t="shared" ref="R131:R194" si="109">Q131+(I131+J131)*44/12</f>
        <v>293.33333333333701</v>
      </c>
      <c r="S131" s="59">
        <f ca="1">AVERAGE(OFFSET($R$3,0,0,'Données projet'!$E$9+1,1))-AVERAGE(OFFSET($H$3,0,0,'Données projet'!$E$9+1,1))</f>
        <v>244.06766379043052</v>
      </c>
      <c r="T131" s="59">
        <f t="shared" si="88"/>
        <v>300.17085261974006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1.2459631030018243</v>
      </c>
      <c r="AA131" s="21">
        <f>EXP(-LN(2)/25)*AA130+(1-EXP(-LN(2)/25))/(LN(2)/25)*Calculateur!V131*Calculateur!X131*VLOOKUP('Données projet'!$B$9,Paramètres!$A$1:$I$89,3,0)*0.475*44/12</f>
        <v>0.56202746975948636</v>
      </c>
      <c r="AB131" s="21">
        <f>EXP(-LN(2)/2)*AB130+(1-EXP(-LN(2)/2))/(LN(2)/2)*V131*Y131*VLOOKUP('Données projet'!$B$9,Paramètres!$A$1:$I$89,3,0)*0.475*44/12</f>
        <v>2.0594626765532547E-14</v>
      </c>
      <c r="AC131" s="22">
        <f t="shared" si="57"/>
        <v>1.8079905727613312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2</v>
      </c>
      <c r="AI131" s="13">
        <f>IF('Données projet'!$A$62&gt;35,AI130+AH131-AQ130,IF(A131&lt;'Données projet'!$A$62,$AF$205^A131,IF(A131='Données projet'!$A$62,'Données projet'!$B$62,AI130+AH131-AQ130)))</f>
        <v>215.00000000000017</v>
      </c>
      <c r="AJ131" s="13">
        <f>AI131*VLOOKUP('Données projet'!$B$10,Paramètres!$A$1:$I$89,3,0)*VLOOKUP('Données projet'!$B$10,Paramètres!$A$1:$I$89,5,0)</f>
        <v>214.65600000000018</v>
      </c>
      <c r="AK131" s="13">
        <f t="shared" si="89"/>
        <v>52.951736650296638</v>
      </c>
      <c r="AL131" s="20">
        <f t="shared" si="58"/>
        <v>466.08347466593364</v>
      </c>
      <c r="AM131" s="59">
        <f t="shared" si="59"/>
        <v>759.41680799926689</v>
      </c>
      <c r="AN131" s="59">
        <f ca="1">AVERAGE(OFFSET($AM$3,0,0,'Données projet'!$E$10+1,1))-AVERAGE(OFFSET($H$3,0,0,'Données projet'!$E$10+1,1))</f>
        <v>260.68055529826694</v>
      </c>
      <c r="AO131" s="59">
        <f t="shared" si="90"/>
        <v>119.74772096645967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413.79146683076101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1.3596945791505279E-13</v>
      </c>
      <c r="P132" s="13">
        <f t="shared" si="87"/>
        <v>1.9708830566360721E-12</v>
      </c>
      <c r="Q132" s="20">
        <f t="shared" si="108"/>
        <v>3.669434796176543E-12</v>
      </c>
      <c r="R132" s="59">
        <f t="shared" si="109"/>
        <v>293.33333333333701</v>
      </c>
      <c r="S132" s="59">
        <f ca="1">AVERAGE(OFFSET($R$3,0,0,'Données projet'!$E$9+1,1))-AVERAGE(OFFSET($H$3,0,0,'Données projet'!$E$9+1,1))</f>
        <v>244.06766379043052</v>
      </c>
      <c r="T132" s="59">
        <f t="shared" si="88"/>
        <v>300.17085261974006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1.2215305265144114</v>
      </c>
      <c r="AA132" s="21">
        <f>EXP(-LN(2)/25)*AA131+(1-EXP(-LN(2)/25))/(LN(2)/25)*Calculateur!V132*Calculateur!X132*VLOOKUP('Données projet'!$B$9,Paramètres!$A$1:$I$89,3,0)*0.475*44/12</f>
        <v>0.54665879904317316</v>
      </c>
      <c r="AB132" s="21">
        <f>EXP(-LN(2)/2)*AB131+(1-EXP(-LN(2)/2))/(LN(2)/2)*V132*Y132*VLOOKUP('Données projet'!$B$9,Paramètres!$A$1:$I$89,3,0)*0.475*44/12</f>
        <v>1.4562600241914037E-14</v>
      </c>
      <c r="AC132" s="22">
        <f t="shared" ref="AC132:AC153" si="111">SUM(Z132:AB132)</f>
        <v>1.7681893255575991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2</v>
      </c>
      <c r="AI132" s="13">
        <f>IF('Données projet'!$A$62&gt;35,AI131+AH132-AQ131,IF(A132&lt;'Données projet'!$A$62,$AF$205^A132,IF(A132='Données projet'!$A$62,'Données projet'!$B$62,AI131+AH132-AQ131)))</f>
        <v>217.00000000000017</v>
      </c>
      <c r="AJ132" s="13">
        <f>AI132*VLOOKUP('Données projet'!$B$10,Paramètres!$A$1:$I$89,3,0)*VLOOKUP('Données projet'!$B$10,Paramètres!$A$1:$I$89,5,0)</f>
        <v>216.65280000000018</v>
      </c>
      <c r="AK132" s="13">
        <f t="shared" si="89"/>
        <v>53.38674047237987</v>
      </c>
      <c r="AL132" s="20">
        <f t="shared" ref="AL132:AL153" si="112">(AJ132+AK132)*0.475*44/12</f>
        <v>470.31886632272858</v>
      </c>
      <c r="AM132" s="59">
        <f t="shared" ref="AM132:AM195" si="113">AL132+(AD132+AE132)*44/12</f>
        <v>763.65219965606184</v>
      </c>
      <c r="AN132" s="59">
        <f ca="1">AVERAGE(OFFSET($AM$3,0,0,'Données projet'!$E$10+1,1))-AVERAGE(OFFSET($H$3,0,0,'Données projet'!$E$10+1,1))</f>
        <v>260.68055529826694</v>
      </c>
      <c r="AO132" s="59">
        <f t="shared" si="90"/>
        <v>119.74772096645967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414.97829522922581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1.3596945791505279E-13</v>
      </c>
      <c r="P133" s="13">
        <f t="shared" ref="P133:P196" si="141">EXP(-1.0587+0.8836*LN(O133)+0.284)</f>
        <v>1.9708830566360721E-12</v>
      </c>
      <c r="Q133" s="20">
        <f t="shared" si="108"/>
        <v>3.669434796176543E-12</v>
      </c>
      <c r="R133" s="59">
        <f t="shared" si="109"/>
        <v>293.33333333333701</v>
      </c>
      <c r="S133" s="59">
        <f ca="1">AVERAGE(OFFSET($R$3,0,0,'Données projet'!$E$9+1,1))-AVERAGE(OFFSET($H$3,0,0,'Données projet'!$E$9+1,1))</f>
        <v>244.06766379043052</v>
      </c>
      <c r="T133" s="59">
        <f t="shared" ref="T133:T196" si="142">$T$3</f>
        <v>300.17085261974006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1.1975770579495164</v>
      </c>
      <c r="AA133" s="21">
        <f>EXP(-LN(2)/25)*AA132+(1-EXP(-LN(2)/25))/(LN(2)/25)*Calculateur!V133*Calculateur!X133*VLOOKUP('Données projet'!$B$9,Paramètres!$A$1:$I$89,3,0)*0.475*44/12</f>
        <v>0.53171038543580074</v>
      </c>
      <c r="AB133" s="21">
        <f>EXP(-LN(2)/2)*AB132+(1-EXP(-LN(2)/2))/(LN(2)/2)*V133*Y133*VLOOKUP('Données projet'!$B$9,Paramètres!$A$1:$I$89,3,0)*0.475*44/12</f>
        <v>1.0297313382766274E-14</v>
      </c>
      <c r="AC133" s="22">
        <f t="shared" si="111"/>
        <v>1.7292874433853274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2</v>
      </c>
      <c r="AI133" s="13">
        <f>IF('Données projet'!$A$62&gt;35,AI132+AH133-AQ132,IF(A133&lt;'Données projet'!$A$62,$AF$205^A133,IF(A133='Données projet'!$A$62,'Données projet'!$B$62,AI132+AH133-AQ132)))</f>
        <v>219.00000000000017</v>
      </c>
      <c r="AJ133" s="13">
        <f>AI133*VLOOKUP('Données projet'!$B$10,Paramètres!$A$1:$I$89,3,0)*VLOOKUP('Données projet'!$B$10,Paramètres!$A$1:$I$89,5,0)</f>
        <v>218.64960000000019</v>
      </c>
      <c r="AK133" s="13">
        <f t="shared" ref="AK133:AK153" si="143">EXP(-1.0587+0.8836*LN(AJ133)+0.284)</f>
        <v>53.821277860805935</v>
      </c>
      <c r="AL133" s="20">
        <f t="shared" si="112"/>
        <v>474.55344560757061</v>
      </c>
      <c r="AM133" s="59">
        <f t="shared" si="113"/>
        <v>767.88677894090392</v>
      </c>
      <c r="AN133" s="59">
        <f ca="1">AVERAGE(OFFSET($AM$3,0,0,'Données projet'!$E$10+1,1))-AVERAGE(OFFSET($H$3,0,0,'Données projet'!$E$10+1,1))</f>
        <v>260.68055529826694</v>
      </c>
      <c r="AO133" s="59">
        <f t="shared" ref="AO133:AO196" si="144">$AO$3</f>
        <v>119.74772096645967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416.16491251812465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1.3596945791505279E-13</v>
      </c>
      <c r="P134" s="13">
        <f t="shared" si="141"/>
        <v>1.9708830566360721E-12</v>
      </c>
      <c r="Q134" s="20">
        <f t="shared" si="108"/>
        <v>3.669434796176543E-12</v>
      </c>
      <c r="R134" s="59">
        <f t="shared" si="109"/>
        <v>293.33333333333701</v>
      </c>
      <c r="S134" s="59">
        <f ca="1">AVERAGE(OFFSET($R$3,0,0,'Données projet'!$E$9+1,1))-AVERAGE(OFFSET($H$3,0,0,'Données projet'!$E$9+1,1))</f>
        <v>244.06766379043052</v>
      </c>
      <c r="T134" s="59">
        <f t="shared" si="142"/>
        <v>300.17085261974006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1.1740933022930058</v>
      </c>
      <c r="AA134" s="21">
        <f>EXP(-LN(2)/25)*AA133+(1-EXP(-LN(2)/25))/(LN(2)/25)*Calculateur!V134*Calculateur!X134*VLOOKUP('Données projet'!$B$9,Paramètres!$A$1:$I$89,3,0)*0.475*44/12</f>
        <v>0.51717073698462479</v>
      </c>
      <c r="AB134" s="21">
        <f>EXP(-LN(2)/2)*AB133+(1-EXP(-LN(2)/2))/(LN(2)/2)*V134*Y134*VLOOKUP('Données projet'!$B$9,Paramètres!$A$1:$I$89,3,0)*0.475*44/12</f>
        <v>7.2813001209570186E-15</v>
      </c>
      <c r="AC134" s="22">
        <f t="shared" si="111"/>
        <v>1.6912640392776379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2</v>
      </c>
      <c r="AI134" s="13">
        <f>IF('Données projet'!$A$62&gt;35,AI133+AH134-AQ133,IF(A134&lt;'Données projet'!$A$62,$AF$205^A134,IF(A134='Données projet'!$A$62,'Données projet'!$B$62,AI133+AH134-AQ133)))</f>
        <v>221.00000000000017</v>
      </c>
      <c r="AJ134" s="13">
        <f>AI134*VLOOKUP('Données projet'!$B$10,Paramètres!$A$1:$I$89,3,0)*VLOOKUP('Données projet'!$B$10,Paramètres!$A$1:$I$89,5,0)</f>
        <v>220.64640000000017</v>
      </c>
      <c r="AK134" s="13">
        <f t="shared" si="143"/>
        <v>54.255353568674366</v>
      </c>
      <c r="AL134" s="20">
        <f t="shared" si="112"/>
        <v>478.7872207987748</v>
      </c>
      <c r="AM134" s="59">
        <f t="shared" si="113"/>
        <v>772.12055413210805</v>
      </c>
      <c r="AN134" s="59">
        <f ca="1">AVERAGE(OFFSET($AM$3,0,0,'Données projet'!$E$10+1,1))-AVERAGE(OFFSET($H$3,0,0,'Données projet'!$E$10+1,1))</f>
        <v>260.68055529826694</v>
      </c>
      <c r="AO134" s="59">
        <f t="shared" si="144"/>
        <v>119.74772096645967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417.35132049579823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1.3596945791505279E-13</v>
      </c>
      <c r="P135" s="13">
        <f t="shared" si="141"/>
        <v>1.9708830566360721E-12</v>
      </c>
      <c r="Q135" s="20">
        <f t="shared" si="108"/>
        <v>3.669434796176543E-12</v>
      </c>
      <c r="R135" s="59">
        <f t="shared" si="109"/>
        <v>293.33333333333701</v>
      </c>
      <c r="S135" s="59">
        <f ca="1">AVERAGE(OFFSET($R$3,0,0,'Données projet'!$E$9+1,1))-AVERAGE(OFFSET($H$3,0,0,'Données projet'!$E$9+1,1))</f>
        <v>244.06766379043052</v>
      </c>
      <c r="T135" s="59">
        <f t="shared" si="142"/>
        <v>300.17085261974006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1.1510700487612429</v>
      </c>
      <c r="AA135" s="21">
        <f>EXP(-LN(2)/25)*AA134+(1-EXP(-LN(2)/25))/(LN(2)/25)*Calculateur!V135*Calculateur!X135*VLOOKUP('Données projet'!$B$9,Paramètres!$A$1:$I$89,3,0)*0.475*44/12</f>
        <v>0.50302867598495316</v>
      </c>
      <c r="AB135" s="21">
        <f>EXP(-LN(2)/2)*AB134+(1-EXP(-LN(2)/2))/(LN(2)/2)*V135*Y135*VLOOKUP('Données projet'!$B$9,Paramètres!$A$1:$I$89,3,0)*0.475*44/12</f>
        <v>5.1486566913831368E-15</v>
      </c>
      <c r="AC135" s="22">
        <f t="shared" si="111"/>
        <v>1.6540987247462011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2</v>
      </c>
      <c r="AI135" s="13">
        <f>IF('Données projet'!$A$62&gt;35,AI134+AH135-AQ134,IF(A135&lt;'Données projet'!$A$62,$AF$205^A135,IF(A135='Données projet'!$A$62,'Données projet'!$B$62,AI134+AH135-AQ134)))</f>
        <v>223.00000000000017</v>
      </c>
      <c r="AJ135" s="13">
        <f>AI135*VLOOKUP('Données projet'!$B$10,Paramètres!$A$1:$I$89,3,0)*VLOOKUP('Données projet'!$B$10,Paramètres!$A$1:$I$89,5,0)</f>
        <v>222.64320000000018</v>
      </c>
      <c r="AK135" s="13">
        <f t="shared" si="143"/>
        <v>54.688972258092925</v>
      </c>
      <c r="AL135" s="20">
        <f t="shared" si="112"/>
        <v>483.02020001617888</v>
      </c>
      <c r="AM135" s="59">
        <f t="shared" si="113"/>
        <v>776.35353334951219</v>
      </c>
      <c r="AN135" s="59">
        <f ca="1">AVERAGE(OFFSET($AM$3,0,0,'Données projet'!$E$10+1,1))-AVERAGE(OFFSET($H$3,0,0,'Données projet'!$E$10+1,1))</f>
        <v>260.68055529826694</v>
      </c>
      <c r="AO135" s="59">
        <f t="shared" si="144"/>
        <v>119.74772096645967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418.5375209317657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1.3596945791505279E-13</v>
      </c>
      <c r="P136" s="13">
        <f t="shared" si="141"/>
        <v>1.9708830566360721E-12</v>
      </c>
      <c r="Q136" s="20">
        <f t="shared" si="108"/>
        <v>3.669434796176543E-12</v>
      </c>
      <c r="R136" s="59">
        <f t="shared" si="109"/>
        <v>293.33333333333701</v>
      </c>
      <c r="S136" s="59">
        <f ca="1">AVERAGE(OFFSET($R$3,0,0,'Données projet'!$E$9+1,1))-AVERAGE(OFFSET($H$3,0,0,'Données projet'!$E$9+1,1))</f>
        <v>244.06766379043052</v>
      </c>
      <c r="T136" s="59">
        <f t="shared" si="142"/>
        <v>300.17085261974006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1.1284982671884396</v>
      </c>
      <c r="AA136" s="21">
        <f>EXP(-LN(2)/25)*AA135+(1-EXP(-LN(2)/25))/(LN(2)/25)*Calculateur!V136*Calculateur!X136*VLOOKUP('Données projet'!$B$9,Paramètres!$A$1:$I$89,3,0)*0.475*44/12</f>
        <v>0.4892733303870162</v>
      </c>
      <c r="AB136" s="21">
        <f>EXP(-LN(2)/2)*AB135+(1-EXP(-LN(2)/2))/(LN(2)/2)*V136*Y136*VLOOKUP('Données projet'!$B$9,Paramètres!$A$1:$I$89,3,0)*0.475*44/12</f>
        <v>3.6406500604785093E-15</v>
      </c>
      <c r="AC136" s="22">
        <f t="shared" si="111"/>
        <v>1.6177715975754594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2</v>
      </c>
      <c r="AI136" s="13">
        <f>IF('Données projet'!$A$62&gt;35,AI135+AH136-AQ135,IF(A136&lt;'Données projet'!$A$62,$AF$205^A136,IF(A136='Données projet'!$A$62,'Données projet'!$B$62,AI135+AH136-AQ135)))</f>
        <v>225.00000000000017</v>
      </c>
      <c r="AJ136" s="13">
        <f>AI136*VLOOKUP('Données projet'!$B$10,Paramètres!$A$1:$I$89,3,0)*VLOOKUP('Données projet'!$B$10,Paramètres!$A$1:$I$89,5,0)</f>
        <v>224.64000000000019</v>
      </c>
      <c r="AK136" s="13">
        <f t="shared" si="143"/>
        <v>55.122138502719949</v>
      </c>
      <c r="AL136" s="20">
        <f t="shared" si="112"/>
        <v>487.25239122557082</v>
      </c>
      <c r="AM136" s="59">
        <f t="shared" si="113"/>
        <v>780.58572455890408</v>
      </c>
      <c r="AN136" s="59">
        <f ca="1">AVERAGE(OFFSET($AM$3,0,0,'Données projet'!$E$10+1,1))-AVERAGE(OFFSET($H$3,0,0,'Données projet'!$E$10+1,1))</f>
        <v>260.68055529826694</v>
      </c>
      <c r="AO136" s="59">
        <f t="shared" si="144"/>
        <v>119.74772096645967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419.72351556739994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1.3596945791505279E-13</v>
      </c>
      <c r="P137" s="13">
        <f t="shared" si="141"/>
        <v>1.9708830566360721E-12</v>
      </c>
      <c r="Q137" s="20">
        <f t="shared" si="108"/>
        <v>3.669434796176543E-12</v>
      </c>
      <c r="R137" s="59">
        <f t="shared" si="109"/>
        <v>293.33333333333701</v>
      </c>
      <c r="S137" s="59">
        <f ca="1">AVERAGE(OFFSET($R$3,0,0,'Données projet'!$E$9+1,1))-AVERAGE(OFFSET($H$3,0,0,'Données projet'!$E$9+1,1))</f>
        <v>244.06766379043052</v>
      </c>
      <c r="T137" s="59">
        <f t="shared" si="142"/>
        <v>300.17085261974006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1.1063691044848518</v>
      </c>
      <c r="AA137" s="21">
        <f>EXP(-LN(2)/25)*AA136+(1-EXP(-LN(2)/25))/(LN(2)/25)*Calculateur!V137*Calculateur!X137*VLOOKUP('Données projet'!$B$9,Paramètres!$A$1:$I$89,3,0)*0.475*44/12</f>
        <v>0.47589412543781706</v>
      </c>
      <c r="AB137" s="21">
        <f>EXP(-LN(2)/2)*AB136+(1-EXP(-LN(2)/2))/(LN(2)/2)*V137*Y137*VLOOKUP('Données projet'!$B$9,Paramètres!$A$1:$I$89,3,0)*0.475*44/12</f>
        <v>2.5743283456915684E-15</v>
      </c>
      <c r="AC137" s="22">
        <f t="shared" si="111"/>
        <v>1.5822632299226715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2</v>
      </c>
      <c r="AI137" s="13">
        <f>IF('Données projet'!$A$62&gt;35,AI136+AH137-AQ136,IF(A137&lt;'Données projet'!$A$62,$AF$205^A137,IF(A137='Données projet'!$A$62,'Données projet'!$B$62,AI136+AH137-AQ136)))</f>
        <v>227.00000000000017</v>
      </c>
      <c r="AJ137" s="13">
        <f>AI137*VLOOKUP('Données projet'!$B$10,Paramètres!$A$1:$I$89,3,0)*VLOOKUP('Données projet'!$B$10,Paramètres!$A$1:$I$89,5,0)</f>
        <v>226.63680000000019</v>
      </c>
      <c r="AK137" s="13">
        <f t="shared" si="143"/>
        <v>55.554856790213258</v>
      </c>
      <c r="AL137" s="20">
        <f t="shared" si="112"/>
        <v>491.48380224295516</v>
      </c>
      <c r="AM137" s="59">
        <f t="shared" si="113"/>
        <v>784.81713557628848</v>
      </c>
      <c r="AN137" s="59">
        <f ca="1">AVERAGE(OFFSET($AM$3,0,0,'Données projet'!$E$10+1,1))-AVERAGE(OFFSET($H$3,0,0,'Données projet'!$E$10+1,1))</f>
        <v>260.68055529826694</v>
      </c>
      <c r="AO137" s="59">
        <f t="shared" si="144"/>
        <v>119.74772096645967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420.90930611658149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1.3596945791505279E-13</v>
      </c>
      <c r="P138" s="13">
        <f t="shared" si="141"/>
        <v>1.9708830566360721E-12</v>
      </c>
      <c r="Q138" s="20">
        <f t="shared" si="108"/>
        <v>3.669434796176543E-12</v>
      </c>
      <c r="R138" s="59">
        <f t="shared" si="109"/>
        <v>293.33333333333701</v>
      </c>
      <c r="S138" s="59">
        <f ca="1">AVERAGE(OFFSET($R$3,0,0,'Données projet'!$E$9+1,1))-AVERAGE(OFFSET($H$3,0,0,'Données projet'!$E$9+1,1))</f>
        <v>244.06766379043052</v>
      </c>
      <c r="T138" s="59">
        <f t="shared" si="142"/>
        <v>300.17085261974006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1.0846738811644248</v>
      </c>
      <c r="AA138" s="21">
        <f>EXP(-LN(2)/25)*AA137+(1-EXP(-LN(2)/25))/(LN(2)/25)*Calculateur!V138*Calculateur!X138*VLOOKUP('Données projet'!$B$9,Paramètres!$A$1:$I$89,3,0)*0.475*44/12</f>
        <v>0.46288077555153556</v>
      </c>
      <c r="AB138" s="21">
        <f>EXP(-LN(2)/2)*AB137+(1-EXP(-LN(2)/2))/(LN(2)/2)*V138*Y138*VLOOKUP('Données projet'!$B$9,Paramètres!$A$1:$I$89,3,0)*0.475*44/12</f>
        <v>1.8203250302392547E-15</v>
      </c>
      <c r="AC138" s="22">
        <f t="shared" si="111"/>
        <v>1.5475546567159622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>
        <f>VLOOKUP(A138,'Données projet'!$A$61:$I$81,2,0)</f>
        <v>229</v>
      </c>
      <c r="AG138" s="12">
        <f>VLOOKUP(A138,'Données projet'!$A$61:$I$81,9,0)</f>
        <v>2</v>
      </c>
      <c r="AH138" s="12">
        <f t="array" ref="AH138">INDEX(AG:AG,MIN(IF(ISNUMBER(AG138:AG334),ROW(AG138:AG334),"")))</f>
        <v>2</v>
      </c>
      <c r="AI138" s="13">
        <f>IF('Données projet'!$A$62&gt;35,AI137+AH138-AQ137,IF(A138&lt;'Données projet'!$A$62,$AF$205^A138,IF(A138='Données projet'!$A$62,'Données projet'!$B$62,AI137+AH138-AQ137)))</f>
        <v>229.00000000000017</v>
      </c>
      <c r="AJ138" s="13">
        <f>AI138*VLOOKUP('Données projet'!$B$10,Paramètres!$A$1:$I$89,3,0)*VLOOKUP('Données projet'!$B$10,Paramètres!$A$1:$I$89,5,0)</f>
        <v>228.6336000000002</v>
      </c>
      <c r="AK138" s="13">
        <f t="shared" si="143"/>
        <v>55.987131524590168</v>
      </c>
      <c r="AL138" s="20">
        <f t="shared" si="112"/>
        <v>495.71444073866155</v>
      </c>
      <c r="AM138" s="59">
        <f t="shared" si="113"/>
        <v>789.04777407199481</v>
      </c>
      <c r="AN138" s="59">
        <f ca="1">AVERAGE(OFFSET($AM$3,0,0,'Données projet'!$E$10+1,1))-AVERAGE(OFFSET($H$3,0,0,'Données projet'!$E$10+1,1))</f>
        <v>260.68055529826694</v>
      </c>
      <c r="AO138" s="59">
        <f t="shared" si="144"/>
        <v>119.74772096645967</v>
      </c>
      <c r="AP138" s="15">
        <f>IF(ISNA(VLOOKUP(A138,'Données projet'!$A$61:$I$81,3,0)),0,VLOOKUP(A138,'Données projet'!$A$61:$I$81,3,0))</f>
        <v>11</v>
      </c>
      <c r="AQ138" s="15">
        <f>IF(ISNA(VLOOKUP(A138,'Données projet'!$A$61:$I$81,4,0)),0,VLOOKUP(A138,'Données projet'!$A$61:$I$81,4,0))</f>
        <v>19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422.09489426633343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1.3596945791505279E-13</v>
      </c>
      <c r="P139" s="13">
        <f t="shared" si="141"/>
        <v>1.9708830566360721E-12</v>
      </c>
      <c r="Q139" s="20">
        <f t="shared" si="108"/>
        <v>3.669434796176543E-12</v>
      </c>
      <c r="R139" s="59">
        <f t="shared" si="109"/>
        <v>293.33333333333701</v>
      </c>
      <c r="S139" s="59">
        <f ca="1">AVERAGE(OFFSET($R$3,0,0,'Données projet'!$E$9+1,1))-AVERAGE(OFFSET($H$3,0,0,'Données projet'!$E$9+1,1))</f>
        <v>244.06766379043052</v>
      </c>
      <c r="T139" s="59">
        <f t="shared" si="142"/>
        <v>300.17085261974006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1.0634040879405318</v>
      </c>
      <c r="AA139" s="21">
        <f>EXP(-LN(2)/25)*AA138+(1-EXP(-LN(2)/25))/(LN(2)/25)*Calculateur!V139*Calculateur!X139*VLOOKUP('Données projet'!$B$9,Paramètres!$A$1:$I$89,3,0)*0.475*44/12</f>
        <v>0.45022327640223675</v>
      </c>
      <c r="AB139" s="21">
        <f>EXP(-LN(2)/2)*AB138+(1-EXP(-LN(2)/2))/(LN(2)/2)*V139*Y139*VLOOKUP('Données projet'!$B$9,Paramètres!$A$1:$I$89,3,0)*0.475*44/12</f>
        <v>1.2871641728457842E-15</v>
      </c>
      <c r="AC139" s="22">
        <f t="shared" si="111"/>
        <v>1.5136273643427698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1.6</v>
      </c>
      <c r="AI139" s="13">
        <f>IF('Données projet'!$A$62&gt;35,AI138+AH139-AQ138,IF(A139&lt;'Données projet'!$A$62,$AF$205^A139,IF(A139='Données projet'!$A$62,'Données projet'!$B$62,AI138+AH139-AQ138)))</f>
        <v>211.60000000000016</v>
      </c>
      <c r="AJ139" s="13">
        <f>AI139*VLOOKUP('Données projet'!$B$10,Paramètres!$A$1:$I$89,3,0)*VLOOKUP('Données projet'!$B$10,Paramètres!$A$1:$I$89,5,0)</f>
        <v>211.26144000000019</v>
      </c>
      <c r="AK139" s="13">
        <f t="shared" si="143"/>
        <v>52.211145921188461</v>
      </c>
      <c r="AL139" s="20">
        <f t="shared" si="112"/>
        <v>458.88142047940352</v>
      </c>
      <c r="AM139" s="59">
        <f t="shared" si="113"/>
        <v>752.21475381273683</v>
      </c>
      <c r="AN139" s="59">
        <f ca="1">AVERAGE(OFFSET($AM$3,0,0,'Données projet'!$E$10+1,1))-AVERAGE(OFFSET($H$3,0,0,'Données projet'!$E$10+1,1))</f>
        <v>260.68055529826694</v>
      </c>
      <c r="AO139" s="59">
        <f t="shared" si="144"/>
        <v>119.74772096645967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423.28028167743605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1.3596945791505279E-13</v>
      </c>
      <c r="P140" s="13">
        <f t="shared" si="141"/>
        <v>1.9708830566360721E-12</v>
      </c>
      <c r="Q140" s="20">
        <f t="shared" si="108"/>
        <v>3.669434796176543E-12</v>
      </c>
      <c r="R140" s="59">
        <f t="shared" si="109"/>
        <v>293.33333333333701</v>
      </c>
      <c r="S140" s="59">
        <f ca="1">AVERAGE(OFFSET($R$3,0,0,'Données projet'!$E$9+1,1))-AVERAGE(OFFSET($H$3,0,0,'Données projet'!$E$9+1,1))</f>
        <v>244.06766379043052</v>
      </c>
      <c r="T140" s="59">
        <f t="shared" si="142"/>
        <v>300.17085261974006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1.0425513823884665</v>
      </c>
      <c r="AA140" s="21">
        <f>EXP(-LN(2)/25)*AA139+(1-EXP(-LN(2)/25))/(LN(2)/25)*Calculateur!V140*Calculateur!X140*VLOOKUP('Données projet'!$B$9,Paramètres!$A$1:$I$89,3,0)*0.475*44/12</f>
        <v>0.43791189723280449</v>
      </c>
      <c r="AB140" s="21">
        <f>EXP(-LN(2)/2)*AB139+(1-EXP(-LN(2)/2))/(LN(2)/2)*V140*Y140*VLOOKUP('Données projet'!$B$9,Paramètres!$A$1:$I$89,3,0)*0.475*44/12</f>
        <v>9.1016251511962733E-16</v>
      </c>
      <c r="AC140" s="22">
        <f t="shared" si="111"/>
        <v>1.4804632796212718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1.6</v>
      </c>
      <c r="AI140" s="13">
        <f>IF('Données projet'!$A$62&gt;35,AI139+AH140-AQ139,IF(A140&lt;'Données projet'!$A$62,$AF$205^A140,IF(A140='Données projet'!$A$62,'Données projet'!$B$62,AI139+AH140-AQ139)))</f>
        <v>213.20000000000016</v>
      </c>
      <c r="AJ140" s="13">
        <f>AI140*VLOOKUP('Données projet'!$B$10,Paramètres!$A$1:$I$89,3,0)*VLOOKUP('Données projet'!$B$10,Paramètres!$A$1:$I$89,5,0)</f>
        <v>212.85888000000014</v>
      </c>
      <c r="AK140" s="13">
        <f t="shared" si="143"/>
        <v>52.559830405800632</v>
      </c>
      <c r="AL140" s="20">
        <f t="shared" si="112"/>
        <v>462.27092062343633</v>
      </c>
      <c r="AM140" s="59">
        <f t="shared" si="113"/>
        <v>755.60425395676964</v>
      </c>
      <c r="AN140" s="59">
        <f ca="1">AVERAGE(OFFSET($AM$3,0,0,'Données projet'!$E$10+1,1))-AVERAGE(OFFSET($H$3,0,0,'Données projet'!$E$10+1,1))</f>
        <v>260.68055529826694</v>
      </c>
      <c r="AO140" s="59">
        <f t="shared" si="144"/>
        <v>119.74772096645967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424.46546998502401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1.3596945791505279E-13</v>
      </c>
      <c r="P141" s="13">
        <f t="shared" si="141"/>
        <v>1.9708830566360721E-12</v>
      </c>
      <c r="Q141" s="20">
        <f t="shared" si="108"/>
        <v>3.669434796176543E-12</v>
      </c>
      <c r="R141" s="59">
        <f t="shared" si="109"/>
        <v>293.33333333333701</v>
      </c>
      <c r="S141" s="59">
        <f ca="1">AVERAGE(OFFSET($R$3,0,0,'Données projet'!$E$9+1,1))-AVERAGE(OFFSET($H$3,0,0,'Données projet'!$E$9+1,1))</f>
        <v>244.06766379043052</v>
      </c>
      <c r="T141" s="59">
        <f t="shared" si="142"/>
        <v>300.17085261974006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1.0221075856733826</v>
      </c>
      <c r="AA141" s="21">
        <f>EXP(-LN(2)/25)*AA140+(1-EXP(-LN(2)/25))/(LN(2)/25)*Calculateur!V141*Calculateur!X141*VLOOKUP('Données projet'!$B$9,Paramètres!$A$1:$I$89,3,0)*0.475*44/12</f>
        <v>0.42593717337418763</v>
      </c>
      <c r="AB141" s="21">
        <f>EXP(-LN(2)/2)*AB140+(1-EXP(-LN(2)/2))/(LN(2)/2)*V141*Y141*VLOOKUP('Données projet'!$B$9,Paramètres!$A$1:$I$89,3,0)*0.475*44/12</f>
        <v>6.435820864228921E-16</v>
      </c>
      <c r="AC141" s="22">
        <f t="shared" si="111"/>
        <v>1.4480447590475709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1.6</v>
      </c>
      <c r="AI141" s="13">
        <f>IF('Données projet'!$A$62&gt;35,AI140+AH141-AQ140,IF(A141&lt;'Données projet'!$A$62,$AF$205^A141,IF(A141='Données projet'!$A$62,'Données projet'!$B$62,AI140+AH141-AQ140)))</f>
        <v>214.80000000000015</v>
      </c>
      <c r="AJ141" s="13">
        <f>AI141*VLOOKUP('Données projet'!$B$10,Paramètres!$A$1:$I$89,3,0)*VLOOKUP('Données projet'!$B$10,Paramètres!$A$1:$I$89,5,0)</f>
        <v>214.45632000000015</v>
      </c>
      <c r="AK141" s="13">
        <f t="shared" si="143"/>
        <v>52.908210428463676</v>
      </c>
      <c r="AL141" s="20">
        <f t="shared" si="112"/>
        <v>465.65989049624113</v>
      </c>
      <c r="AM141" s="59">
        <f t="shared" si="113"/>
        <v>758.99322382957439</v>
      </c>
      <c r="AN141" s="59">
        <f ca="1">AVERAGE(OFFSET($AM$3,0,0,'Données projet'!$E$10+1,1))-AVERAGE(OFFSET($H$3,0,0,'Données projet'!$E$10+1,1))</f>
        <v>260.68055529826694</v>
      </c>
      <c r="AO141" s="59">
        <f t="shared" si="144"/>
        <v>119.74772096645967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425.6504607991651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1.3596945791505279E-13</v>
      </c>
      <c r="P142" s="13">
        <f t="shared" si="141"/>
        <v>1.9708830566360721E-12</v>
      </c>
      <c r="Q142" s="20">
        <f t="shared" si="108"/>
        <v>3.669434796176543E-12</v>
      </c>
      <c r="R142" s="59">
        <f t="shared" si="109"/>
        <v>293.33333333333701</v>
      </c>
      <c r="S142" s="59">
        <f ca="1">AVERAGE(OFFSET($R$3,0,0,'Données projet'!$E$9+1,1))-AVERAGE(OFFSET($H$3,0,0,'Données projet'!$E$9+1,1))</f>
        <v>244.06766379043052</v>
      </c>
      <c r="T142" s="59">
        <f t="shared" si="142"/>
        <v>300.17085261974006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1.0020646793423968</v>
      </c>
      <c r="AA142" s="21">
        <f>EXP(-LN(2)/25)*AA141+(1-EXP(-LN(2)/25))/(LN(2)/25)*Calculateur!V142*Calculateur!X142*VLOOKUP('Données projet'!$B$9,Paramètres!$A$1:$I$89,3,0)*0.475*44/12</f>
        <v>0.41428989896920804</v>
      </c>
      <c r="AB142" s="21">
        <f>EXP(-LN(2)/2)*AB141+(1-EXP(-LN(2)/2))/(LN(2)/2)*V142*Y142*VLOOKUP('Données projet'!$B$9,Paramètres!$A$1:$I$89,3,0)*0.475*44/12</f>
        <v>4.5508125755981366E-16</v>
      </c>
      <c r="AC142" s="22">
        <f t="shared" si="111"/>
        <v>1.4163545783116054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1.6</v>
      </c>
      <c r="AI142" s="13">
        <f>IF('Données projet'!$A$62&gt;35,AI141+AH142-AQ141,IF(A142&lt;'Données projet'!$A$62,$AF$205^A142,IF(A142='Données projet'!$A$62,'Données projet'!$B$62,AI141+AH142-AQ141)))</f>
        <v>216.40000000000015</v>
      </c>
      <c r="AJ142" s="13">
        <f>AI142*VLOOKUP('Données projet'!$B$10,Paramètres!$A$1:$I$89,3,0)*VLOOKUP('Données projet'!$B$10,Paramètres!$A$1:$I$89,5,0)</f>
        <v>216.05376000000015</v>
      </c>
      <c r="AK142" s="13">
        <f t="shared" si="143"/>
        <v>53.256288519980572</v>
      </c>
      <c r="AL142" s="20">
        <f t="shared" si="112"/>
        <v>469.04833450563302</v>
      </c>
      <c r="AM142" s="59">
        <f t="shared" si="113"/>
        <v>762.38166783896634</v>
      </c>
      <c r="AN142" s="59">
        <f ca="1">AVERAGE(OFFSET($AM$3,0,0,'Données projet'!$E$10+1,1))-AVERAGE(OFFSET($H$3,0,0,'Données projet'!$E$10+1,1))</f>
        <v>260.68055529826694</v>
      </c>
      <c r="AO142" s="59">
        <f t="shared" si="144"/>
        <v>119.74772096645967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426.8352557054219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1.3596945791505279E-13</v>
      </c>
      <c r="P143" s="13">
        <f t="shared" si="141"/>
        <v>1.9708830566360721E-12</v>
      </c>
      <c r="Q143" s="20">
        <f t="shared" si="108"/>
        <v>3.669434796176543E-12</v>
      </c>
      <c r="R143" s="59">
        <f t="shared" si="109"/>
        <v>293.33333333333701</v>
      </c>
      <c r="S143" s="59">
        <f ca="1">AVERAGE(OFFSET($R$3,0,0,'Données projet'!$E$9+1,1))-AVERAGE(OFFSET($H$3,0,0,'Données projet'!$E$9+1,1))</f>
        <v>244.06766379043052</v>
      </c>
      <c r="T143" s="59">
        <f t="shared" si="142"/>
        <v>300.17085261974006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0.98241480217959598</v>
      </c>
      <c r="AA143" s="21">
        <f>EXP(-LN(2)/25)*AA142+(1-EXP(-LN(2)/25))/(LN(2)/25)*Calculateur!V143*Calculateur!X143*VLOOKUP('Données projet'!$B$9,Paramètres!$A$1:$I$89,3,0)*0.475*44/12</f>
        <v>0.40296111989533612</v>
      </c>
      <c r="AB143" s="21">
        <f>EXP(-LN(2)/2)*AB142+(1-EXP(-LN(2)/2))/(LN(2)/2)*V143*Y143*VLOOKUP('Données projet'!$B$9,Paramètres!$A$1:$I$89,3,0)*0.475*44/12</f>
        <v>3.2179104321144605E-16</v>
      </c>
      <c r="AC143" s="22">
        <f t="shared" si="111"/>
        <v>1.3853759220749324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1.6</v>
      </c>
      <c r="AI143" s="13">
        <f>IF('Données projet'!$A$62&gt;35,AI142+AH143-AQ142,IF(A143&lt;'Données projet'!$A$62,$AF$205^A143,IF(A143='Données projet'!$A$62,'Données projet'!$B$62,AI142+AH143-AQ142)))</f>
        <v>218.00000000000014</v>
      </c>
      <c r="AJ143" s="13">
        <f>AI143*VLOOKUP('Données projet'!$B$10,Paramètres!$A$1:$I$89,3,0)*VLOOKUP('Données projet'!$B$10,Paramètres!$A$1:$I$89,5,0)</f>
        <v>217.65120000000016</v>
      </c>
      <c r="AK143" s="13">
        <f t="shared" si="143"/>
        <v>53.604067171568239</v>
      </c>
      <c r="AL143" s="20">
        <f t="shared" si="112"/>
        <v>472.43625699048158</v>
      </c>
      <c r="AM143" s="59">
        <f t="shared" si="113"/>
        <v>765.7695903238149</v>
      </c>
      <c r="AN143" s="59">
        <f ca="1">AVERAGE(OFFSET($AM$3,0,0,'Données projet'!$E$10+1,1))-AVERAGE(OFFSET($H$3,0,0,'Données projet'!$E$10+1,1))</f>
        <v>260.68055529826694</v>
      </c>
      <c r="AO143" s="59">
        <f t="shared" si="144"/>
        <v>119.74772096645967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428.01985626539732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1.3596945791505279E-13</v>
      </c>
      <c r="P144" s="13">
        <f t="shared" si="141"/>
        <v>1.9708830566360721E-12</v>
      </c>
      <c r="Q144" s="20">
        <f t="shared" si="108"/>
        <v>3.669434796176543E-12</v>
      </c>
      <c r="R144" s="59">
        <f t="shared" si="109"/>
        <v>293.33333333333701</v>
      </c>
      <c r="S144" s="59">
        <f ca="1">AVERAGE(OFFSET($R$3,0,0,'Données projet'!$E$9+1,1))-AVERAGE(OFFSET($H$3,0,0,'Données projet'!$E$9+1,1))</f>
        <v>244.06766379043052</v>
      </c>
      <c r="T144" s="59">
        <f t="shared" si="142"/>
        <v>300.17085261974006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0.96315024712271602</v>
      </c>
      <c r="AA144" s="21">
        <f>EXP(-LN(2)/25)*AA143+(1-EXP(-LN(2)/25))/(LN(2)/25)*Calculateur!V144*Calculateur!X144*VLOOKUP('Données projet'!$B$9,Paramètres!$A$1:$I$89,3,0)*0.475*44/12</f>
        <v>0.39194212688099384</v>
      </c>
      <c r="AB144" s="21">
        <f>EXP(-LN(2)/2)*AB143+(1-EXP(-LN(2)/2))/(LN(2)/2)*V144*Y144*VLOOKUP('Données projet'!$B$9,Paramètres!$A$1:$I$89,3,0)*0.475*44/12</f>
        <v>2.2754062877990683E-16</v>
      </c>
      <c r="AC144" s="22">
        <f t="shared" si="111"/>
        <v>1.35509237400371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1.6</v>
      </c>
      <c r="AI144" s="13">
        <f>IF('Données projet'!$A$62&gt;35,AI143+AH144-AQ143,IF(A144&lt;'Données projet'!$A$62,$AF$205^A144,IF(A144='Données projet'!$A$62,'Données projet'!$B$62,AI143+AH144-AQ143)))</f>
        <v>219.60000000000014</v>
      </c>
      <c r="AJ144" s="13">
        <f>AI144*VLOOKUP('Données projet'!$B$10,Paramètres!$A$1:$I$89,3,0)*VLOOKUP('Données projet'!$B$10,Paramètres!$A$1:$I$89,5,0)</f>
        <v>219.24864000000017</v>
      </c>
      <c r="AK144" s="13">
        <f t="shared" si="143"/>
        <v>53.951548835762523</v>
      </c>
      <c r="AL144" s="20">
        <f t="shared" si="112"/>
        <v>475.82366222228666</v>
      </c>
      <c r="AM144" s="59">
        <f t="shared" si="113"/>
        <v>769.15699555561991</v>
      </c>
      <c r="AN144" s="59">
        <f ca="1">AVERAGE(OFFSET($AM$3,0,0,'Données projet'!$E$10+1,1))-AVERAGE(OFFSET($H$3,0,0,'Données projet'!$E$10+1,1))</f>
        <v>260.68055529826694</v>
      </c>
      <c r="AO144" s="59">
        <f t="shared" si="144"/>
        <v>119.74772096645967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429.20426401726365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1.3596945791505279E-13</v>
      </c>
      <c r="P145" s="13">
        <f t="shared" si="141"/>
        <v>1.9708830566360721E-12</v>
      </c>
      <c r="Q145" s="20">
        <f t="shared" si="108"/>
        <v>3.669434796176543E-12</v>
      </c>
      <c r="R145" s="59">
        <f t="shared" si="109"/>
        <v>293.33333333333701</v>
      </c>
      <c r="S145" s="59">
        <f ca="1">AVERAGE(OFFSET($R$3,0,0,'Données projet'!$E$9+1,1))-AVERAGE(OFFSET($H$3,0,0,'Données projet'!$E$9+1,1))</f>
        <v>244.06766379043052</v>
      </c>
      <c r="T145" s="59">
        <f t="shared" si="142"/>
        <v>300.17085261974006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0.94426345824028313</v>
      </c>
      <c r="AA145" s="21">
        <f>EXP(-LN(2)/25)*AA144+(1-EXP(-LN(2)/25))/(LN(2)/25)*Calculateur!V145*Calculateur!X145*VLOOKUP('Données projet'!$B$9,Paramètres!$A$1:$I$89,3,0)*0.475*44/12</f>
        <v>0.38122444881009238</v>
      </c>
      <c r="AB145" s="21">
        <f>EXP(-LN(2)/2)*AB144+(1-EXP(-LN(2)/2))/(LN(2)/2)*V145*Y145*VLOOKUP('Données projet'!$B$9,Paramètres!$A$1:$I$89,3,0)*0.475*44/12</f>
        <v>1.6089552160572302E-16</v>
      </c>
      <c r="AC145" s="22">
        <f t="shared" si="111"/>
        <v>1.3254879070503758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1.6</v>
      </c>
      <c r="AI145" s="13">
        <f>IF('Données projet'!$A$62&gt;35,AI144+AH145-AQ144,IF(A145&lt;'Données projet'!$A$62,$AF$205^A145,IF(A145='Données projet'!$A$62,'Données projet'!$B$62,AI144+AH145-AQ144)))</f>
        <v>221.20000000000013</v>
      </c>
      <c r="AJ145" s="13">
        <f>AI145*VLOOKUP('Données projet'!$B$10,Paramètres!$A$1:$I$89,3,0)*VLOOKUP('Données projet'!$B$10,Paramètres!$A$1:$I$89,5,0)</f>
        <v>220.84608000000017</v>
      </c>
      <c r="AK145" s="13">
        <f t="shared" si="143"/>
        <v>54.298735927296065</v>
      </c>
      <c r="AL145" s="20">
        <f t="shared" si="112"/>
        <v>479.21055440670756</v>
      </c>
      <c r="AM145" s="59">
        <f t="shared" si="113"/>
        <v>772.54388774004087</v>
      </c>
      <c r="AN145" s="59">
        <f ca="1">AVERAGE(OFFSET($AM$3,0,0,'Données projet'!$E$10+1,1))-AVERAGE(OFFSET($H$3,0,0,'Données projet'!$E$10+1,1))</f>
        <v>260.68055529826694</v>
      </c>
      <c r="AO145" s="59">
        <f t="shared" si="144"/>
        <v>119.74772096645967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430.38848047627687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1.3596945791505279E-13</v>
      </c>
      <c r="P146" s="13">
        <f t="shared" si="141"/>
        <v>1.9708830566360721E-12</v>
      </c>
      <c r="Q146" s="20">
        <f t="shared" si="108"/>
        <v>3.669434796176543E-12</v>
      </c>
      <c r="R146" s="59">
        <f t="shared" si="109"/>
        <v>293.33333333333701</v>
      </c>
      <c r="S146" s="59">
        <f ca="1">AVERAGE(OFFSET($R$3,0,0,'Données projet'!$E$9+1,1))-AVERAGE(OFFSET($H$3,0,0,'Données projet'!$E$9+1,1))</f>
        <v>244.06766379043052</v>
      </c>
      <c r="T146" s="59">
        <f t="shared" si="142"/>
        <v>300.17085261974006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0.92574702776803097</v>
      </c>
      <c r="AA146" s="21">
        <f>EXP(-LN(2)/25)*AA145+(1-EXP(-LN(2)/25))/(LN(2)/25)*Calculateur!V146*Calculateur!X146*VLOOKUP('Données projet'!$B$9,Paramètres!$A$1:$I$89,3,0)*0.475*44/12</f>
        <v>0.37079984620965795</v>
      </c>
      <c r="AB146" s="21">
        <f>EXP(-LN(2)/2)*AB145+(1-EXP(-LN(2)/2))/(LN(2)/2)*V146*Y146*VLOOKUP('Données projet'!$B$9,Paramètres!$A$1:$I$89,3,0)*0.475*44/12</f>
        <v>1.1377031438995342E-16</v>
      </c>
      <c r="AC146" s="22">
        <f t="shared" si="111"/>
        <v>1.2965468739776891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1.6</v>
      </c>
      <c r="AI146" s="13">
        <f>IF('Données projet'!$A$62&gt;35,AI145+AH146-AQ145,IF(A146&lt;'Données projet'!$A$62,$AF$205^A146,IF(A146='Données projet'!$A$62,'Données projet'!$B$62,AI145+AH146-AQ145)))</f>
        <v>222.80000000000013</v>
      </c>
      <c r="AJ146" s="13">
        <f>AI146*VLOOKUP('Données projet'!$B$10,Paramètres!$A$1:$I$89,3,0)*VLOOKUP('Données projet'!$B$10,Paramètres!$A$1:$I$89,5,0)</f>
        <v>222.44352000000012</v>
      </c>
      <c r="AK146" s="13">
        <f t="shared" si="143"/>
        <v>54.645630823950093</v>
      </c>
      <c r="AL146" s="20">
        <f t="shared" si="112"/>
        <v>482.59693768504661</v>
      </c>
      <c r="AM146" s="59">
        <f t="shared" si="113"/>
        <v>775.93027101837993</v>
      </c>
      <c r="AN146" s="59">
        <f ca="1">AVERAGE(OFFSET($AM$3,0,0,'Données projet'!$E$10+1,1))-AVERAGE(OFFSET($H$3,0,0,'Données projet'!$E$10+1,1))</f>
        <v>260.68055529826694</v>
      </c>
      <c r="AO146" s="59">
        <f t="shared" si="144"/>
        <v>119.74772096645967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431.57250713527566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1.3596945791505279E-13</v>
      </c>
      <c r="P147" s="13">
        <f t="shared" si="141"/>
        <v>1.9708830566360721E-12</v>
      </c>
      <c r="Q147" s="20">
        <f t="shared" si="108"/>
        <v>3.669434796176543E-12</v>
      </c>
      <c r="R147" s="59">
        <f t="shared" si="109"/>
        <v>293.33333333333701</v>
      </c>
      <c r="S147" s="59">
        <f ca="1">AVERAGE(OFFSET($R$3,0,0,'Données projet'!$E$9+1,1))-AVERAGE(OFFSET($H$3,0,0,'Données projet'!$E$9+1,1))</f>
        <v>244.06766379043052</v>
      </c>
      <c r="T147" s="59">
        <f t="shared" si="142"/>
        <v>300.17085261974006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0.90759369320343231</v>
      </c>
      <c r="AA147" s="21">
        <f>EXP(-LN(2)/25)*AA146+(1-EXP(-LN(2)/25))/(LN(2)/25)*Calculateur!V147*Calculateur!X147*VLOOKUP('Données projet'!$B$9,Paramètres!$A$1:$I$89,3,0)*0.475*44/12</f>
        <v>0.36066030491553841</v>
      </c>
      <c r="AB147" s="21">
        <f>EXP(-LN(2)/2)*AB146+(1-EXP(-LN(2)/2))/(LN(2)/2)*V147*Y147*VLOOKUP('Données projet'!$B$9,Paramètres!$A$1:$I$89,3,0)*0.475*44/12</f>
        <v>8.0447760802861512E-17</v>
      </c>
      <c r="AC147" s="22">
        <f t="shared" si="111"/>
        <v>1.2682539981189707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1.6</v>
      </c>
      <c r="AI147" s="13">
        <f>IF('Données projet'!$A$62&gt;35,AI146+AH147-AQ146,IF(A147&lt;'Données projet'!$A$62,$AF$205^A147,IF(A147='Données projet'!$A$62,'Données projet'!$B$62,AI146+AH147-AQ146)))</f>
        <v>224.40000000000012</v>
      </c>
      <c r="AJ147" s="13">
        <f>AI147*VLOOKUP('Données projet'!$B$10,Paramètres!$A$1:$I$89,3,0)*VLOOKUP('Données projet'!$B$10,Paramètres!$A$1:$I$89,5,0)</f>
        <v>224.04096000000013</v>
      </c>
      <c r="AK147" s="13">
        <f t="shared" si="143"/>
        <v>54.992235867381282</v>
      </c>
      <c r="AL147" s="20">
        <f t="shared" si="112"/>
        <v>485.98281613568935</v>
      </c>
      <c r="AM147" s="59">
        <f t="shared" si="113"/>
        <v>779.31614946902266</v>
      </c>
      <c r="AN147" s="59">
        <f ca="1">AVERAGE(OFFSET($AM$3,0,0,'Données projet'!$E$10+1,1))-AVERAGE(OFFSET($H$3,0,0,'Données projet'!$E$10+1,1))</f>
        <v>260.68055529826694</v>
      </c>
      <c r="AO147" s="59">
        <f t="shared" si="144"/>
        <v>119.74772096645967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432.75634546516653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1.3596945791505279E-13</v>
      </c>
      <c r="P148" s="13">
        <f t="shared" si="141"/>
        <v>1.9708830566360721E-12</v>
      </c>
      <c r="Q148" s="20">
        <f t="shared" si="108"/>
        <v>3.669434796176543E-12</v>
      </c>
      <c r="R148" s="59">
        <f t="shared" si="109"/>
        <v>293.33333333333701</v>
      </c>
      <c r="S148" s="59">
        <f ca="1">AVERAGE(OFFSET($R$3,0,0,'Données projet'!$E$9+1,1))-AVERAGE(OFFSET($H$3,0,0,'Données projet'!$E$9+1,1))</f>
        <v>244.06766379043052</v>
      </c>
      <c r="T148" s="59">
        <f t="shared" si="142"/>
        <v>300.17085261974006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0.88979633445720463</v>
      </c>
      <c r="AA148" s="21">
        <f>EXP(-LN(2)/25)*AA147+(1-EXP(-LN(2)/25))/(LN(2)/25)*Calculateur!V148*Calculateur!X148*VLOOKUP('Données projet'!$B$9,Paramètres!$A$1:$I$89,3,0)*0.475*44/12</f>
        <v>0.35079802991132186</v>
      </c>
      <c r="AB148" s="21">
        <f>EXP(-LN(2)/2)*AB147+(1-EXP(-LN(2)/2))/(LN(2)/2)*V148*Y148*VLOOKUP('Données projet'!$B$9,Paramètres!$A$1:$I$89,3,0)*0.475*44/12</f>
        <v>5.6885157194976708E-17</v>
      </c>
      <c r="AC148" s="22">
        <f t="shared" si="111"/>
        <v>1.2405943643685264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>
        <f>VLOOKUP(A148,'Données projet'!$A$61:$I$81,2,0)</f>
        <v>226</v>
      </c>
      <c r="AG148" s="12">
        <f>VLOOKUP(A148,'Données projet'!$A$61:$I$81,9,0)</f>
        <v>1.6</v>
      </c>
      <c r="AH148" s="12">
        <f t="array" ref="AH148">INDEX(AG:AG,MIN(IF(ISNUMBER(AG148:AG344),ROW(AG148:AG344),"")))</f>
        <v>1.6</v>
      </c>
      <c r="AI148" s="13">
        <f>IF('Données projet'!$A$62&gt;35,AI147+AH148-AQ147,IF(A148&lt;'Données projet'!$A$62,$AF$205^A148,IF(A148='Données projet'!$A$62,'Données projet'!$B$62,AI147+AH148-AQ147)))</f>
        <v>226.00000000000011</v>
      </c>
      <c r="AJ148" s="13">
        <f>AI148*VLOOKUP('Données projet'!$B$10,Paramètres!$A$1:$I$89,3,0)*VLOOKUP('Données projet'!$B$10,Paramètres!$A$1:$I$89,5,0)</f>
        <v>225.63840000000013</v>
      </c>
      <c r="AK148" s="13">
        <f t="shared" si="143"/>
        <v>55.338553363923999</v>
      </c>
      <c r="AL148" s="20">
        <f t="shared" si="112"/>
        <v>489.36819377550114</v>
      </c>
      <c r="AM148" s="59">
        <f t="shared" si="113"/>
        <v>782.7015271088344</v>
      </c>
      <c r="AN148" s="59">
        <f ca="1">AVERAGE(OFFSET($AM$3,0,0,'Données projet'!$E$10+1,1))-AVERAGE(OFFSET($H$3,0,0,'Données projet'!$E$10+1,1))</f>
        <v>260.68055529826694</v>
      </c>
      <c r="AO148" s="59">
        <f t="shared" si="144"/>
        <v>119.74772096645967</v>
      </c>
      <c r="AP148" s="15">
        <f>IF(ISNA(VLOOKUP(A148,'Données projet'!$A$61:$I$81,3,0)),0,VLOOKUP(A148,'Données projet'!$A$61:$I$81,3,0))</f>
        <v>12</v>
      </c>
      <c r="AQ148" s="15">
        <f>IF(ISNA(VLOOKUP(A148,'Données projet'!$A$61:$I$81,4,0)),0,VLOOKUP(A148,'Données projet'!$A$61:$I$81,4,0))</f>
        <v>15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433.939996915395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1.3596945791505279E-13</v>
      </c>
      <c r="P149" s="13">
        <f t="shared" si="141"/>
        <v>1.9708830566360721E-12</v>
      </c>
      <c r="Q149" s="20">
        <f t="shared" si="108"/>
        <v>3.669434796176543E-12</v>
      </c>
      <c r="R149" s="59">
        <f t="shared" si="109"/>
        <v>293.33333333333701</v>
      </c>
      <c r="S149" s="59">
        <f ca="1">AVERAGE(OFFSET($R$3,0,0,'Données projet'!$E$9+1,1))-AVERAGE(OFFSET($H$3,0,0,'Données projet'!$E$9+1,1))</f>
        <v>244.06766379043052</v>
      </c>
      <c r="T149" s="59">
        <f t="shared" si="142"/>
        <v>300.17085261974006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0.87234797106067352</v>
      </c>
      <c r="AA149" s="21">
        <f>EXP(-LN(2)/25)*AA148+(1-EXP(-LN(2)/25))/(LN(2)/25)*Calculateur!V149*Calculateur!X149*VLOOKUP('Données projet'!$B$9,Paramètres!$A$1:$I$89,3,0)*0.475*44/12</f>
        <v>0.34120543933573011</v>
      </c>
      <c r="AB149" s="21">
        <f>EXP(-LN(2)/2)*AB148+(1-EXP(-LN(2)/2))/(LN(2)/2)*V149*Y149*VLOOKUP('Données projet'!$B$9,Paramètres!$A$1:$I$89,3,0)*0.475*44/12</f>
        <v>4.0223880401430756E-17</v>
      </c>
      <c r="AC149" s="22">
        <f t="shared" si="111"/>
        <v>1.2135534103964036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1.2</v>
      </c>
      <c r="AI149" s="13">
        <f>IF('Données projet'!$A$62&gt;35,AI148+AH149-AQ148,IF(A149&lt;'Données projet'!$A$62,$AF$205^A149,IF(A149='Données projet'!$A$62,'Données projet'!$B$62,AI148+AH149-AQ148)))</f>
        <v>212.2000000000001</v>
      </c>
      <c r="AJ149" s="13">
        <f>AI149*VLOOKUP('Données projet'!$B$10,Paramètres!$A$1:$I$89,3,0)*VLOOKUP('Données projet'!$B$10,Paramètres!$A$1:$I$89,5,0)</f>
        <v>211.86048000000014</v>
      </c>
      <c r="AK149" s="13">
        <f t="shared" si="143"/>
        <v>52.341938444376396</v>
      </c>
      <c r="AL149" s="20">
        <f t="shared" si="112"/>
        <v>460.15254545728908</v>
      </c>
      <c r="AM149" s="59">
        <f t="shared" si="113"/>
        <v>753.48587879062234</v>
      </c>
      <c r="AN149" s="59">
        <f ca="1">AVERAGE(OFFSET($AM$3,0,0,'Données projet'!$E$10+1,1))-AVERAGE(OFFSET($H$3,0,0,'Données projet'!$E$10+1,1))</f>
        <v>260.68055529826694</v>
      </c>
      <c r="AO149" s="59">
        <f t="shared" si="144"/>
        <v>119.74772096645967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435.12346291440332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1.3596945791505279E-13</v>
      </c>
      <c r="P150" s="13">
        <f t="shared" si="141"/>
        <v>1.9708830566360721E-12</v>
      </c>
      <c r="Q150" s="20">
        <f t="shared" si="108"/>
        <v>3.669434796176543E-12</v>
      </c>
      <c r="R150" s="59">
        <f t="shared" si="109"/>
        <v>293.33333333333701</v>
      </c>
      <c r="S150" s="59">
        <f ca="1">AVERAGE(OFFSET($R$3,0,0,'Données projet'!$E$9+1,1))-AVERAGE(OFFSET($H$3,0,0,'Données projet'!$E$9+1,1))</f>
        <v>244.06766379043052</v>
      </c>
      <c r="T150" s="59">
        <f t="shared" si="142"/>
        <v>300.17085261974006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0.8552417594278976</v>
      </c>
      <c r="AA150" s="21">
        <f>EXP(-LN(2)/25)*AA149+(1-EXP(-LN(2)/25))/(LN(2)/25)*Calculateur!V150*Calculateur!X150*VLOOKUP('Données projet'!$B$9,Paramètres!$A$1:$I$89,3,0)*0.475*44/12</f>
        <v>0.33187515865388034</v>
      </c>
      <c r="AB150" s="21">
        <f>EXP(-LN(2)/2)*AB149+(1-EXP(-LN(2)/2))/(LN(2)/2)*V150*Y150*VLOOKUP('Données projet'!$B$9,Paramètres!$A$1:$I$89,3,0)*0.475*44/12</f>
        <v>2.8442578597488354E-17</v>
      </c>
      <c r="AC150" s="22">
        <f t="shared" si="111"/>
        <v>1.187116918081778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1.2</v>
      </c>
      <c r="AI150" s="13">
        <f>IF('Données projet'!$A$62&gt;35,AI149+AH150-AQ149,IF(A150&lt;'Données projet'!$A$62,$AF$205^A150,IF(A150='Données projet'!$A$62,'Données projet'!$B$62,AI149+AH150-AQ149)))</f>
        <v>213.40000000000009</v>
      </c>
      <c r="AJ150" s="13">
        <f>AI150*VLOOKUP('Données projet'!$B$10,Paramètres!$A$1:$I$89,3,0)*VLOOKUP('Données projet'!$B$10,Paramètres!$A$1:$I$89,5,0)</f>
        <v>213.05856000000009</v>
      </c>
      <c r="AK150" s="13">
        <f t="shared" si="143"/>
        <v>52.603394506609462</v>
      </c>
      <c r="AL150" s="20">
        <f t="shared" si="112"/>
        <v>462.69457076567829</v>
      </c>
      <c r="AM150" s="59">
        <f t="shared" si="113"/>
        <v>756.02790409901161</v>
      </c>
      <c r="AN150" s="59">
        <f ca="1">AVERAGE(OFFSET($AM$3,0,0,'Données projet'!$E$10+1,1))-AVERAGE(OFFSET($H$3,0,0,'Données projet'!$E$10+1,1))</f>
        <v>260.68055529826694</v>
      </c>
      <c r="AO150" s="59">
        <f t="shared" si="144"/>
        <v>119.74772096645967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436.30674487007587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1.3596945791505279E-13</v>
      </c>
      <c r="P151" s="13">
        <f t="shared" si="141"/>
        <v>1.9708830566360721E-12</v>
      </c>
      <c r="Q151" s="20">
        <f t="shared" si="108"/>
        <v>3.669434796176543E-12</v>
      </c>
      <c r="R151" s="59">
        <f t="shared" si="109"/>
        <v>293.33333333333701</v>
      </c>
      <c r="S151" s="59">
        <f ca="1">AVERAGE(OFFSET($R$3,0,0,'Données projet'!$E$9+1,1))-AVERAGE(OFFSET($H$3,0,0,'Données projet'!$E$9+1,1))</f>
        <v>244.06766379043052</v>
      </c>
      <c r="T151" s="59">
        <f t="shared" si="142"/>
        <v>300.17085261974006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0.83847099017148152</v>
      </c>
      <c r="AA151" s="21">
        <f>EXP(-LN(2)/25)*AA150+(1-EXP(-LN(2)/25))/(LN(2)/25)*Calculateur!V151*Calculateur!X151*VLOOKUP('Données projet'!$B$9,Paramètres!$A$1:$I$89,3,0)*0.475*44/12</f>
        <v>0.32280001498793393</v>
      </c>
      <c r="AB151" s="21">
        <f>EXP(-LN(2)/2)*AB150+(1-EXP(-LN(2)/2))/(LN(2)/2)*V151*Y151*VLOOKUP('Données projet'!$B$9,Paramètres!$A$1:$I$89,3,0)*0.475*44/12</f>
        <v>2.0111940200715378E-17</v>
      </c>
      <c r="AC151" s="22">
        <f t="shared" si="111"/>
        <v>1.1612710051594155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1.2</v>
      </c>
      <c r="AI151" s="13">
        <f>IF('Données projet'!$A$62&gt;35,AI150+AH151-AQ150,IF(A151&lt;'Données projet'!$A$62,$AF$205^A151,IF(A151='Données projet'!$A$62,'Données projet'!$B$62,AI150+AH151-AQ150)))</f>
        <v>214.60000000000008</v>
      </c>
      <c r="AJ151" s="13">
        <f>AI151*VLOOKUP('Données projet'!$B$10,Paramètres!$A$1:$I$89,3,0)*VLOOKUP('Données projet'!$B$10,Paramètres!$A$1:$I$89,5,0)</f>
        <v>214.25664000000009</v>
      </c>
      <c r="AK151" s="13">
        <f t="shared" si="143"/>
        <v>52.864679489007237</v>
      </c>
      <c r="AL151" s="20">
        <f t="shared" si="112"/>
        <v>465.23629811002098</v>
      </c>
      <c r="AM151" s="59">
        <f t="shared" si="113"/>
        <v>758.5696314433543</v>
      </c>
      <c r="AN151" s="59">
        <f ca="1">AVERAGE(OFFSET($AM$3,0,0,'Données projet'!$E$10+1,1))-AVERAGE(OFFSET($H$3,0,0,'Données projet'!$E$10+1,1))</f>
        <v>260.68055529826694</v>
      </c>
      <c r="AO151" s="59">
        <f t="shared" si="144"/>
        <v>119.74772096645967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437.48984417017164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1.3596945791505279E-13</v>
      </c>
      <c r="P152" s="13">
        <f t="shared" si="141"/>
        <v>1.9708830566360721E-12</v>
      </c>
      <c r="Q152" s="20">
        <f t="shared" si="108"/>
        <v>3.669434796176543E-12</v>
      </c>
      <c r="R152" s="59">
        <f t="shared" si="109"/>
        <v>293.33333333333701</v>
      </c>
      <c r="S152" s="59">
        <f ca="1">AVERAGE(OFFSET($R$3,0,0,'Données projet'!$E$9+1,1))-AVERAGE(OFFSET($H$3,0,0,'Données projet'!$E$9+1,1))</f>
        <v>244.06766379043052</v>
      </c>
      <c r="T152" s="59">
        <f t="shared" si="142"/>
        <v>300.17085261974006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0.8220290854710246</v>
      </c>
      <c r="AA152" s="21">
        <f>EXP(-LN(2)/25)*AA151+(1-EXP(-LN(2)/25))/(LN(2)/25)*Calculateur!V152*Calculateur!X152*VLOOKUP('Données projet'!$B$9,Paramètres!$A$1:$I$89,3,0)*0.475*44/12</f>
        <v>0.31397303160277384</v>
      </c>
      <c r="AB152" s="21">
        <f>EXP(-LN(2)/2)*AB151+(1-EXP(-LN(2)/2))/(LN(2)/2)*V152*Y152*VLOOKUP('Données projet'!$B$9,Paramètres!$A$1:$I$89,3,0)*0.475*44/12</f>
        <v>1.4221289298744177E-17</v>
      </c>
      <c r="AC152" s="22">
        <f t="shared" si="111"/>
        <v>1.1360021170737984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1.2</v>
      </c>
      <c r="AI152" s="13">
        <f>IF('Données projet'!$A$62&gt;35,AI151+AH152-AQ151,IF(A152&lt;'Données projet'!$A$62,$AF$205^A152,IF(A152='Données projet'!$A$62,'Données projet'!$B$62,AI151+AH152-AQ151)))</f>
        <v>215.80000000000007</v>
      </c>
      <c r="AJ152" s="13">
        <f>AI152*VLOOKUP('Données projet'!$B$10,Paramètres!$A$1:$I$89,3,0)*VLOOKUP('Données projet'!$B$10,Paramètres!$A$1:$I$89,5,0)</f>
        <v>215.45472000000009</v>
      </c>
      <c r="AK152" s="13">
        <f t="shared" si="143"/>
        <v>53.125794459230718</v>
      </c>
      <c r="AL152" s="20">
        <f t="shared" si="112"/>
        <v>467.77772934982698</v>
      </c>
      <c r="AM152" s="59">
        <f t="shared" si="113"/>
        <v>761.1110626831603</v>
      </c>
      <c r="AN152" s="59">
        <f ca="1">AVERAGE(OFFSET($AM$3,0,0,'Données projet'!$E$10+1,1))-AVERAGE(OFFSET($H$3,0,0,'Données projet'!$E$10+1,1))</f>
        <v>260.68055529826694</v>
      </c>
      <c r="AO152" s="59">
        <f t="shared" si="144"/>
        <v>119.74772096645967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438.6727621827452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1.3596945791505279E-13</v>
      </c>
      <c r="P153" s="13">
        <f t="shared" si="141"/>
        <v>1.9708830566360721E-12</v>
      </c>
      <c r="Q153" s="20">
        <f t="shared" si="108"/>
        <v>3.669434796176543E-12</v>
      </c>
      <c r="R153" s="59">
        <f t="shared" si="109"/>
        <v>293.33333333333701</v>
      </c>
      <c r="S153" s="59">
        <f ca="1">AVERAGE(OFFSET($R$3,0,0,'Données projet'!$E$9+1,1))-AVERAGE(OFFSET($H$3,0,0,'Données projet'!$E$9+1,1))</f>
        <v>244.06766379043052</v>
      </c>
      <c r="T153" s="59">
        <f t="shared" si="142"/>
        <v>300.17085261974006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0.80590959649317195</v>
      </c>
      <c r="AA153" s="21">
        <f>EXP(-LN(2)/25)*AA152+(1-EXP(-LN(2)/25))/(LN(2)/25)*Calculateur!V153*Calculateur!X153*VLOOKUP('Données projet'!$B$9,Paramètres!$A$1:$I$89,3,0)*0.475*44/12</f>
        <v>0.30538742254247186</v>
      </c>
      <c r="AB153" s="21">
        <f>EXP(-LN(2)/2)*AB152+(1-EXP(-LN(2)/2))/(LN(2)/2)*V153*Y153*VLOOKUP('Données projet'!$B$9,Paramètres!$A$1:$I$89,3,0)*0.475*44/12</f>
        <v>1.0055970100357689E-17</v>
      </c>
      <c r="AC153" s="22">
        <f t="shared" si="111"/>
        <v>1.1112970190356437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217</v>
      </c>
      <c r="AG153" s="12">
        <f>VLOOKUP(A153,'Données projet'!$A$61:$I$81,9,0)</f>
        <v>1.2</v>
      </c>
      <c r="AH153" s="12">
        <f t="array" ref="AH153">INDEX(AG:AG,MIN(IF(ISNUMBER(AG153:AG349),ROW(AG153:AG349),"")))</f>
        <v>1.2</v>
      </c>
      <c r="AI153" s="13">
        <f>IF('Données projet'!$A$62&gt;35,AI152+AH153-AQ152,IF(A153&lt;'Données projet'!$A$62,$AF$205^A153,IF(A153='Données projet'!$A$62,'Données projet'!$B$62,AI152+AH153-AQ152)))</f>
        <v>217.00000000000006</v>
      </c>
      <c r="AJ153" s="13">
        <f>AI153*VLOOKUP('Données projet'!$B$10,Paramètres!$A$1:$I$89,3,0)*VLOOKUP('Données projet'!$B$10,Paramètres!$A$1:$I$89,5,0)</f>
        <v>216.6528000000001</v>
      </c>
      <c r="AK153" s="13">
        <f t="shared" si="143"/>
        <v>53.38674047237987</v>
      </c>
      <c r="AL153" s="20">
        <f t="shared" si="112"/>
        <v>470.31886632272835</v>
      </c>
      <c r="AM153" s="59">
        <f t="shared" si="113"/>
        <v>763.65219965606161</v>
      </c>
      <c r="AN153" s="59">
        <f ca="1">AVERAGE(OFFSET($AM$3,0,0,'Données projet'!$E$10+1,1))-AVERAGE(OFFSET($H$3,0,0,'Données projet'!$E$10+1,1))</f>
        <v>260.68055529826694</v>
      </c>
      <c r="AO153" s="59">
        <f t="shared" si="144"/>
        <v>119.74772096645967</v>
      </c>
      <c r="AP153" s="15">
        <f>IF(ISNA(VLOOKUP(A153,'Données projet'!$A$61:$I$81,3,0)),0,VLOOKUP(A153,'Données projet'!$A$61:$I$81,3,0))</f>
        <v>13</v>
      </c>
      <c r="AQ153" s="15">
        <f>IF(ISNA(VLOOKUP(A153,'Données projet'!$A$61:$I$81,4,0)),0,VLOOKUP(A153,'Données projet'!$A$61:$I$81,4,0))</f>
        <v>217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439.85550025655579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1.3596945791505279E-13</v>
      </c>
      <c r="P154" s="13">
        <f t="shared" si="141"/>
        <v>1.9708830566360721E-12</v>
      </c>
      <c r="Q154" s="20">
        <f t="shared" ref="Q154:Q203" si="162">(O154+P154)*0.475*44/12</f>
        <v>3.669434796176543E-12</v>
      </c>
      <c r="R154" s="59">
        <f t="shared" si="109"/>
        <v>293.33333333333701</v>
      </c>
      <c r="S154" s="59">
        <f ca="1">AVERAGE(OFFSET($R$3,0,0,'Données projet'!$E$9+1,1))-AVERAGE(OFFSET($H$3,0,0,'Données projet'!$E$9+1,1))</f>
        <v>244.06766379043052</v>
      </c>
      <c r="T154" s="59">
        <f t="shared" si="142"/>
        <v>300.17085261974006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0.79010620086225758</v>
      </c>
      <c r="AA154" s="21">
        <f>EXP(-LN(2)/25)*AA153+(1-EXP(-LN(2)/25))/(LN(2)/25)*Calculateur!V154*Calculateur!X154*VLOOKUP('Données projet'!$B$9,Paramètres!$A$1:$I$89,3,0)*0.475*44/12</f>
        <v>0.29703658741342137</v>
      </c>
      <c r="AB154" s="21">
        <f>EXP(-LN(2)/2)*AB153+(1-EXP(-LN(2)/2))/(LN(2)/2)*V154*Y154*VLOOKUP('Données projet'!$B$9,Paramètres!$A$1:$I$89,3,0)*0.475*44/12</f>
        <v>7.1106446493720885E-18</v>
      </c>
      <c r="AC154" s="22">
        <f t="shared" ref="AC154:AC203" si="163">SUM(Z154:AB154)</f>
        <v>1.087142788275679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5.6752469390630726E-14</v>
      </c>
      <c r="AK154" s="13">
        <f t="shared" ref="AK154:AK203" si="164">EXP(-1.0587+0.8836*LN(AJ154)+0.284)</f>
        <v>9.1069510357930921E-13</v>
      </c>
      <c r="AL154" s="20">
        <f t="shared" ref="AL154:AL203" si="165">(AJ154+AK154)*0.475*44/12</f>
        <v>1.6849711895893119E-12</v>
      </c>
      <c r="AM154" s="59">
        <f t="shared" si="113"/>
        <v>293.33333333333502</v>
      </c>
      <c r="AN154" s="59">
        <f ca="1">AVERAGE(OFFSET($AM$3,0,0,'Données projet'!$E$10+1,1))-AVERAGE(OFFSET($H$3,0,0,'Données projet'!$E$10+1,1))</f>
        <v>260.68055529826694</v>
      </c>
      <c r="AO154" s="59">
        <f t="shared" si="144"/>
        <v>119.74772096645967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441.03805972146552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1.3596945791505279E-13</v>
      </c>
      <c r="P155" s="13">
        <f t="shared" si="141"/>
        <v>1.9708830566360721E-12</v>
      </c>
      <c r="Q155" s="20">
        <f t="shared" si="162"/>
        <v>3.669434796176543E-12</v>
      </c>
      <c r="R155" s="59">
        <f t="shared" si="109"/>
        <v>293.33333333333701</v>
      </c>
      <c r="S155" s="59">
        <f ca="1">AVERAGE(OFFSET($R$3,0,0,'Données projet'!$E$9+1,1))-AVERAGE(OFFSET($H$3,0,0,'Données projet'!$E$9+1,1))</f>
        <v>244.06766379043052</v>
      </c>
      <c r="T155" s="59">
        <f t="shared" si="142"/>
        <v>300.17085261974006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0.77461270018054584</v>
      </c>
      <c r="AA155" s="21">
        <f>EXP(-LN(2)/25)*AA154+(1-EXP(-LN(2)/25))/(LN(2)/25)*Calculateur!V155*Calculateur!X155*VLOOKUP('Données projet'!$B$9,Paramètres!$A$1:$I$89,3,0)*0.475*44/12</f>
        <v>0.2889141063101261</v>
      </c>
      <c r="AB155" s="21">
        <f>EXP(-LN(2)/2)*AB154+(1-EXP(-LN(2)/2))/(LN(2)/2)*V155*Y155*VLOOKUP('Données projet'!$B$9,Paramètres!$A$1:$I$89,3,0)*0.475*44/12</f>
        <v>5.0279850501788445E-18</v>
      </c>
      <c r="AC155" s="22">
        <f t="shared" si="163"/>
        <v>1.063526806490672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5.6752469390630726E-14</v>
      </c>
      <c r="AK155" s="13">
        <f t="shared" si="164"/>
        <v>9.1069510357930921E-13</v>
      </c>
      <c r="AL155" s="20">
        <f t="shared" si="165"/>
        <v>1.6849711895893119E-12</v>
      </c>
      <c r="AM155" s="59">
        <f t="shared" si="113"/>
        <v>293.33333333333502</v>
      </c>
      <c r="AN155" s="59">
        <f ca="1">AVERAGE(OFFSET($AM$3,0,0,'Données projet'!$E$10+1,1))-AVERAGE(OFFSET($H$3,0,0,'Données projet'!$E$10+1,1))</f>
        <v>260.68055529826694</v>
      </c>
      <c r="AO155" s="59">
        <f t="shared" si="144"/>
        <v>119.74772096645967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442.22044188882654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1.3596945791505279E-13</v>
      </c>
      <c r="P156" s="13">
        <f t="shared" si="141"/>
        <v>1.9708830566360721E-12</v>
      </c>
      <c r="Q156" s="20">
        <f t="shared" si="162"/>
        <v>3.669434796176543E-12</v>
      </c>
      <c r="R156" s="59">
        <f t="shared" si="109"/>
        <v>293.33333333333701</v>
      </c>
      <c r="S156" s="59">
        <f ca="1">AVERAGE(OFFSET($R$3,0,0,'Données projet'!$E$9+1,1))-AVERAGE(OFFSET($H$3,0,0,'Données projet'!$E$9+1,1))</f>
        <v>244.06766379043052</v>
      </c>
      <c r="T156" s="59">
        <f t="shared" si="142"/>
        <v>300.17085261974006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0.75942301759710018</v>
      </c>
      <c r="AA156" s="21">
        <f>EXP(-LN(2)/25)*AA155+(1-EXP(-LN(2)/25))/(LN(2)/25)*Calculateur!V156*Calculateur!X156*VLOOKUP('Données projet'!$B$9,Paramètres!$A$1:$I$89,3,0)*0.475*44/12</f>
        <v>0.28101373487974318</v>
      </c>
      <c r="AB156" s="21">
        <f>EXP(-LN(2)/2)*AB155+(1-EXP(-LN(2)/2))/(LN(2)/2)*V156*Y156*VLOOKUP('Données projet'!$B$9,Paramètres!$A$1:$I$89,3,0)*0.475*44/12</f>
        <v>3.5553223246860442E-18</v>
      </c>
      <c r="AC156" s="22">
        <f t="shared" si="163"/>
        <v>1.0404367524768434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5.6752469390630726E-14</v>
      </c>
      <c r="AK156" s="13">
        <f t="shared" si="164"/>
        <v>9.1069510357930921E-13</v>
      </c>
      <c r="AL156" s="20">
        <f t="shared" si="165"/>
        <v>1.6849711895893119E-12</v>
      </c>
      <c r="AM156" s="59">
        <f t="shared" si="113"/>
        <v>293.33333333333502</v>
      </c>
      <c r="AN156" s="59">
        <f ca="1">AVERAGE(OFFSET($AM$3,0,0,'Données projet'!$E$10+1,1))-AVERAGE(OFFSET($H$3,0,0,'Données projet'!$E$10+1,1))</f>
        <v>260.68055529826694</v>
      </c>
      <c r="AO156" s="59">
        <f t="shared" si="144"/>
        <v>119.74772096645967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443.40264805185802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1.3596945791505279E-13</v>
      </c>
      <c r="P157" s="13">
        <f t="shared" si="141"/>
        <v>1.9708830566360721E-12</v>
      </c>
      <c r="Q157" s="20">
        <f t="shared" si="162"/>
        <v>3.669434796176543E-12</v>
      </c>
      <c r="R157" s="59">
        <f t="shared" si="109"/>
        <v>293.33333333333701</v>
      </c>
      <c r="S157" s="59">
        <f ca="1">AVERAGE(OFFSET($R$3,0,0,'Données projet'!$E$9+1,1))-AVERAGE(OFFSET($H$3,0,0,'Données projet'!$E$9+1,1))</f>
        <v>244.06766379043052</v>
      </c>
      <c r="T157" s="59">
        <f t="shared" si="142"/>
        <v>300.17085261974006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0.74453119542432433</v>
      </c>
      <c r="AA157" s="21">
        <f>EXP(-LN(2)/25)*AA156+(1-EXP(-LN(2)/25))/(LN(2)/25)*Calculateur!V157*Calculateur!X157*VLOOKUP('Données projet'!$B$9,Paramètres!$A$1:$I$89,3,0)*0.475*44/12</f>
        <v>0.27332939952158658</v>
      </c>
      <c r="AB157" s="21">
        <f>EXP(-LN(2)/2)*AB156+(1-EXP(-LN(2)/2))/(LN(2)/2)*V157*Y157*VLOOKUP('Données projet'!$B$9,Paramètres!$A$1:$I$89,3,0)*0.475*44/12</f>
        <v>2.5139925250894223E-18</v>
      </c>
      <c r="AC157" s="22">
        <f t="shared" si="163"/>
        <v>1.017860594945911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5.6752469390630726E-14</v>
      </c>
      <c r="AK157" s="13">
        <f t="shared" si="164"/>
        <v>9.1069510357930921E-13</v>
      </c>
      <c r="AL157" s="20">
        <f t="shared" si="165"/>
        <v>1.6849711895893119E-12</v>
      </c>
      <c r="AM157" s="59">
        <f t="shared" si="113"/>
        <v>293.33333333333502</v>
      </c>
      <c r="AN157" s="59">
        <f ca="1">AVERAGE(OFFSET($AM$3,0,0,'Données projet'!$E$10+1,1))-AVERAGE(OFFSET($H$3,0,0,'Données projet'!$E$10+1,1))</f>
        <v>260.68055529826694</v>
      </c>
      <c r="AO157" s="59">
        <f t="shared" si="144"/>
        <v>119.74772096645967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444.58467948601304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1.3596945791505279E-13</v>
      </c>
      <c r="P158" s="13">
        <f t="shared" si="141"/>
        <v>1.9708830566360721E-12</v>
      </c>
      <c r="Q158" s="20">
        <f t="shared" si="162"/>
        <v>3.669434796176543E-12</v>
      </c>
      <c r="R158" s="59">
        <f t="shared" si="109"/>
        <v>293.33333333333701</v>
      </c>
      <c r="S158" s="59">
        <f ca="1">AVERAGE(OFFSET($R$3,0,0,'Données projet'!$E$9+1,1))-AVERAGE(OFFSET($H$3,0,0,'Données projet'!$E$9+1,1))</f>
        <v>244.06766379043052</v>
      </c>
      <c r="T158" s="59">
        <f t="shared" si="142"/>
        <v>300.17085261974006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0.72993139280124197</v>
      </c>
      <c r="AA158" s="21">
        <f>EXP(-LN(2)/25)*AA157+(1-EXP(-LN(2)/25))/(LN(2)/25)*Calculateur!V158*Calculateur!X158*VLOOKUP('Données projet'!$B$9,Paramètres!$A$1:$I$89,3,0)*0.475*44/12</f>
        <v>0.26585519271790037</v>
      </c>
      <c r="AB158" s="21">
        <f>EXP(-LN(2)/2)*AB157+(1-EXP(-LN(2)/2))/(LN(2)/2)*V158*Y158*VLOOKUP('Données projet'!$B$9,Paramètres!$A$1:$I$89,3,0)*0.475*44/12</f>
        <v>1.7776611623430221E-18</v>
      </c>
      <c r="AC158" s="22">
        <f t="shared" si="163"/>
        <v>0.99578658551914234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5.6752469390630726E-14</v>
      </c>
      <c r="AK158" s="13">
        <f t="shared" si="164"/>
        <v>9.1069510357930921E-13</v>
      </c>
      <c r="AL158" s="20">
        <f t="shared" si="165"/>
        <v>1.6849711895893119E-12</v>
      </c>
      <c r="AM158" s="59">
        <f t="shared" si="113"/>
        <v>293.33333333333502</v>
      </c>
      <c r="AN158" s="59">
        <f ca="1">AVERAGE(OFFSET($AM$3,0,0,'Données projet'!$E$10+1,1))-AVERAGE(OFFSET($H$3,0,0,'Données projet'!$E$10+1,1))</f>
        <v>260.68055529826694</v>
      </c>
      <c r="AO158" s="59">
        <f t="shared" si="144"/>
        <v>119.74772096645967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445.76653744933537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1.3596945791505279E-13</v>
      </c>
      <c r="P159" s="13">
        <f t="shared" si="141"/>
        <v>1.9708830566360721E-12</v>
      </c>
      <c r="Q159" s="20">
        <f t="shared" si="162"/>
        <v>3.669434796176543E-12</v>
      </c>
      <c r="R159" s="59">
        <f t="shared" si="109"/>
        <v>293.33333333333701</v>
      </c>
      <c r="S159" s="59">
        <f ca="1">AVERAGE(OFFSET($R$3,0,0,'Données projet'!$E$9+1,1))-AVERAGE(OFFSET($H$3,0,0,'Données projet'!$E$9+1,1))</f>
        <v>244.06766379043052</v>
      </c>
      <c r="T159" s="59">
        <f t="shared" si="142"/>
        <v>300.17085261974006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0.71561788340259802</v>
      </c>
      <c r="AA159" s="21">
        <f>EXP(-LN(2)/25)*AA158+(1-EXP(-LN(2)/25))/(LN(2)/25)*Calculateur!V159*Calculateur!X159*VLOOKUP('Données projet'!$B$9,Paramètres!$A$1:$I$89,3,0)*0.475*44/12</f>
        <v>0.2585853684923124</v>
      </c>
      <c r="AB159" s="21">
        <f>EXP(-LN(2)/2)*AB158+(1-EXP(-LN(2)/2))/(LN(2)/2)*V159*Y159*VLOOKUP('Données projet'!$B$9,Paramètres!$A$1:$I$89,3,0)*0.475*44/12</f>
        <v>1.2569962625447111E-18</v>
      </c>
      <c r="AC159" s="22">
        <f t="shared" si="163"/>
        <v>0.97420325189491042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5.6752469390630726E-14</v>
      </c>
      <c r="AK159" s="13">
        <f t="shared" si="164"/>
        <v>9.1069510357930921E-13</v>
      </c>
      <c r="AL159" s="20">
        <f t="shared" si="165"/>
        <v>1.6849711895893119E-12</v>
      </c>
      <c r="AM159" s="59">
        <f t="shared" si="113"/>
        <v>293.33333333333502</v>
      </c>
      <c r="AN159" s="59">
        <f ca="1">AVERAGE(OFFSET($AM$3,0,0,'Données projet'!$E$10+1,1))-AVERAGE(OFFSET($H$3,0,0,'Données projet'!$E$10+1,1))</f>
        <v>260.68055529826694</v>
      </c>
      <c r="AO159" s="59">
        <f t="shared" si="144"/>
        <v>119.74772096645967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446.94822318280762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1.3596945791505279E-13</v>
      </c>
      <c r="P160" s="13">
        <f t="shared" si="141"/>
        <v>1.9708830566360721E-12</v>
      </c>
      <c r="Q160" s="20">
        <f t="shared" si="162"/>
        <v>3.669434796176543E-12</v>
      </c>
      <c r="R160" s="59">
        <f t="shared" si="109"/>
        <v>293.33333333333701</v>
      </c>
      <c r="S160" s="59">
        <f ca="1">AVERAGE(OFFSET($R$3,0,0,'Données projet'!$E$9+1,1))-AVERAGE(OFFSET($H$3,0,0,'Données projet'!$E$9+1,1))</f>
        <v>244.06766379043052</v>
      </c>
      <c r="T160" s="59">
        <f t="shared" si="142"/>
        <v>300.17085261974006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0.70158505319288278</v>
      </c>
      <c r="AA160" s="21">
        <f>EXP(-LN(2)/25)*AA159+(1-EXP(-LN(2)/25))/(LN(2)/25)*Calculateur!V160*Calculateur!X160*VLOOKUP('Données projet'!$B$9,Paramètres!$A$1:$I$89,3,0)*0.475*44/12</f>
        <v>0.25151433799247658</v>
      </c>
      <c r="AB160" s="21">
        <f>EXP(-LN(2)/2)*AB159+(1-EXP(-LN(2)/2))/(LN(2)/2)*V160*Y160*VLOOKUP('Données projet'!$B$9,Paramètres!$A$1:$I$89,3,0)*0.475*44/12</f>
        <v>8.8883058117151106E-19</v>
      </c>
      <c r="AC160" s="22">
        <f t="shared" si="163"/>
        <v>0.95309939118535936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5.6752469390630726E-14</v>
      </c>
      <c r="AK160" s="13">
        <f t="shared" si="164"/>
        <v>9.1069510357930921E-13</v>
      </c>
      <c r="AL160" s="20">
        <f t="shared" si="165"/>
        <v>1.6849711895893119E-12</v>
      </c>
      <c r="AM160" s="59">
        <f t="shared" si="113"/>
        <v>293.33333333333502</v>
      </c>
      <c r="AN160" s="59">
        <f ca="1">AVERAGE(OFFSET($AM$3,0,0,'Données projet'!$E$10+1,1))-AVERAGE(OFFSET($H$3,0,0,'Données projet'!$E$10+1,1))</f>
        <v>260.68055529826694</v>
      </c>
      <c r="AO160" s="59">
        <f t="shared" si="144"/>
        <v>119.74772096645967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448.12973791068919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1.3596945791505279E-13</v>
      </c>
      <c r="P161" s="13">
        <f t="shared" si="141"/>
        <v>1.9708830566360721E-12</v>
      </c>
      <c r="Q161" s="20">
        <f t="shared" si="162"/>
        <v>3.669434796176543E-12</v>
      </c>
      <c r="R161" s="59">
        <f t="shared" si="109"/>
        <v>293.33333333333701</v>
      </c>
      <c r="S161" s="59">
        <f ca="1">AVERAGE(OFFSET($R$3,0,0,'Données projet'!$E$9+1,1))-AVERAGE(OFFSET($H$3,0,0,'Données projet'!$E$9+1,1))</f>
        <v>244.06766379043052</v>
      </c>
      <c r="T161" s="59">
        <f t="shared" si="142"/>
        <v>300.17085261974006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0.68782739822439876</v>
      </c>
      <c r="AA161" s="21">
        <f>EXP(-LN(2)/25)*AA160+(1-EXP(-LN(2)/25))/(LN(2)/25)*Calculateur!V161*Calculateur!X161*VLOOKUP('Données projet'!$B$9,Paramètres!$A$1:$I$89,3,0)*0.475*44/12</f>
        <v>0.2446366651935081</v>
      </c>
      <c r="AB161" s="21">
        <f>EXP(-LN(2)/2)*AB160+(1-EXP(-LN(2)/2))/(LN(2)/2)*V161*Y161*VLOOKUP('Données projet'!$B$9,Paramètres!$A$1:$I$89,3,0)*0.475*44/12</f>
        <v>6.2849813127235556E-19</v>
      </c>
      <c r="AC161" s="22">
        <f t="shared" si="163"/>
        <v>0.93246406341790689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5.6752469390630726E-14</v>
      </c>
      <c r="AK161" s="13">
        <f t="shared" si="164"/>
        <v>9.1069510357930921E-13</v>
      </c>
      <c r="AL161" s="20">
        <f t="shared" si="165"/>
        <v>1.6849711895893119E-12</v>
      </c>
      <c r="AM161" s="59">
        <f t="shared" si="113"/>
        <v>293.33333333333502</v>
      </c>
      <c r="AN161" s="59">
        <f ca="1">AVERAGE(OFFSET($AM$3,0,0,'Données projet'!$E$10+1,1))-AVERAGE(OFFSET($H$3,0,0,'Données projet'!$E$10+1,1))</f>
        <v>260.68055529826694</v>
      </c>
      <c r="AO161" s="59">
        <f t="shared" si="144"/>
        <v>119.74772096645967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449.31108284084667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1.3596945791505279E-13</v>
      </c>
      <c r="P162" s="13">
        <f t="shared" si="141"/>
        <v>1.9708830566360721E-12</v>
      </c>
      <c r="Q162" s="20">
        <f t="shared" si="162"/>
        <v>3.669434796176543E-12</v>
      </c>
      <c r="R162" s="59">
        <f t="shared" si="109"/>
        <v>293.33333333333701</v>
      </c>
      <c r="S162" s="59">
        <f ca="1">AVERAGE(OFFSET($R$3,0,0,'Données projet'!$E$9+1,1))-AVERAGE(OFFSET($H$3,0,0,'Données projet'!$E$9+1,1))</f>
        <v>244.06766379043052</v>
      </c>
      <c r="T162" s="59">
        <f t="shared" si="142"/>
        <v>300.17085261974006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0.6743395224785057</v>
      </c>
      <c r="AA162" s="21">
        <f>EXP(-LN(2)/25)*AA161+(1-EXP(-LN(2)/25))/(LN(2)/25)*Calculateur!V162*Calculateur!X162*VLOOKUP('Données projet'!$B$9,Paramètres!$A$1:$I$89,3,0)*0.475*44/12</f>
        <v>0.23794706271890853</v>
      </c>
      <c r="AB162" s="21">
        <f>EXP(-LN(2)/2)*AB161+(1-EXP(-LN(2)/2))/(LN(2)/2)*V162*Y162*VLOOKUP('Données projet'!$B$9,Paramètres!$A$1:$I$89,3,0)*0.475*44/12</f>
        <v>4.4441529058575553E-19</v>
      </c>
      <c r="AC162" s="22">
        <f t="shared" si="163"/>
        <v>0.91228658519741423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5.6752469390630726E-14</v>
      </c>
      <c r="AK162" s="13">
        <f t="shared" si="164"/>
        <v>9.1069510357930921E-13</v>
      </c>
      <c r="AL162" s="20">
        <f t="shared" si="165"/>
        <v>1.6849711895893119E-12</v>
      </c>
      <c r="AM162" s="59">
        <f t="shared" si="113"/>
        <v>293.33333333333502</v>
      </c>
      <c r="AN162" s="59">
        <f ca="1">AVERAGE(OFFSET($AM$3,0,0,'Données projet'!$E$10+1,1))-AVERAGE(OFFSET($H$3,0,0,'Données projet'!$E$10+1,1))</f>
        <v>260.68055529826694</v>
      </c>
      <c r="AO162" s="59">
        <f t="shared" si="144"/>
        <v>119.74772096645967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450.4922591650743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1.3596945791505279E-13</v>
      </c>
      <c r="P163" s="13">
        <f t="shared" si="141"/>
        <v>1.9708830566360721E-12</v>
      </c>
      <c r="Q163" s="20">
        <f t="shared" si="162"/>
        <v>3.669434796176543E-12</v>
      </c>
      <c r="R163" s="59">
        <f t="shared" si="109"/>
        <v>293.33333333333701</v>
      </c>
      <c r="S163" s="59">
        <f ca="1">AVERAGE(OFFSET($R$3,0,0,'Données projet'!$E$9+1,1))-AVERAGE(OFFSET($H$3,0,0,'Données projet'!$E$9+1,1))</f>
        <v>244.06766379043052</v>
      </c>
      <c r="T163" s="59">
        <f t="shared" si="142"/>
        <v>300.17085261974006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0.66111613574919781</v>
      </c>
      <c r="AA163" s="21">
        <f>EXP(-LN(2)/25)*AA162+(1-EXP(-LN(2)/25))/(LN(2)/25)*Calculateur!V163*Calculateur!X163*VLOOKUP('Données projet'!$B$9,Paramètres!$A$1:$I$89,3,0)*0.475*44/12</f>
        <v>0.23144038777576778</v>
      </c>
      <c r="AB163" s="21">
        <f>EXP(-LN(2)/2)*AB162+(1-EXP(-LN(2)/2))/(LN(2)/2)*V163*Y163*VLOOKUP('Données projet'!$B$9,Paramètres!$A$1:$I$89,3,0)*0.475*44/12</f>
        <v>3.1424906563617778E-19</v>
      </c>
      <c r="AC163" s="22">
        <f t="shared" si="163"/>
        <v>0.89255652352496562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5.6752469390630726E-14</v>
      </c>
      <c r="AK163" s="13">
        <f t="shared" si="164"/>
        <v>9.1069510357930921E-13</v>
      </c>
      <c r="AL163" s="20">
        <f t="shared" si="165"/>
        <v>1.6849711895893119E-12</v>
      </c>
      <c r="AM163" s="59">
        <f t="shared" si="113"/>
        <v>293.33333333333502</v>
      </c>
      <c r="AN163" s="59">
        <f ca="1">AVERAGE(OFFSET($AM$3,0,0,'Données projet'!$E$10+1,1))-AVERAGE(OFFSET($H$3,0,0,'Données projet'!$E$10+1,1))</f>
        <v>260.68055529826694</v>
      </c>
      <c r="AO163" s="59">
        <f t="shared" si="144"/>
        <v>119.74772096645967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451.67326805940763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1.3596945791505279E-13</v>
      </c>
      <c r="P164" s="13">
        <f t="shared" si="141"/>
        <v>1.9708830566360721E-12</v>
      </c>
      <c r="Q164" s="20">
        <f t="shared" si="162"/>
        <v>3.669434796176543E-12</v>
      </c>
      <c r="R164" s="59">
        <f t="shared" si="109"/>
        <v>293.33333333333701</v>
      </c>
      <c r="S164" s="59">
        <f ca="1">AVERAGE(OFFSET($R$3,0,0,'Données projet'!$E$9+1,1))-AVERAGE(OFFSET($H$3,0,0,'Données projet'!$E$9+1,1))</f>
        <v>244.06766379043052</v>
      </c>
      <c r="T164" s="59">
        <f t="shared" si="142"/>
        <v>300.17085261974006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0.64815205156818212</v>
      </c>
      <c r="AA164" s="21">
        <f>EXP(-LN(2)/25)*AA163+(1-EXP(-LN(2)/25))/(LN(2)/25)*Calculateur!V164*Calculateur!X164*VLOOKUP('Données projet'!$B$9,Paramètres!$A$1:$I$89,3,0)*0.475*44/12</f>
        <v>0.22511163820111837</v>
      </c>
      <c r="AB164" s="21">
        <f>EXP(-LN(2)/2)*AB163+(1-EXP(-LN(2)/2))/(LN(2)/2)*V164*Y164*VLOOKUP('Données projet'!$B$9,Paramètres!$A$1:$I$89,3,0)*0.475*44/12</f>
        <v>2.2220764529287777E-19</v>
      </c>
      <c r="AC164" s="22">
        <f t="shared" si="163"/>
        <v>0.87326368976930047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5.6752469390630726E-14</v>
      </c>
      <c r="AK164" s="13">
        <f t="shared" si="164"/>
        <v>9.1069510357930921E-13</v>
      </c>
      <c r="AL164" s="20">
        <f t="shared" si="165"/>
        <v>1.6849711895893119E-12</v>
      </c>
      <c r="AM164" s="59">
        <f t="shared" si="113"/>
        <v>293.33333333333502</v>
      </c>
      <c r="AN164" s="59">
        <f ca="1">AVERAGE(OFFSET($AM$3,0,0,'Données projet'!$E$10+1,1))-AVERAGE(OFFSET($H$3,0,0,'Données projet'!$E$10+1,1))</f>
        <v>260.68055529826694</v>
      </c>
      <c r="AO164" s="59">
        <f t="shared" si="144"/>
        <v>119.74772096645967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452.85411068442789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1.3596945791505279E-13</v>
      </c>
      <c r="P165" s="13">
        <f t="shared" si="141"/>
        <v>1.9708830566360721E-12</v>
      </c>
      <c r="Q165" s="20">
        <f t="shared" si="162"/>
        <v>3.669434796176543E-12</v>
      </c>
      <c r="R165" s="59">
        <f t="shared" si="109"/>
        <v>293.33333333333701</v>
      </c>
      <c r="S165" s="59">
        <f ca="1">AVERAGE(OFFSET($R$3,0,0,'Données projet'!$E$9+1,1))-AVERAGE(OFFSET($H$3,0,0,'Données projet'!$E$9+1,1))</f>
        <v>244.06766379043052</v>
      </c>
      <c r="T165" s="59">
        <f t="shared" si="142"/>
        <v>300.17085261974006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0.63544218517064555</v>
      </c>
      <c r="AA165" s="21">
        <f>EXP(-LN(2)/25)*AA164+(1-EXP(-LN(2)/25))/(LN(2)/25)*Calculateur!V165*Calculateur!X165*VLOOKUP('Données projet'!$B$9,Paramètres!$A$1:$I$89,3,0)*0.475*44/12</f>
        <v>0.21895594861640225</v>
      </c>
      <c r="AB165" s="21">
        <f>EXP(-LN(2)/2)*AB164+(1-EXP(-LN(2)/2))/(LN(2)/2)*V165*Y165*VLOOKUP('Données projet'!$B$9,Paramètres!$A$1:$I$89,3,0)*0.475*44/12</f>
        <v>1.5712453281808889E-19</v>
      </c>
      <c r="AC165" s="22">
        <f t="shared" si="163"/>
        <v>0.85439813378704776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5.6752469390630726E-14</v>
      </c>
      <c r="AK165" s="13">
        <f t="shared" si="164"/>
        <v>9.1069510357930921E-13</v>
      </c>
      <c r="AL165" s="20">
        <f t="shared" si="165"/>
        <v>1.6849711895893119E-12</v>
      </c>
      <c r="AM165" s="59">
        <f t="shared" si="113"/>
        <v>293.33333333333502</v>
      </c>
      <c r="AN165" s="59">
        <f ca="1">AVERAGE(OFFSET($AM$3,0,0,'Données projet'!$E$10+1,1))-AVERAGE(OFFSET($H$3,0,0,'Données projet'!$E$10+1,1))</f>
        <v>260.68055529826694</v>
      </c>
      <c r="AO165" s="59">
        <f t="shared" si="144"/>
        <v>119.74772096645967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454.03478818555948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1.3596945791505279E-13</v>
      </c>
      <c r="P166" s="13">
        <f t="shared" si="141"/>
        <v>1.9708830566360721E-12</v>
      </c>
      <c r="Q166" s="20">
        <f t="shared" si="162"/>
        <v>3.669434796176543E-12</v>
      </c>
      <c r="R166" s="59">
        <f t="shared" si="109"/>
        <v>293.33333333333701</v>
      </c>
      <c r="S166" s="59">
        <f ca="1">AVERAGE(OFFSET($R$3,0,0,'Données projet'!$E$9+1,1))-AVERAGE(OFFSET($H$3,0,0,'Données projet'!$E$9+1,1))</f>
        <v>244.06766379043052</v>
      </c>
      <c r="T166" s="59">
        <f t="shared" si="142"/>
        <v>300.17085261974006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0.62298155150091161</v>
      </c>
      <c r="AA166" s="21">
        <f>EXP(-LN(2)/25)*AA165+(1-EXP(-LN(2)/25))/(LN(2)/25)*Calculateur!V166*Calculateur!X166*VLOOKUP('Données projet'!$B$9,Paramètres!$A$1:$I$89,3,0)*0.475*44/12</f>
        <v>0.21296858668709381</v>
      </c>
      <c r="AB166" s="21">
        <f>EXP(-LN(2)/2)*AB165+(1-EXP(-LN(2)/2))/(LN(2)/2)*V166*Y166*VLOOKUP('Données projet'!$B$9,Paramètres!$A$1:$I$89,3,0)*0.475*44/12</f>
        <v>1.1110382264643888E-19</v>
      </c>
      <c r="AC166" s="22">
        <f t="shared" si="163"/>
        <v>0.83595013818800545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5.6752469390630726E-14</v>
      </c>
      <c r="AK166" s="13">
        <f t="shared" si="164"/>
        <v>9.1069510357930921E-13</v>
      </c>
      <c r="AL166" s="20">
        <f t="shared" si="165"/>
        <v>1.6849711895893119E-12</v>
      </c>
      <c r="AM166" s="59">
        <f t="shared" si="113"/>
        <v>293.33333333333502</v>
      </c>
      <c r="AN166" s="59">
        <f ca="1">AVERAGE(OFFSET($AM$3,0,0,'Données projet'!$E$10+1,1))-AVERAGE(OFFSET($H$3,0,0,'Données projet'!$E$10+1,1))</f>
        <v>260.68055529826694</v>
      </c>
      <c r="AO166" s="59">
        <f t="shared" si="144"/>
        <v>119.74772096645967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455.21530169335966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1.3596945791505279E-13</v>
      </c>
      <c r="P167" s="13">
        <f t="shared" si="141"/>
        <v>1.9708830566360721E-12</v>
      </c>
      <c r="Q167" s="20">
        <f t="shared" si="162"/>
        <v>3.669434796176543E-12</v>
      </c>
      <c r="R167" s="59">
        <f t="shared" si="109"/>
        <v>293.33333333333701</v>
      </c>
      <c r="S167" s="59">
        <f ca="1">AVERAGE(OFFSET($R$3,0,0,'Données projet'!$E$9+1,1))-AVERAGE(OFFSET($H$3,0,0,'Données projet'!$E$9+1,1))</f>
        <v>244.06766379043052</v>
      </c>
      <c r="T167" s="59">
        <f t="shared" si="142"/>
        <v>300.17085261974006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0.61076526325720515</v>
      </c>
      <c r="AA167" s="21">
        <f>EXP(-LN(2)/25)*AA166+(1-EXP(-LN(2)/25))/(LN(2)/25)*Calculateur!V167*Calculateur!X167*VLOOKUP('Données projet'!$B$9,Paramètres!$A$1:$I$89,3,0)*0.475*44/12</f>
        <v>0.20714494948460402</v>
      </c>
      <c r="AB167" s="21">
        <f>EXP(-LN(2)/2)*AB166+(1-EXP(-LN(2)/2))/(LN(2)/2)*V167*Y167*VLOOKUP('Données projet'!$B$9,Paramètres!$A$1:$I$89,3,0)*0.475*44/12</f>
        <v>7.8562266409044445E-20</v>
      </c>
      <c r="AC167" s="22">
        <f t="shared" si="163"/>
        <v>0.81791021274180919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5.6752469390630726E-14</v>
      </c>
      <c r="AK167" s="13">
        <f t="shared" si="164"/>
        <v>9.1069510357930921E-13</v>
      </c>
      <c r="AL167" s="20">
        <f t="shared" si="165"/>
        <v>1.6849711895893119E-12</v>
      </c>
      <c r="AM167" s="59">
        <f t="shared" si="113"/>
        <v>293.33333333333502</v>
      </c>
      <c r="AN167" s="59">
        <f ca="1">AVERAGE(OFFSET($AM$3,0,0,'Données projet'!$E$10+1,1))-AVERAGE(OFFSET($H$3,0,0,'Données projet'!$E$10+1,1))</f>
        <v>260.68055529826694</v>
      </c>
      <c r="AO167" s="59">
        <f t="shared" si="144"/>
        <v>119.74772096645967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456.39565232380079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1.3596945791505279E-13</v>
      </c>
      <c r="P168" s="13">
        <f t="shared" si="141"/>
        <v>1.9708830566360721E-12</v>
      </c>
      <c r="Q168" s="20">
        <f t="shared" si="162"/>
        <v>3.669434796176543E-12</v>
      </c>
      <c r="R168" s="59">
        <f t="shared" si="109"/>
        <v>293.33333333333701</v>
      </c>
      <c r="S168" s="59">
        <f ca="1">AVERAGE(OFFSET($R$3,0,0,'Données projet'!$E$9+1,1))-AVERAGE(OFFSET($H$3,0,0,'Données projet'!$E$9+1,1))</f>
        <v>244.06766379043052</v>
      </c>
      <c r="T168" s="59">
        <f t="shared" si="142"/>
        <v>300.17085261974006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0.59878852897475765</v>
      </c>
      <c r="AA168" s="21">
        <f>EXP(-LN(2)/25)*AA167+(1-EXP(-LN(2)/25))/(LN(2)/25)*Calculateur!V168*Calculateur!X168*VLOOKUP('Données projet'!$B$9,Paramètres!$A$1:$I$89,3,0)*0.475*44/12</f>
        <v>0.20148055994766806</v>
      </c>
      <c r="AB168" s="21">
        <f>EXP(-LN(2)/2)*AB167+(1-EXP(-LN(2)/2))/(LN(2)/2)*V168*Y168*VLOOKUP('Données projet'!$B$9,Paramètres!$A$1:$I$89,3,0)*0.475*44/12</f>
        <v>5.5551911323219441E-20</v>
      </c>
      <c r="AC168" s="22">
        <f t="shared" si="163"/>
        <v>0.80026908892242576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5.6752469390630726E-14</v>
      </c>
      <c r="AK168" s="13">
        <f t="shared" si="164"/>
        <v>9.1069510357930921E-13</v>
      </c>
      <c r="AL168" s="20">
        <f t="shared" si="165"/>
        <v>1.6849711895893119E-12</v>
      </c>
      <c r="AM168" s="59">
        <f t="shared" si="113"/>
        <v>293.33333333333502</v>
      </c>
      <c r="AN168" s="59">
        <f ca="1">AVERAGE(OFFSET($AM$3,0,0,'Données projet'!$E$10+1,1))-AVERAGE(OFFSET($H$3,0,0,'Données projet'!$E$10+1,1))</f>
        <v>260.68055529826694</v>
      </c>
      <c r="AO168" s="59">
        <f t="shared" si="144"/>
        <v>119.74772096645967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457.57584117854583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1.3596945791505279E-13</v>
      </c>
      <c r="P169" s="13">
        <f t="shared" si="141"/>
        <v>1.9708830566360721E-12</v>
      </c>
      <c r="Q169" s="20">
        <f t="shared" si="162"/>
        <v>3.669434796176543E-12</v>
      </c>
      <c r="R169" s="59">
        <f t="shared" si="109"/>
        <v>293.33333333333701</v>
      </c>
      <c r="S169" s="59">
        <f ca="1">AVERAGE(OFFSET($R$3,0,0,'Données projet'!$E$9+1,1))-AVERAGE(OFFSET($H$3,0,0,'Données projet'!$E$9+1,1))</f>
        <v>244.06766379043052</v>
      </c>
      <c r="T169" s="59">
        <f t="shared" si="142"/>
        <v>300.17085261974006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0.58704665114650234</v>
      </c>
      <c r="AA169" s="21">
        <f>EXP(-LN(2)/25)*AA168+(1-EXP(-LN(2)/25))/(LN(2)/25)*Calculateur!V169*Calculateur!X169*VLOOKUP('Données projet'!$B$9,Paramètres!$A$1:$I$89,3,0)*0.475*44/12</f>
        <v>0.19597106344049692</v>
      </c>
      <c r="AB169" s="21">
        <f>EXP(-LN(2)/2)*AB168+(1-EXP(-LN(2)/2))/(LN(2)/2)*V169*Y169*VLOOKUP('Données projet'!$B$9,Paramètres!$A$1:$I$89,3,0)*0.475*44/12</f>
        <v>3.9281133204522223E-20</v>
      </c>
      <c r="AC169" s="22">
        <f t="shared" si="163"/>
        <v>0.7830177145869992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5.6752469390630726E-14</v>
      </c>
      <c r="AK169" s="13">
        <f t="shared" si="164"/>
        <v>9.1069510357930921E-13</v>
      </c>
      <c r="AL169" s="20">
        <f t="shared" si="165"/>
        <v>1.6849711895893119E-12</v>
      </c>
      <c r="AM169" s="59">
        <f t="shared" si="113"/>
        <v>293.33333333333502</v>
      </c>
      <c r="AN169" s="59">
        <f ca="1">AVERAGE(OFFSET($AM$3,0,0,'Données projet'!$E$10+1,1))-AVERAGE(OFFSET($H$3,0,0,'Données projet'!$E$10+1,1))</f>
        <v>260.68055529826694</v>
      </c>
      <c r="AO169" s="59">
        <f t="shared" si="144"/>
        <v>119.74772096645967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458.75586934521687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1.3596945791505279E-13</v>
      </c>
      <c r="P170" s="13">
        <f t="shared" si="141"/>
        <v>1.9708830566360721E-12</v>
      </c>
      <c r="Q170" s="20">
        <f t="shared" si="162"/>
        <v>3.669434796176543E-12</v>
      </c>
      <c r="R170" s="59">
        <f t="shared" si="109"/>
        <v>293.33333333333701</v>
      </c>
      <c r="S170" s="59">
        <f ca="1">AVERAGE(OFFSET($R$3,0,0,'Données projet'!$E$9+1,1))-AVERAGE(OFFSET($H$3,0,0,'Données projet'!$E$9+1,1))</f>
        <v>244.06766379043052</v>
      </c>
      <c r="T170" s="59">
        <f t="shared" si="142"/>
        <v>300.17085261974006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0.57553502438062087</v>
      </c>
      <c r="AA170" s="21">
        <f>EXP(-LN(2)/25)*AA169+(1-EXP(-LN(2)/25))/(LN(2)/25)*Calculateur!V170*Calculateur!X170*VLOOKUP('Données projet'!$B$9,Paramètres!$A$1:$I$89,3,0)*0.475*44/12</f>
        <v>0.19061222440504619</v>
      </c>
      <c r="AB170" s="21">
        <f>EXP(-LN(2)/2)*AB169+(1-EXP(-LN(2)/2))/(LN(2)/2)*V170*Y170*VLOOKUP('Données projet'!$B$9,Paramètres!$A$1:$I$89,3,0)*0.475*44/12</f>
        <v>2.7775955661609721E-20</v>
      </c>
      <c r="AC170" s="22">
        <f t="shared" si="163"/>
        <v>0.76614724878566709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5.6752469390630726E-14</v>
      </c>
      <c r="AK170" s="13">
        <f t="shared" si="164"/>
        <v>9.1069510357930921E-13</v>
      </c>
      <c r="AL170" s="20">
        <f t="shared" si="165"/>
        <v>1.6849711895893119E-12</v>
      </c>
      <c r="AM170" s="59">
        <f t="shared" si="113"/>
        <v>293.33333333333502</v>
      </c>
      <c r="AN170" s="59">
        <f ca="1">AVERAGE(OFFSET($AM$3,0,0,'Données projet'!$E$10+1,1))-AVERAGE(OFFSET($H$3,0,0,'Données projet'!$E$10+1,1))</f>
        <v>260.68055529826694</v>
      </c>
      <c r="AO170" s="59">
        <f t="shared" si="144"/>
        <v>119.74772096645967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459.93573789765719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1.3596945791505279E-13</v>
      </c>
      <c r="P171" s="13">
        <f t="shared" si="141"/>
        <v>1.9708830566360721E-12</v>
      </c>
      <c r="Q171" s="20">
        <f t="shared" si="162"/>
        <v>3.669434796176543E-12</v>
      </c>
      <c r="R171" s="59">
        <f t="shared" si="109"/>
        <v>293.33333333333701</v>
      </c>
      <c r="S171" s="59">
        <f ca="1">AVERAGE(OFFSET($R$3,0,0,'Données projet'!$E$9+1,1))-AVERAGE(OFFSET($H$3,0,0,'Données projet'!$E$9+1,1))</f>
        <v>244.06766379043052</v>
      </c>
      <c r="T171" s="59">
        <f t="shared" si="142"/>
        <v>300.17085261974006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0.56424913359421924</v>
      </c>
      <c r="AA171" s="21">
        <f>EXP(-LN(2)/25)*AA170+(1-EXP(-LN(2)/25))/(LN(2)/25)*Calculateur!V171*Calculateur!X171*VLOOKUP('Données projet'!$B$9,Paramètres!$A$1:$I$89,3,0)*0.475*44/12</f>
        <v>0.18539992310482897</v>
      </c>
      <c r="AB171" s="21">
        <f>EXP(-LN(2)/2)*AB170+(1-EXP(-LN(2)/2))/(LN(2)/2)*V171*Y171*VLOOKUP('Données projet'!$B$9,Paramètres!$A$1:$I$89,3,0)*0.475*44/12</f>
        <v>1.9640566602261111E-20</v>
      </c>
      <c r="AC171" s="22">
        <f t="shared" si="163"/>
        <v>0.74964905669904824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5.6752469390630726E-14</v>
      </c>
      <c r="AK171" s="13">
        <f t="shared" si="164"/>
        <v>9.1069510357930921E-13</v>
      </c>
      <c r="AL171" s="20">
        <f t="shared" si="165"/>
        <v>1.6849711895893119E-12</v>
      </c>
      <c r="AM171" s="59">
        <f t="shared" si="113"/>
        <v>293.33333333333502</v>
      </c>
      <c r="AN171" s="59">
        <f ca="1">AVERAGE(OFFSET($AM$3,0,0,'Données projet'!$E$10+1,1))-AVERAGE(OFFSET($H$3,0,0,'Données projet'!$E$10+1,1))</f>
        <v>260.68055529826694</v>
      </c>
      <c r="AO171" s="59">
        <f t="shared" si="144"/>
        <v>119.74772096645967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461.11544789618642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1.3596945791505279E-13</v>
      </c>
      <c r="P172" s="13">
        <f t="shared" si="141"/>
        <v>1.9708830566360721E-12</v>
      </c>
      <c r="Q172" s="20">
        <f t="shared" si="162"/>
        <v>3.669434796176543E-12</v>
      </c>
      <c r="R172" s="59">
        <f t="shared" si="109"/>
        <v>293.33333333333701</v>
      </c>
      <c r="S172" s="59">
        <f ca="1">AVERAGE(OFFSET($R$3,0,0,'Données projet'!$E$9+1,1))-AVERAGE(OFFSET($H$3,0,0,'Données projet'!$E$9+1,1))</f>
        <v>244.06766379043052</v>
      </c>
      <c r="T172" s="59">
        <f t="shared" si="142"/>
        <v>300.17085261974006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0.55318455224242535</v>
      </c>
      <c r="AA172" s="21">
        <f>EXP(-LN(2)/25)*AA171+(1-EXP(-LN(2)/25))/(LN(2)/25)*Calculateur!V172*Calculateur!X172*VLOOKUP('Données projet'!$B$9,Paramètres!$A$1:$I$89,3,0)*0.475*44/12</f>
        <v>0.1803301524577692</v>
      </c>
      <c r="AB172" s="21">
        <f>EXP(-LN(2)/2)*AB171+(1-EXP(-LN(2)/2))/(LN(2)/2)*V172*Y172*VLOOKUP('Données projet'!$B$9,Paramètres!$A$1:$I$89,3,0)*0.475*44/12</f>
        <v>1.388797783080486E-20</v>
      </c>
      <c r="AC172" s="22">
        <f t="shared" si="163"/>
        <v>0.73351470470019453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5.6752469390630726E-14</v>
      </c>
      <c r="AK172" s="13">
        <f t="shared" si="164"/>
        <v>9.1069510357930921E-13</v>
      </c>
      <c r="AL172" s="20">
        <f t="shared" si="165"/>
        <v>1.6849711895893119E-12</v>
      </c>
      <c r="AM172" s="59">
        <f t="shared" si="113"/>
        <v>293.33333333333502</v>
      </c>
      <c r="AN172" s="59">
        <f ca="1">AVERAGE(OFFSET($AM$3,0,0,'Données projet'!$E$10+1,1))-AVERAGE(OFFSET($H$3,0,0,'Données projet'!$E$10+1,1))</f>
        <v>260.68055529826694</v>
      </c>
      <c r="AO172" s="59">
        <f t="shared" si="144"/>
        <v>119.74772096645967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462.29500038785034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1.3596945791505279E-13</v>
      </c>
      <c r="P173" s="13">
        <f t="shared" si="141"/>
        <v>1.9708830566360721E-12</v>
      </c>
      <c r="Q173" s="20">
        <f t="shared" si="162"/>
        <v>3.669434796176543E-12</v>
      </c>
      <c r="R173" s="59">
        <f t="shared" si="109"/>
        <v>293.33333333333701</v>
      </c>
      <c r="S173" s="59">
        <f ca="1">AVERAGE(OFFSET($R$3,0,0,'Données projet'!$E$9+1,1))-AVERAGE(OFFSET($H$3,0,0,'Données projet'!$E$9+1,1))</f>
        <v>244.06766379043052</v>
      </c>
      <c r="T173" s="59">
        <f t="shared" si="142"/>
        <v>300.17085261974006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0.54233694058221182</v>
      </c>
      <c r="AA173" s="21">
        <f>EXP(-LN(2)/25)*AA172+(1-EXP(-LN(2)/25))/(LN(2)/25)*Calculateur!V173*Calculateur!X173*VLOOKUP('Données projet'!$B$9,Paramètres!$A$1:$I$89,3,0)*0.475*44/12</f>
        <v>0.17539901495566093</v>
      </c>
      <c r="AB173" s="21">
        <f>EXP(-LN(2)/2)*AB172+(1-EXP(-LN(2)/2))/(LN(2)/2)*V173*Y173*VLOOKUP('Données projet'!$B$9,Paramètres!$A$1:$I$89,3,0)*0.475*44/12</f>
        <v>9.8202833011305557E-21</v>
      </c>
      <c r="AC173" s="22">
        <f t="shared" si="163"/>
        <v>0.71773595553787273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5.6752469390630726E-14</v>
      </c>
      <c r="AK173" s="13">
        <f t="shared" si="164"/>
        <v>9.1069510357930921E-13</v>
      </c>
      <c r="AL173" s="20">
        <f t="shared" si="165"/>
        <v>1.6849711895893119E-12</v>
      </c>
      <c r="AM173" s="59">
        <f t="shared" si="113"/>
        <v>293.33333333333502</v>
      </c>
      <c r="AN173" s="59">
        <f ca="1">AVERAGE(OFFSET($AM$3,0,0,'Données projet'!$E$10+1,1))-AVERAGE(OFFSET($H$3,0,0,'Données projet'!$E$10+1,1))</f>
        <v>260.68055529826694</v>
      </c>
      <c r="AO173" s="59">
        <f t="shared" si="144"/>
        <v>119.74772096645967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463.47439640666357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1.3596945791505279E-13</v>
      </c>
      <c r="P174" s="13">
        <f t="shared" si="141"/>
        <v>1.9708830566360721E-12</v>
      </c>
      <c r="Q174" s="20">
        <f t="shared" si="162"/>
        <v>3.669434796176543E-12</v>
      </c>
      <c r="R174" s="59">
        <f t="shared" si="109"/>
        <v>293.33333333333701</v>
      </c>
      <c r="S174" s="59">
        <f ca="1">AVERAGE(OFFSET($R$3,0,0,'Données projet'!$E$9+1,1))-AVERAGE(OFFSET($H$3,0,0,'Données projet'!$E$9+1,1))</f>
        <v>244.06766379043052</v>
      </c>
      <c r="T174" s="59">
        <f t="shared" si="142"/>
        <v>300.17085261974006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0.53170204397026533</v>
      </c>
      <c r="AA174" s="21">
        <f>EXP(-LN(2)/25)*AA173+(1-EXP(-LN(2)/25))/(LN(2)/25)*Calculateur!V174*Calculateur!X174*VLOOKUP('Données projet'!$B$9,Paramètres!$A$1:$I$89,3,0)*0.475*44/12</f>
        <v>0.17060271966786505</v>
      </c>
      <c r="AB174" s="21">
        <f>EXP(-LN(2)/2)*AB173+(1-EXP(-LN(2)/2))/(LN(2)/2)*V174*Y174*VLOOKUP('Données projet'!$B$9,Paramètres!$A$1:$I$89,3,0)*0.475*44/12</f>
        <v>6.9439889154024302E-21</v>
      </c>
      <c r="AC174" s="22">
        <f t="shared" si="163"/>
        <v>0.70230476363813032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5.6752469390630726E-14</v>
      </c>
      <c r="AK174" s="13">
        <f t="shared" si="164"/>
        <v>9.1069510357930921E-13</v>
      </c>
      <c r="AL174" s="20">
        <f t="shared" si="165"/>
        <v>1.6849711895893119E-12</v>
      </c>
      <c r="AM174" s="59">
        <f t="shared" si="113"/>
        <v>293.33333333333502</v>
      </c>
      <c r="AN174" s="59">
        <f ca="1">AVERAGE(OFFSET($AM$3,0,0,'Données projet'!$E$10+1,1))-AVERAGE(OFFSET($H$3,0,0,'Données projet'!$E$10+1,1))</f>
        <v>260.68055529826694</v>
      </c>
      <c r="AO174" s="59">
        <f t="shared" si="144"/>
        <v>119.74772096645967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464.65363697384748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1.3596945791505279E-13</v>
      </c>
      <c r="P175" s="13">
        <f t="shared" si="141"/>
        <v>1.9708830566360721E-12</v>
      </c>
      <c r="Q175" s="20">
        <f t="shared" si="162"/>
        <v>3.669434796176543E-12</v>
      </c>
      <c r="R175" s="59">
        <f t="shared" si="109"/>
        <v>293.33333333333701</v>
      </c>
      <c r="S175" s="59">
        <f ca="1">AVERAGE(OFFSET($R$3,0,0,'Données projet'!$E$9+1,1))-AVERAGE(OFFSET($H$3,0,0,'Données projet'!$E$9+1,1))</f>
        <v>244.06766379043052</v>
      </c>
      <c r="T175" s="59">
        <f t="shared" si="142"/>
        <v>300.17085261974006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0.52127569119423267</v>
      </c>
      <c r="AA175" s="21">
        <f>EXP(-LN(2)/25)*AA174+(1-EXP(-LN(2)/25))/(LN(2)/25)*Calculateur!V175*Calculateur!X175*VLOOKUP('Données projet'!$B$9,Paramètres!$A$1:$I$89,3,0)*0.475*44/12</f>
        <v>0.16593757932694017</v>
      </c>
      <c r="AB175" s="21">
        <f>EXP(-LN(2)/2)*AB174+(1-EXP(-LN(2)/2))/(LN(2)/2)*V175*Y175*VLOOKUP('Données projet'!$B$9,Paramètres!$A$1:$I$89,3,0)*0.475*44/12</f>
        <v>4.9101416505652778E-21</v>
      </c>
      <c r="AC175" s="22">
        <f t="shared" si="163"/>
        <v>0.68721327052117287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5.6752469390630726E-14</v>
      </c>
      <c r="AK175" s="13">
        <f t="shared" si="164"/>
        <v>9.1069510357930921E-13</v>
      </c>
      <c r="AL175" s="20">
        <f t="shared" si="165"/>
        <v>1.6849711895893119E-12</v>
      </c>
      <c r="AM175" s="59">
        <f t="shared" si="113"/>
        <v>293.33333333333502</v>
      </c>
      <c r="AN175" s="59">
        <f ca="1">AVERAGE(OFFSET($AM$3,0,0,'Données projet'!$E$10+1,1))-AVERAGE(OFFSET($H$3,0,0,'Données projet'!$E$10+1,1))</f>
        <v>260.68055529826694</v>
      </c>
      <c r="AO175" s="59">
        <f t="shared" si="144"/>
        <v>119.74772096645967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465.83272309806171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1.3596945791505279E-13</v>
      </c>
      <c r="P176" s="13">
        <f t="shared" si="141"/>
        <v>1.9708830566360721E-12</v>
      </c>
      <c r="Q176" s="20">
        <f t="shared" si="162"/>
        <v>3.669434796176543E-12</v>
      </c>
      <c r="R176" s="59">
        <f t="shared" si="109"/>
        <v>293.33333333333701</v>
      </c>
      <c r="S176" s="59">
        <f ca="1">AVERAGE(OFFSET($R$3,0,0,'Données projet'!$E$9+1,1))-AVERAGE(OFFSET($H$3,0,0,'Données projet'!$E$9+1,1))</f>
        <v>244.06766379043052</v>
      </c>
      <c r="T176" s="59">
        <f t="shared" si="142"/>
        <v>300.17085261974006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0.51105379283669072</v>
      </c>
      <c r="AA176" s="21">
        <f>EXP(-LN(2)/25)*AA175+(1-EXP(-LN(2)/25))/(LN(2)/25)*Calculateur!V176*Calculateur!X176*VLOOKUP('Données projet'!$B$9,Paramètres!$A$1:$I$89,3,0)*0.475*44/12</f>
        <v>0.16140000749396696</v>
      </c>
      <c r="AB176" s="21">
        <f>EXP(-LN(2)/2)*AB175+(1-EXP(-LN(2)/2))/(LN(2)/2)*V176*Y176*VLOOKUP('Données projet'!$B$9,Paramètres!$A$1:$I$89,3,0)*0.475*44/12</f>
        <v>3.4719944577012151E-21</v>
      </c>
      <c r="AC176" s="22">
        <f t="shared" si="163"/>
        <v>0.67245380033065771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5.6752469390630726E-14</v>
      </c>
      <c r="AK176" s="13">
        <f t="shared" si="164"/>
        <v>9.1069510357930921E-13</v>
      </c>
      <c r="AL176" s="20">
        <f t="shared" si="165"/>
        <v>1.6849711895893119E-12</v>
      </c>
      <c r="AM176" s="59">
        <f t="shared" si="113"/>
        <v>293.33333333333502</v>
      </c>
      <c r="AN176" s="59">
        <f ca="1">AVERAGE(OFFSET($AM$3,0,0,'Données projet'!$E$10+1,1))-AVERAGE(OFFSET($H$3,0,0,'Données projet'!$E$10+1,1))</f>
        <v>260.68055529826694</v>
      </c>
      <c r="AO176" s="59">
        <f t="shared" si="144"/>
        <v>119.74772096645967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467.01165577563029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1.3596945791505279E-13</v>
      </c>
      <c r="P177" s="13">
        <f t="shared" si="141"/>
        <v>1.9708830566360721E-12</v>
      </c>
      <c r="Q177" s="20">
        <f t="shared" si="162"/>
        <v>3.669434796176543E-12</v>
      </c>
      <c r="R177" s="59">
        <f t="shared" si="109"/>
        <v>293.33333333333701</v>
      </c>
      <c r="S177" s="59">
        <f ca="1">AVERAGE(OFFSET($R$3,0,0,'Données projet'!$E$9+1,1))-AVERAGE(OFFSET($H$3,0,0,'Données projet'!$E$9+1,1))</f>
        <v>244.06766379043052</v>
      </c>
      <c r="T177" s="59">
        <f t="shared" si="142"/>
        <v>300.17085261974006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0.50103233967119787</v>
      </c>
      <c r="AA177" s="21">
        <f>EXP(-LN(2)/25)*AA176+(1-EXP(-LN(2)/25))/(LN(2)/25)*Calculateur!V177*Calculateur!X177*VLOOKUP('Données projet'!$B$9,Paramètres!$A$1:$I$89,3,0)*0.475*44/12</f>
        <v>0.15698651580138692</v>
      </c>
      <c r="AB177" s="21">
        <f>EXP(-LN(2)/2)*AB176+(1-EXP(-LN(2)/2))/(LN(2)/2)*V177*Y177*VLOOKUP('Données projet'!$B$9,Paramètres!$A$1:$I$89,3,0)*0.475*44/12</f>
        <v>2.4550708252826389E-21</v>
      </c>
      <c r="AC177" s="22">
        <f t="shared" si="163"/>
        <v>0.65801885547258476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5.6752469390630726E-14</v>
      </c>
      <c r="AK177" s="13">
        <f t="shared" si="164"/>
        <v>9.1069510357930921E-13</v>
      </c>
      <c r="AL177" s="20">
        <f t="shared" si="165"/>
        <v>1.6849711895893119E-12</v>
      </c>
      <c r="AM177" s="59">
        <f t="shared" si="113"/>
        <v>293.33333333333502</v>
      </c>
      <c r="AN177" s="59">
        <f ca="1">AVERAGE(OFFSET($AM$3,0,0,'Données projet'!$E$10+1,1))-AVERAGE(OFFSET($H$3,0,0,'Données projet'!$E$10+1,1))</f>
        <v>260.68055529826694</v>
      </c>
      <c r="AO177" s="59">
        <f t="shared" si="144"/>
        <v>119.74772096645967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468.19043599076269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1.3596945791505279E-13</v>
      </c>
      <c r="P178" s="13">
        <f t="shared" si="141"/>
        <v>1.9708830566360721E-12</v>
      </c>
      <c r="Q178" s="20">
        <f t="shared" si="162"/>
        <v>3.669434796176543E-12</v>
      </c>
      <c r="R178" s="59">
        <f t="shared" si="109"/>
        <v>293.33333333333701</v>
      </c>
      <c r="S178" s="59">
        <f ca="1">AVERAGE(OFFSET($R$3,0,0,'Données projet'!$E$9+1,1))-AVERAGE(OFFSET($H$3,0,0,'Données projet'!$E$9+1,1))</f>
        <v>244.06766379043052</v>
      </c>
      <c r="T178" s="59">
        <f t="shared" si="142"/>
        <v>300.17085261974006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0.49120740108979744</v>
      </c>
      <c r="AA178" s="21">
        <f>EXP(-LN(2)/25)*AA177+(1-EXP(-LN(2)/25))/(LN(2)/25)*Calculateur!V178*Calculateur!X178*VLOOKUP('Données projet'!$B$9,Paramètres!$A$1:$I$89,3,0)*0.475*44/12</f>
        <v>0.15269371127123593</v>
      </c>
      <c r="AB178" s="21">
        <f>EXP(-LN(2)/2)*AB177+(1-EXP(-LN(2)/2))/(LN(2)/2)*V178*Y178*VLOOKUP('Données projet'!$B$9,Paramètres!$A$1:$I$89,3,0)*0.475*44/12</f>
        <v>1.7359972288506075E-21</v>
      </c>
      <c r="AC178" s="22">
        <f t="shared" si="163"/>
        <v>0.64390111236103342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5.6752469390630726E-14</v>
      </c>
      <c r="AK178" s="13">
        <f t="shared" si="164"/>
        <v>9.1069510357930921E-13</v>
      </c>
      <c r="AL178" s="20">
        <f t="shared" si="165"/>
        <v>1.6849711895893119E-12</v>
      </c>
      <c r="AM178" s="59">
        <f t="shared" si="113"/>
        <v>293.33333333333502</v>
      </c>
      <c r="AN178" s="59">
        <f ca="1">AVERAGE(OFFSET($AM$3,0,0,'Données projet'!$E$10+1,1))-AVERAGE(OFFSET($H$3,0,0,'Données projet'!$E$10+1,1))</f>
        <v>260.68055529826694</v>
      </c>
      <c r="AO178" s="59">
        <f t="shared" si="144"/>
        <v>119.74772096645967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469.3690647157693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1.3596945791505279E-13</v>
      </c>
      <c r="P179" s="13">
        <f t="shared" si="141"/>
        <v>1.9708830566360721E-12</v>
      </c>
      <c r="Q179" s="20">
        <f t="shared" si="162"/>
        <v>3.669434796176543E-12</v>
      </c>
      <c r="R179" s="59">
        <f t="shared" si="109"/>
        <v>293.33333333333701</v>
      </c>
      <c r="S179" s="59">
        <f ca="1">AVERAGE(OFFSET($R$3,0,0,'Données projet'!$E$9+1,1))-AVERAGE(OFFSET($H$3,0,0,'Données projet'!$E$9+1,1))</f>
        <v>244.06766379043052</v>
      </c>
      <c r="T179" s="59">
        <f t="shared" si="142"/>
        <v>300.17085261974006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0.48157512356135745</v>
      </c>
      <c r="AA179" s="21">
        <f>EXP(-LN(2)/25)*AA178+(1-EXP(-LN(2)/25))/(LN(2)/25)*Calculateur!V179*Calculateur!X179*VLOOKUP('Données projet'!$B$9,Paramètres!$A$1:$I$89,3,0)*0.475*44/12</f>
        <v>0.14851829370671069</v>
      </c>
      <c r="AB179" s="21">
        <f>EXP(-LN(2)/2)*AB178+(1-EXP(-LN(2)/2))/(LN(2)/2)*V179*Y179*VLOOKUP('Données projet'!$B$9,Paramètres!$A$1:$I$89,3,0)*0.475*44/12</f>
        <v>1.2275354126413195E-21</v>
      </c>
      <c r="AC179" s="22">
        <f t="shared" si="163"/>
        <v>0.63009341726806811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5.6752469390630726E-14</v>
      </c>
      <c r="AK179" s="13">
        <f t="shared" si="164"/>
        <v>9.1069510357930921E-13</v>
      </c>
      <c r="AL179" s="20">
        <f t="shared" si="165"/>
        <v>1.6849711895893119E-12</v>
      </c>
      <c r="AM179" s="59">
        <f t="shared" si="113"/>
        <v>293.33333333333502</v>
      </c>
      <c r="AN179" s="59">
        <f ca="1">AVERAGE(OFFSET($AM$3,0,0,'Données projet'!$E$10+1,1))-AVERAGE(OFFSET($H$3,0,0,'Données projet'!$E$10+1,1))</f>
        <v>260.68055529826694</v>
      </c>
      <c r="AO179" s="59">
        <f t="shared" si="144"/>
        <v>119.74772096645967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470.54754291127216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1.3596945791505279E-13</v>
      </c>
      <c r="P180" s="13">
        <f t="shared" si="141"/>
        <v>1.9708830566360721E-12</v>
      </c>
      <c r="Q180" s="20">
        <f t="shared" si="162"/>
        <v>3.669434796176543E-12</v>
      </c>
      <c r="R180" s="59">
        <f t="shared" si="109"/>
        <v>293.33333333333701</v>
      </c>
      <c r="S180" s="59">
        <f ca="1">AVERAGE(OFFSET($R$3,0,0,'Données projet'!$E$9+1,1))-AVERAGE(OFFSET($H$3,0,0,'Données projet'!$E$9+1,1))</f>
        <v>244.06766379043052</v>
      </c>
      <c r="T180" s="59">
        <f t="shared" si="142"/>
        <v>300.17085261974006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0.47213172912014101</v>
      </c>
      <c r="AA180" s="21">
        <f>EXP(-LN(2)/25)*AA179+(1-EXP(-LN(2)/25))/(LN(2)/25)*Calculateur!V180*Calculateur!X180*VLOOKUP('Données projet'!$B$9,Paramètres!$A$1:$I$89,3,0)*0.475*44/12</f>
        <v>0.14445705315506305</v>
      </c>
      <c r="AB180" s="21">
        <f>EXP(-LN(2)/2)*AB179+(1-EXP(-LN(2)/2))/(LN(2)/2)*V180*Y180*VLOOKUP('Données projet'!$B$9,Paramètres!$A$1:$I$89,3,0)*0.475*44/12</f>
        <v>8.6799861442530377E-22</v>
      </c>
      <c r="AC180" s="22">
        <f t="shared" si="163"/>
        <v>0.61658878227520408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5.6752469390630726E-14</v>
      </c>
      <c r="AK180" s="13">
        <f t="shared" si="164"/>
        <v>9.1069510357930921E-13</v>
      </c>
      <c r="AL180" s="20">
        <f t="shared" si="165"/>
        <v>1.6849711895893119E-12</v>
      </c>
      <c r="AM180" s="59">
        <f t="shared" si="113"/>
        <v>293.33333333333502</v>
      </c>
      <c r="AN180" s="59">
        <f ca="1">AVERAGE(OFFSET($AM$3,0,0,'Données projet'!$E$10+1,1))-AVERAGE(OFFSET($H$3,0,0,'Données projet'!$E$10+1,1))</f>
        <v>260.68055529826694</v>
      </c>
      <c r="AO180" s="59">
        <f t="shared" si="144"/>
        <v>119.74772096645967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471.7258715264108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1.3596945791505279E-13</v>
      </c>
      <c r="P181" s="13">
        <f t="shared" si="141"/>
        <v>1.9708830566360721E-12</v>
      </c>
      <c r="Q181" s="20">
        <f t="shared" si="162"/>
        <v>3.669434796176543E-12</v>
      </c>
      <c r="R181" s="59">
        <f t="shared" si="109"/>
        <v>293.33333333333701</v>
      </c>
      <c r="S181" s="59">
        <f ca="1">AVERAGE(OFFSET($R$3,0,0,'Données projet'!$E$9+1,1))-AVERAGE(OFFSET($H$3,0,0,'Données projet'!$E$9+1,1))</f>
        <v>244.06766379043052</v>
      </c>
      <c r="T181" s="59">
        <f t="shared" si="142"/>
        <v>300.17085261974006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0.46287351388401493</v>
      </c>
      <c r="AA181" s="21">
        <f>EXP(-LN(2)/25)*AA180+(1-EXP(-LN(2)/25))/(LN(2)/25)*Calculateur!V181*Calculateur!X181*VLOOKUP('Données projet'!$B$9,Paramètres!$A$1:$I$89,3,0)*0.475*44/12</f>
        <v>0.14050686743987159</v>
      </c>
      <c r="AB181" s="21">
        <f>EXP(-LN(2)/2)*AB180+(1-EXP(-LN(2)/2))/(LN(2)/2)*V181*Y181*VLOOKUP('Données projet'!$B$9,Paramètres!$A$1:$I$89,3,0)*0.475*44/12</f>
        <v>6.1376770632065973E-22</v>
      </c>
      <c r="AC181" s="22">
        <f t="shared" si="163"/>
        <v>0.60338038132388649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5.6752469390630726E-14</v>
      </c>
      <c r="AK181" s="13">
        <f t="shared" si="164"/>
        <v>9.1069510357930921E-13</v>
      </c>
      <c r="AL181" s="20">
        <f t="shared" si="165"/>
        <v>1.6849711895893119E-12</v>
      </c>
      <c r="AM181" s="59">
        <f t="shared" si="113"/>
        <v>293.33333333333502</v>
      </c>
      <c r="AN181" s="59">
        <f ca="1">AVERAGE(OFFSET($AM$3,0,0,'Données projet'!$E$10+1,1))-AVERAGE(OFFSET($H$3,0,0,'Données projet'!$E$10+1,1))</f>
        <v>260.68055529826694</v>
      </c>
      <c r="AO181" s="59">
        <f t="shared" si="144"/>
        <v>119.74772096645967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472.90405149904302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1.3596945791505279E-13</v>
      </c>
      <c r="P182" s="13">
        <f t="shared" si="141"/>
        <v>1.9708830566360721E-12</v>
      </c>
      <c r="Q182" s="20">
        <f t="shared" si="162"/>
        <v>3.669434796176543E-12</v>
      </c>
      <c r="R182" s="59">
        <f t="shared" si="109"/>
        <v>293.33333333333701</v>
      </c>
      <c r="S182" s="59">
        <f ca="1">AVERAGE(OFFSET($R$3,0,0,'Données projet'!$E$9+1,1))-AVERAGE(OFFSET($H$3,0,0,'Données projet'!$E$9+1,1))</f>
        <v>244.06766379043052</v>
      </c>
      <c r="T182" s="59">
        <f t="shared" si="142"/>
        <v>300.17085261974006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0.4537968466017156</v>
      </c>
      <c r="AA182" s="21">
        <f>EXP(-LN(2)/25)*AA181+(1-EXP(-LN(2)/25))/(LN(2)/25)*Calculateur!V182*Calculateur!X182*VLOOKUP('Données projet'!$B$9,Paramètres!$A$1:$I$89,3,0)*0.475*44/12</f>
        <v>0.13666469976079329</v>
      </c>
      <c r="AB182" s="21">
        <f>EXP(-LN(2)/2)*AB181+(1-EXP(-LN(2)/2))/(LN(2)/2)*V182*Y182*VLOOKUP('Données projet'!$B$9,Paramètres!$A$1:$I$89,3,0)*0.475*44/12</f>
        <v>4.3399930721265189E-22</v>
      </c>
      <c r="AC182" s="22">
        <f t="shared" si="163"/>
        <v>0.59046154636250892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5.6752469390630726E-14</v>
      </c>
      <c r="AK182" s="13">
        <f t="shared" si="164"/>
        <v>9.1069510357930921E-13</v>
      </c>
      <c r="AL182" s="20">
        <f t="shared" si="165"/>
        <v>1.6849711895893119E-12</v>
      </c>
      <c r="AM182" s="59">
        <f t="shared" si="113"/>
        <v>293.33333333333502</v>
      </c>
      <c r="AN182" s="59">
        <f ca="1">AVERAGE(OFFSET($AM$3,0,0,'Données projet'!$E$10+1,1))-AVERAGE(OFFSET($H$3,0,0,'Données projet'!$E$10+1,1))</f>
        <v>260.68055529826694</v>
      </c>
      <c r="AO182" s="59">
        <f t="shared" si="144"/>
        <v>119.74772096645967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474.08208375594126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1.3596945791505279E-13</v>
      </c>
      <c r="P183" s="13">
        <f t="shared" si="141"/>
        <v>1.9708830566360721E-12</v>
      </c>
      <c r="Q183" s="20">
        <f t="shared" si="162"/>
        <v>3.669434796176543E-12</v>
      </c>
      <c r="R183" s="59">
        <f t="shared" si="109"/>
        <v>293.33333333333701</v>
      </c>
      <c r="S183" s="59">
        <f ca="1">AVERAGE(OFFSET($R$3,0,0,'Données projet'!$E$9+1,1))-AVERAGE(OFFSET($H$3,0,0,'Données projet'!$E$9+1,1))</f>
        <v>244.06766379043052</v>
      </c>
      <c r="T183" s="59">
        <f t="shared" si="142"/>
        <v>300.17085261974006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0.44489816722860176</v>
      </c>
      <c r="AA183" s="21">
        <f>EXP(-LN(2)/25)*AA182+(1-EXP(-LN(2)/25))/(LN(2)/25)*Calculateur!V183*Calculateur!X183*VLOOKUP('Données projet'!$B$9,Paramètres!$A$1:$I$89,3,0)*0.475*44/12</f>
        <v>0.13292759635895018</v>
      </c>
      <c r="AB183" s="21">
        <f>EXP(-LN(2)/2)*AB182+(1-EXP(-LN(2)/2))/(LN(2)/2)*V183*Y183*VLOOKUP('Données projet'!$B$9,Paramètres!$A$1:$I$89,3,0)*0.475*44/12</f>
        <v>3.0688385316032987E-22</v>
      </c>
      <c r="AC183" s="22">
        <f t="shared" si="163"/>
        <v>0.57782576358755189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5.6752469390630726E-14</v>
      </c>
      <c r="AK183" s="13">
        <f t="shared" si="164"/>
        <v>9.1069510357930921E-13</v>
      </c>
      <c r="AL183" s="20">
        <f t="shared" si="165"/>
        <v>1.6849711895893119E-12</v>
      </c>
      <c r="AM183" s="59">
        <f t="shared" si="113"/>
        <v>293.33333333333502</v>
      </c>
      <c r="AN183" s="59">
        <f ca="1">AVERAGE(OFFSET($AM$3,0,0,'Données projet'!$E$10+1,1))-AVERAGE(OFFSET($H$3,0,0,'Données projet'!$E$10+1,1))</f>
        <v>260.68055529826694</v>
      </c>
      <c r="AO183" s="59">
        <f t="shared" si="144"/>
        <v>119.74772096645967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475.25996921298474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1.3596945791505279E-13</v>
      </c>
      <c r="P184" s="13">
        <f t="shared" si="141"/>
        <v>1.9708830566360721E-12</v>
      </c>
      <c r="Q184" s="20">
        <f t="shared" si="162"/>
        <v>3.669434796176543E-12</v>
      </c>
      <c r="R184" s="59">
        <f t="shared" si="109"/>
        <v>293.33333333333701</v>
      </c>
      <c r="S184" s="59">
        <f ca="1">AVERAGE(OFFSET($R$3,0,0,'Données projet'!$E$9+1,1))-AVERAGE(OFFSET($H$3,0,0,'Données projet'!$E$9+1,1))</f>
        <v>244.06766379043052</v>
      </c>
      <c r="T184" s="59">
        <f t="shared" si="142"/>
        <v>300.17085261974006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0.43617398553033621</v>
      </c>
      <c r="AA184" s="21">
        <f>EXP(-LN(2)/25)*AA183+(1-EXP(-LN(2)/25))/(LN(2)/25)*Calculateur!V184*Calculateur!X184*VLOOKUP('Données projet'!$B$9,Paramètres!$A$1:$I$89,3,0)*0.475*44/12</f>
        <v>0.1292926842461562</v>
      </c>
      <c r="AB184" s="21">
        <f>EXP(-LN(2)/2)*AB183+(1-EXP(-LN(2)/2))/(LN(2)/2)*V184*Y184*VLOOKUP('Données projet'!$B$9,Paramètres!$A$1:$I$89,3,0)*0.475*44/12</f>
        <v>2.1699965360632594E-22</v>
      </c>
      <c r="AC184" s="22">
        <f t="shared" si="163"/>
        <v>0.5654666697764924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5.6752469390630726E-14</v>
      </c>
      <c r="AK184" s="13">
        <f t="shared" si="164"/>
        <v>9.1069510357930921E-13</v>
      </c>
      <c r="AL184" s="20">
        <f t="shared" si="165"/>
        <v>1.6849711895893119E-12</v>
      </c>
      <c r="AM184" s="59">
        <f t="shared" si="113"/>
        <v>293.33333333333502</v>
      </c>
      <c r="AN184" s="59">
        <f ca="1">AVERAGE(OFFSET($AM$3,0,0,'Données projet'!$E$10+1,1))-AVERAGE(OFFSET($H$3,0,0,'Données projet'!$E$10+1,1))</f>
        <v>260.68055529826694</v>
      </c>
      <c r="AO184" s="59">
        <f t="shared" si="144"/>
        <v>119.74772096645967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476.43770877534655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1.3596945791505279E-13</v>
      </c>
      <c r="P185" s="13">
        <f t="shared" si="141"/>
        <v>1.9708830566360721E-12</v>
      </c>
      <c r="Q185" s="20">
        <f t="shared" si="162"/>
        <v>3.669434796176543E-12</v>
      </c>
      <c r="R185" s="59">
        <f t="shared" si="109"/>
        <v>293.33333333333701</v>
      </c>
      <c r="S185" s="59">
        <f ca="1">AVERAGE(OFFSET($R$3,0,0,'Données projet'!$E$9+1,1))-AVERAGE(OFFSET($H$3,0,0,'Données projet'!$E$9+1,1))</f>
        <v>244.06766379043052</v>
      </c>
      <c r="T185" s="59">
        <f t="shared" si="142"/>
        <v>300.17085261974006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0.42762087971394824</v>
      </c>
      <c r="AA185" s="21">
        <f>EXP(-LN(2)/25)*AA184+(1-EXP(-LN(2)/25))/(LN(2)/25)*Calculateur!V185*Calculateur!X185*VLOOKUP('Données projet'!$B$9,Paramètres!$A$1:$I$89,3,0)*0.475*44/12</f>
        <v>0.12575716899623829</v>
      </c>
      <c r="AB185" s="21">
        <f>EXP(-LN(2)/2)*AB184+(1-EXP(-LN(2)/2))/(LN(2)/2)*V185*Y185*VLOOKUP('Données projet'!$B$9,Paramètres!$A$1:$I$89,3,0)*0.475*44/12</f>
        <v>1.5344192658016493E-22</v>
      </c>
      <c r="AC185" s="22">
        <f t="shared" si="163"/>
        <v>0.55337804871018648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5.6752469390630726E-14</v>
      </c>
      <c r="AK185" s="13">
        <f t="shared" si="164"/>
        <v>9.1069510357930921E-13</v>
      </c>
      <c r="AL185" s="20">
        <f t="shared" si="165"/>
        <v>1.6849711895893119E-12</v>
      </c>
      <c r="AM185" s="59">
        <f t="shared" si="113"/>
        <v>293.33333333333502</v>
      </c>
      <c r="AN185" s="59">
        <f ca="1">AVERAGE(OFFSET($AM$3,0,0,'Données projet'!$E$10+1,1))-AVERAGE(OFFSET($H$3,0,0,'Données projet'!$E$10+1,1))</f>
        <v>260.68055529826694</v>
      </c>
      <c r="AO185" s="59">
        <f t="shared" si="144"/>
        <v>119.74772096645967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477.61530333767718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1.3596945791505279E-13</v>
      </c>
      <c r="P186" s="13">
        <f t="shared" si="141"/>
        <v>1.9708830566360721E-12</v>
      </c>
      <c r="Q186" s="20">
        <f t="shared" si="162"/>
        <v>3.669434796176543E-12</v>
      </c>
      <c r="R186" s="59">
        <f t="shared" si="109"/>
        <v>293.33333333333701</v>
      </c>
      <c r="S186" s="59">
        <f ca="1">AVERAGE(OFFSET($R$3,0,0,'Données projet'!$E$9+1,1))-AVERAGE(OFFSET($H$3,0,0,'Données projet'!$E$9+1,1))</f>
        <v>244.06766379043052</v>
      </c>
      <c r="T186" s="59">
        <f t="shared" si="142"/>
        <v>300.17085261974006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0.41923549508574021</v>
      </c>
      <c r="AA186" s="21">
        <f>EXP(-LN(2)/25)*AA185+(1-EXP(-LN(2)/25))/(LN(2)/25)*Calculateur!V186*Calculateur!X186*VLOOKUP('Données projet'!$B$9,Paramètres!$A$1:$I$89,3,0)*0.475*44/12</f>
        <v>0.12231833259675405</v>
      </c>
      <c r="AB186" s="21">
        <f>EXP(-LN(2)/2)*AB185+(1-EXP(-LN(2)/2))/(LN(2)/2)*V186*Y186*VLOOKUP('Données projet'!$B$9,Paramètres!$A$1:$I$89,3,0)*0.475*44/12</f>
        <v>1.0849982680316297E-22</v>
      </c>
      <c r="AC186" s="22">
        <f t="shared" si="163"/>
        <v>0.54155382768249427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5.6752469390630726E-14</v>
      </c>
      <c r="AK186" s="13">
        <f t="shared" si="164"/>
        <v>9.1069510357930921E-13</v>
      </c>
      <c r="AL186" s="20">
        <f t="shared" si="165"/>
        <v>1.6849711895893119E-12</v>
      </c>
      <c r="AM186" s="59">
        <f t="shared" si="113"/>
        <v>293.33333333333502</v>
      </c>
      <c r="AN186" s="59">
        <f ca="1">AVERAGE(OFFSET($AM$3,0,0,'Données projet'!$E$10+1,1))-AVERAGE(OFFSET($H$3,0,0,'Données projet'!$E$10+1,1))</f>
        <v>260.68055529826694</v>
      </c>
      <c r="AO186" s="59">
        <f t="shared" si="144"/>
        <v>119.74772096645967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478.79275378428366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1.3596945791505279E-13</v>
      </c>
      <c r="P187" s="13">
        <f t="shared" si="141"/>
        <v>1.9708830566360721E-12</v>
      </c>
      <c r="Q187" s="20">
        <f t="shared" si="162"/>
        <v>3.669434796176543E-12</v>
      </c>
      <c r="R187" s="59">
        <f t="shared" si="109"/>
        <v>293.33333333333701</v>
      </c>
      <c r="S187" s="59">
        <f ca="1">AVERAGE(OFFSET($R$3,0,0,'Données projet'!$E$9+1,1))-AVERAGE(OFFSET($H$3,0,0,'Données projet'!$E$9+1,1))</f>
        <v>244.06766379043052</v>
      </c>
      <c r="T187" s="59">
        <f t="shared" si="142"/>
        <v>300.17085261974006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0.41101454273551175</v>
      </c>
      <c r="AA187" s="21">
        <f>EXP(-LN(2)/25)*AA186+(1-EXP(-LN(2)/25))/(LN(2)/25)*Calculateur!V187*Calculateur!X187*VLOOKUP('Données projet'!$B$9,Paramètres!$A$1:$I$89,3,0)*0.475*44/12</f>
        <v>0.11897353135945427</v>
      </c>
      <c r="AB187" s="21">
        <f>EXP(-LN(2)/2)*AB186+(1-EXP(-LN(2)/2))/(LN(2)/2)*V187*Y187*VLOOKUP('Données projet'!$B$9,Paramètres!$A$1:$I$89,3,0)*0.475*44/12</f>
        <v>7.6720963290082466E-23</v>
      </c>
      <c r="AC187" s="22">
        <f t="shared" si="163"/>
        <v>0.52998807409496607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5.6752469390630726E-14</v>
      </c>
      <c r="AK187" s="13">
        <f t="shared" si="164"/>
        <v>9.1069510357930921E-13</v>
      </c>
      <c r="AL187" s="20">
        <f t="shared" si="165"/>
        <v>1.6849711895893119E-12</v>
      </c>
      <c r="AM187" s="59">
        <f t="shared" si="113"/>
        <v>293.33333333333502</v>
      </c>
      <c r="AN187" s="59">
        <f ca="1">AVERAGE(OFFSET($AM$3,0,0,'Données projet'!$E$10+1,1))-AVERAGE(OFFSET($H$3,0,0,'Données projet'!$E$10+1,1))</f>
        <v>260.68055529826694</v>
      </c>
      <c r="AO187" s="59">
        <f t="shared" si="144"/>
        <v>119.74772096645967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479.97006098930456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1.3596945791505279E-13</v>
      </c>
      <c r="P188" s="13">
        <f t="shared" si="141"/>
        <v>1.9708830566360721E-12</v>
      </c>
      <c r="Q188" s="20">
        <f t="shared" si="162"/>
        <v>3.669434796176543E-12</v>
      </c>
      <c r="R188" s="59">
        <f t="shared" si="109"/>
        <v>293.33333333333701</v>
      </c>
      <c r="S188" s="59">
        <f ca="1">AVERAGE(OFFSET($R$3,0,0,'Données projet'!$E$9+1,1))-AVERAGE(OFFSET($H$3,0,0,'Données projet'!$E$9+1,1))</f>
        <v>244.06766379043052</v>
      </c>
      <c r="T188" s="59">
        <f t="shared" si="142"/>
        <v>300.17085261974006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0.40295479824658542</v>
      </c>
      <c r="AA188" s="21">
        <f>EXP(-LN(2)/25)*AA187+(1-EXP(-LN(2)/25))/(LN(2)/25)*Calculateur!V188*Calculateur!X188*VLOOKUP('Données projet'!$B$9,Paramètres!$A$1:$I$89,3,0)*0.475*44/12</f>
        <v>0.11572019388788389</v>
      </c>
      <c r="AB188" s="21">
        <f>EXP(-LN(2)/2)*AB187+(1-EXP(-LN(2)/2))/(LN(2)/2)*V188*Y188*VLOOKUP('Données projet'!$B$9,Paramètres!$A$1:$I$89,3,0)*0.475*44/12</f>
        <v>5.4249913401581486E-23</v>
      </c>
      <c r="AC188" s="22">
        <f t="shared" si="163"/>
        <v>0.51867499213446933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5.6752469390630726E-14</v>
      </c>
      <c r="AK188" s="13">
        <f t="shared" si="164"/>
        <v>9.1069510357930921E-13</v>
      </c>
      <c r="AL188" s="20">
        <f t="shared" si="165"/>
        <v>1.6849711895893119E-12</v>
      </c>
      <c r="AM188" s="59">
        <f t="shared" si="113"/>
        <v>293.33333333333502</v>
      </c>
      <c r="AN188" s="59">
        <f ca="1">AVERAGE(OFFSET($AM$3,0,0,'Données projet'!$E$10+1,1))-AVERAGE(OFFSET($H$3,0,0,'Données projet'!$E$10+1,1))</f>
        <v>260.68055529826694</v>
      </c>
      <c r="AO188" s="59">
        <f t="shared" si="144"/>
        <v>119.74772096645967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481.1472258168813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1.3596945791505279E-13</v>
      </c>
      <c r="P189" s="13">
        <f t="shared" si="141"/>
        <v>1.9708830566360721E-12</v>
      </c>
      <c r="Q189" s="20">
        <f t="shared" si="162"/>
        <v>3.669434796176543E-12</v>
      </c>
      <c r="R189" s="59">
        <f t="shared" si="109"/>
        <v>293.33333333333701</v>
      </c>
      <c r="S189" s="59">
        <f ca="1">AVERAGE(OFFSET($R$3,0,0,'Données projet'!$E$9+1,1))-AVERAGE(OFFSET($H$3,0,0,'Données projet'!$E$9+1,1))</f>
        <v>244.06766379043052</v>
      </c>
      <c r="T189" s="59">
        <f t="shared" si="142"/>
        <v>300.17085261974006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0.39505310043112823</v>
      </c>
      <c r="AA189" s="21">
        <f>EXP(-LN(2)/25)*AA188+(1-EXP(-LN(2)/25))/(LN(2)/25)*Calculateur!V189*Calculateur!X189*VLOOKUP('Données projet'!$B$9,Paramètres!$A$1:$I$89,3,0)*0.475*44/12</f>
        <v>0.11255581910055919</v>
      </c>
      <c r="AB189" s="21">
        <f>EXP(-LN(2)/2)*AB188+(1-EXP(-LN(2)/2))/(LN(2)/2)*V189*Y189*VLOOKUP('Données projet'!$B$9,Paramètres!$A$1:$I$89,3,0)*0.475*44/12</f>
        <v>3.8360481645041233E-23</v>
      </c>
      <c r="AC189" s="22">
        <f t="shared" si="163"/>
        <v>0.50760891953168741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5.6752469390630726E-14</v>
      </c>
      <c r="AK189" s="13">
        <f t="shared" si="164"/>
        <v>9.1069510357930921E-13</v>
      </c>
      <c r="AL189" s="20">
        <f t="shared" si="165"/>
        <v>1.6849711895893119E-12</v>
      </c>
      <c r="AM189" s="59">
        <f t="shared" si="113"/>
        <v>293.33333333333502</v>
      </c>
      <c r="AN189" s="59">
        <f ca="1">AVERAGE(OFFSET($AM$3,0,0,'Données projet'!$E$10+1,1))-AVERAGE(OFFSET($H$3,0,0,'Données projet'!$E$10+1,1))</f>
        <v>260.68055529826694</v>
      </c>
      <c r="AO189" s="59">
        <f t="shared" si="144"/>
        <v>119.74772096645967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482.32424912132575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1.3596945791505279E-13</v>
      </c>
      <c r="P190" s="13">
        <f t="shared" si="141"/>
        <v>1.9708830566360721E-12</v>
      </c>
      <c r="Q190" s="20">
        <f t="shared" si="162"/>
        <v>3.669434796176543E-12</v>
      </c>
      <c r="R190" s="59">
        <f t="shared" si="109"/>
        <v>293.33333333333701</v>
      </c>
      <c r="S190" s="59">
        <f ca="1">AVERAGE(OFFSET($R$3,0,0,'Données projet'!$E$9+1,1))-AVERAGE(OFFSET($H$3,0,0,'Données projet'!$E$9+1,1))</f>
        <v>244.06766379043052</v>
      </c>
      <c r="T190" s="59">
        <f t="shared" si="142"/>
        <v>300.17085261974006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0.38730635009027237</v>
      </c>
      <c r="AA190" s="21">
        <f>EXP(-LN(2)/25)*AA189+(1-EXP(-LN(2)/25))/(LN(2)/25)*Calculateur!V190*Calculateur!X190*VLOOKUP('Données projet'!$B$9,Paramètres!$A$1:$I$89,3,0)*0.475*44/12</f>
        <v>0.10947797430820112</v>
      </c>
      <c r="AB190" s="21">
        <f>EXP(-LN(2)/2)*AB189+(1-EXP(-LN(2)/2))/(LN(2)/2)*V190*Y190*VLOOKUP('Données projet'!$B$9,Paramètres!$A$1:$I$89,3,0)*0.475*44/12</f>
        <v>2.7124956700790743E-23</v>
      </c>
      <c r="AC190" s="22">
        <f t="shared" si="163"/>
        <v>0.49678432439847348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5.6752469390630726E-14</v>
      </c>
      <c r="AK190" s="13">
        <f t="shared" si="164"/>
        <v>9.1069510357930921E-13</v>
      </c>
      <c r="AL190" s="20">
        <f t="shared" si="165"/>
        <v>1.6849711895893119E-12</v>
      </c>
      <c r="AM190" s="59">
        <f t="shared" si="113"/>
        <v>293.33333333333502</v>
      </c>
      <c r="AN190" s="59">
        <f ca="1">AVERAGE(OFFSET($AM$3,0,0,'Données projet'!$E$10+1,1))-AVERAGE(OFFSET($H$3,0,0,'Données projet'!$E$10+1,1))</f>
        <v>260.68055529826694</v>
      </c>
      <c r="AO190" s="59">
        <f t="shared" si="144"/>
        <v>119.74772096645967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483.50113174728358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1.3596945791505279E-13</v>
      </c>
      <c r="P191" s="13">
        <f t="shared" si="141"/>
        <v>1.9708830566360721E-12</v>
      </c>
      <c r="Q191" s="20">
        <f t="shared" si="162"/>
        <v>3.669434796176543E-12</v>
      </c>
      <c r="R191" s="59">
        <f t="shared" si="109"/>
        <v>293.33333333333701</v>
      </c>
      <c r="S191" s="59">
        <f ca="1">AVERAGE(OFFSET($R$3,0,0,'Données projet'!$E$9+1,1))-AVERAGE(OFFSET($H$3,0,0,'Données projet'!$E$9+1,1))</f>
        <v>244.06766379043052</v>
      </c>
      <c r="T191" s="59">
        <f t="shared" si="142"/>
        <v>300.17085261974006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0.37971150879854954</v>
      </c>
      <c r="AA191" s="21">
        <f>EXP(-LN(2)/25)*AA190+(1-EXP(-LN(2)/25))/(LN(2)/25)*Calculateur!V191*Calculateur!X191*VLOOKUP('Données projet'!$B$9,Paramètres!$A$1:$I$89,3,0)*0.475*44/12</f>
        <v>0.10648429334354691</v>
      </c>
      <c r="AB191" s="21">
        <f>EXP(-LN(2)/2)*AB190+(1-EXP(-LN(2)/2))/(LN(2)/2)*V191*Y191*VLOOKUP('Données projet'!$B$9,Paramètres!$A$1:$I$89,3,0)*0.475*44/12</f>
        <v>1.9180240822520617E-23</v>
      </c>
      <c r="AC191" s="22">
        <f t="shared" si="163"/>
        <v>0.48619580214209646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5.6752469390630726E-14</v>
      </c>
      <c r="AK191" s="13">
        <f t="shared" si="164"/>
        <v>9.1069510357930921E-13</v>
      </c>
      <c r="AL191" s="20">
        <f t="shared" si="165"/>
        <v>1.6849711895893119E-12</v>
      </c>
      <c r="AM191" s="59">
        <f t="shared" si="113"/>
        <v>293.33333333333502</v>
      </c>
      <c r="AN191" s="59">
        <f ca="1">AVERAGE(OFFSET($AM$3,0,0,'Données projet'!$E$10+1,1))-AVERAGE(OFFSET($H$3,0,0,'Données projet'!$E$10+1,1))</f>
        <v>260.68055529826694</v>
      </c>
      <c r="AO191" s="59">
        <f t="shared" si="144"/>
        <v>119.74772096645967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484.67787452989506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1.3596945791505279E-13</v>
      </c>
      <c r="P192" s="13">
        <f t="shared" si="141"/>
        <v>1.9708830566360721E-12</v>
      </c>
      <c r="Q192" s="20">
        <f t="shared" si="162"/>
        <v>3.669434796176543E-12</v>
      </c>
      <c r="R192" s="59">
        <f t="shared" si="109"/>
        <v>293.33333333333701</v>
      </c>
      <c r="S192" s="59">
        <f ca="1">AVERAGE(OFFSET($R$3,0,0,'Données projet'!$E$9+1,1))-AVERAGE(OFFSET($H$3,0,0,'Données projet'!$E$9+1,1))</f>
        <v>244.06766379043052</v>
      </c>
      <c r="T192" s="59">
        <f t="shared" si="142"/>
        <v>300.17085261974006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0.37226559771216161</v>
      </c>
      <c r="AA192" s="21">
        <f>EXP(-LN(2)/25)*AA191+(1-EXP(-LN(2)/25))/(LN(2)/25)*Calculateur!V192*Calculateur!X192*VLOOKUP('Données projet'!$B$9,Paramètres!$A$1:$I$89,3,0)*0.475*44/12</f>
        <v>0.10357247474230201</v>
      </c>
      <c r="AB192" s="21">
        <f>EXP(-LN(2)/2)*AB191+(1-EXP(-LN(2)/2))/(LN(2)/2)*V192*Y192*VLOOKUP('Données projet'!$B$9,Paramètres!$A$1:$I$89,3,0)*0.475*44/12</f>
        <v>1.3562478350395371E-23</v>
      </c>
      <c r="AC192" s="22">
        <f t="shared" si="163"/>
        <v>0.47583807245446363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5.6752469390630726E-14</v>
      </c>
      <c r="AK192" s="13">
        <f t="shared" si="164"/>
        <v>9.1069510357930921E-13</v>
      </c>
      <c r="AL192" s="20">
        <f t="shared" si="165"/>
        <v>1.6849711895893119E-12</v>
      </c>
      <c r="AM192" s="59">
        <f t="shared" si="113"/>
        <v>293.33333333333502</v>
      </c>
      <c r="AN192" s="59">
        <f ca="1">AVERAGE(OFFSET($AM$3,0,0,'Données projet'!$E$10+1,1))-AVERAGE(OFFSET($H$3,0,0,'Données projet'!$E$10+1,1))</f>
        <v>260.68055529826694</v>
      </c>
      <c r="AO192" s="59">
        <f t="shared" si="144"/>
        <v>119.74772096645967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485.85447829495109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1.3596945791505279E-13</v>
      </c>
      <c r="P193" s="13">
        <f t="shared" si="141"/>
        <v>1.9708830566360721E-12</v>
      </c>
      <c r="Q193" s="20">
        <f t="shared" si="162"/>
        <v>3.669434796176543E-12</v>
      </c>
      <c r="R193" s="59">
        <f t="shared" si="109"/>
        <v>293.33333333333701</v>
      </c>
      <c r="S193" s="59">
        <f ca="1">AVERAGE(OFFSET($R$3,0,0,'Données projet'!$E$9+1,1))-AVERAGE(OFFSET($H$3,0,0,'Données projet'!$E$9+1,1))</f>
        <v>244.06766379043052</v>
      </c>
      <c r="T193" s="59">
        <f t="shared" si="142"/>
        <v>300.17085261974006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0.36496569640062043</v>
      </c>
      <c r="AA193" s="21">
        <f>EXP(-LN(2)/25)*AA192+(1-EXP(-LN(2)/25))/(LN(2)/25)*Calculateur!V193*Calculateur!X193*VLOOKUP('Données projet'!$B$9,Paramètres!$A$1:$I$89,3,0)*0.475*44/12</f>
        <v>0.10074027997383403</v>
      </c>
      <c r="AB193" s="21">
        <f>EXP(-LN(2)/2)*AB192+(1-EXP(-LN(2)/2))/(LN(2)/2)*V193*Y193*VLOOKUP('Données projet'!$B$9,Paramètres!$A$1:$I$89,3,0)*0.475*44/12</f>
        <v>9.5901204112603083E-24</v>
      </c>
      <c r="AC193" s="22">
        <f t="shared" si="163"/>
        <v>0.46570597637445443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5.6752469390630726E-14</v>
      </c>
      <c r="AK193" s="13">
        <f t="shared" si="164"/>
        <v>9.1069510357930921E-13</v>
      </c>
      <c r="AL193" s="20">
        <f t="shared" si="165"/>
        <v>1.6849711895893119E-12</v>
      </c>
      <c r="AM193" s="59">
        <f t="shared" si="113"/>
        <v>293.33333333333502</v>
      </c>
      <c r="AN193" s="59">
        <f ca="1">AVERAGE(OFFSET($AM$3,0,0,'Données projet'!$E$10+1,1))-AVERAGE(OFFSET($H$3,0,0,'Données projet'!$E$10+1,1))</f>
        <v>260.68055529826694</v>
      </c>
      <c r="AO193" s="59">
        <f t="shared" si="144"/>
        <v>119.74772096645967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487.03094385904706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1.3596945791505279E-13</v>
      </c>
      <c r="P194" s="13">
        <f t="shared" si="141"/>
        <v>1.9708830566360721E-12</v>
      </c>
      <c r="Q194" s="20">
        <f t="shared" si="162"/>
        <v>3.669434796176543E-12</v>
      </c>
      <c r="R194" s="59">
        <f t="shared" si="109"/>
        <v>293.33333333333701</v>
      </c>
      <c r="S194" s="59">
        <f ca="1">AVERAGE(OFFSET($R$3,0,0,'Données projet'!$E$9+1,1))-AVERAGE(OFFSET($H$3,0,0,'Données projet'!$E$9+1,1))</f>
        <v>244.06766379043052</v>
      </c>
      <c r="T194" s="59">
        <f t="shared" si="142"/>
        <v>300.17085261974006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0.35780894170129846</v>
      </c>
      <c r="AA194" s="21">
        <f>EXP(-LN(2)/25)*AA193+(1-EXP(-LN(2)/25))/(LN(2)/25)*Calculateur!V194*Calculateur!X194*VLOOKUP('Données projet'!$B$9,Paramètres!$A$1:$I$89,3,0)*0.475*44/12</f>
        <v>9.7985531720248459E-2</v>
      </c>
      <c r="AB194" s="21">
        <f>EXP(-LN(2)/2)*AB193+(1-EXP(-LN(2)/2))/(LN(2)/2)*V194*Y194*VLOOKUP('Données projet'!$B$9,Paramètres!$A$1:$I$89,3,0)*0.475*44/12</f>
        <v>6.7812391751976857E-24</v>
      </c>
      <c r="AC194" s="22">
        <f t="shared" si="163"/>
        <v>0.45579447342154689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5.6752469390630726E-14</v>
      </c>
      <c r="AK194" s="13">
        <f t="shared" si="164"/>
        <v>9.1069510357930921E-13</v>
      </c>
      <c r="AL194" s="20">
        <f t="shared" si="165"/>
        <v>1.6849711895893119E-12</v>
      </c>
      <c r="AM194" s="59">
        <f t="shared" si="113"/>
        <v>293.33333333333502</v>
      </c>
      <c r="AN194" s="59">
        <f ca="1">AVERAGE(OFFSET($AM$3,0,0,'Données projet'!$E$10+1,1))-AVERAGE(OFFSET($H$3,0,0,'Données projet'!$E$10+1,1))</f>
        <v>260.68055529826694</v>
      </c>
      <c r="AO194" s="59">
        <f t="shared" si="144"/>
        <v>119.74772096645967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488.20727202973239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1.3596945791505279E-13</v>
      </c>
      <c r="P195" s="13">
        <f t="shared" si="141"/>
        <v>1.9708830566360721E-12</v>
      </c>
      <c r="Q195" s="20">
        <f t="shared" si="162"/>
        <v>3.669434796176543E-12</v>
      </c>
      <c r="R195" s="59">
        <f t="shared" ref="R195:R203" si="191">Q195+(I195+J195)*44/12</f>
        <v>293.33333333333701</v>
      </c>
      <c r="S195" s="59">
        <f ca="1">AVERAGE(OFFSET($R$3,0,0,'Données projet'!$E$9+1,1))-AVERAGE(OFFSET($H$3,0,0,'Données projet'!$E$9+1,1))</f>
        <v>244.06766379043052</v>
      </c>
      <c r="T195" s="59">
        <f t="shared" si="142"/>
        <v>300.17085261974006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0.35079252659644083</v>
      </c>
      <c r="AA195" s="21">
        <f>EXP(-LN(2)/25)*AA194+(1-EXP(-LN(2)/25))/(LN(2)/25)*Calculateur!V195*Calculateur!X195*VLOOKUP('Données projet'!$B$9,Paramètres!$A$1:$I$89,3,0)*0.475*44/12</f>
        <v>9.5306112202523094E-2</v>
      </c>
      <c r="AB195" s="21">
        <f>EXP(-LN(2)/2)*AB194+(1-EXP(-LN(2)/2))/(LN(2)/2)*V195*Y195*VLOOKUP('Données projet'!$B$9,Paramètres!$A$1:$I$89,3,0)*0.475*44/12</f>
        <v>4.7950602056301541E-24</v>
      </c>
      <c r="AC195" s="22">
        <f t="shared" si="163"/>
        <v>0.44609863879896394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5.6752469390630726E-14</v>
      </c>
      <c r="AK195" s="13">
        <f t="shared" si="164"/>
        <v>9.1069510357930921E-13</v>
      </c>
      <c r="AL195" s="20">
        <f t="shared" si="165"/>
        <v>1.6849711895893119E-12</v>
      </c>
      <c r="AM195" s="59">
        <f t="shared" si="113"/>
        <v>293.33333333333502</v>
      </c>
      <c r="AN195" s="59">
        <f ca="1">AVERAGE(OFFSET($AM$3,0,0,'Données projet'!$E$10+1,1))-AVERAGE(OFFSET($H$3,0,0,'Données projet'!$E$10+1,1))</f>
        <v>260.68055529826694</v>
      </c>
      <c r="AO195" s="59">
        <f t="shared" si="144"/>
        <v>119.74772096645967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489.38346360565777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1.3596945791505279E-13</v>
      </c>
      <c r="P196" s="13">
        <f t="shared" si="141"/>
        <v>1.9708830566360721E-12</v>
      </c>
      <c r="Q196" s="20">
        <f t="shared" si="162"/>
        <v>3.669434796176543E-12</v>
      </c>
      <c r="R196" s="59">
        <f t="shared" si="191"/>
        <v>293.33333333333701</v>
      </c>
      <c r="S196" s="59">
        <f ca="1">AVERAGE(OFFSET($R$3,0,0,'Données projet'!$E$9+1,1))-AVERAGE(OFFSET($H$3,0,0,'Données projet'!$E$9+1,1))</f>
        <v>244.06766379043052</v>
      </c>
      <c r="T196" s="59">
        <f t="shared" si="142"/>
        <v>300.17085261974006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0.34391369911219882</v>
      </c>
      <c r="AA196" s="21">
        <f>EXP(-LN(2)/25)*AA195+(1-EXP(-LN(2)/25))/(LN(2)/25)*Calculateur!V196*Calculateur!X196*VLOOKUP('Données projet'!$B$9,Paramètres!$A$1:$I$89,3,0)*0.475*44/12</f>
        <v>9.2699961552414487E-2</v>
      </c>
      <c r="AB196" s="21">
        <f>EXP(-LN(2)/2)*AB195+(1-EXP(-LN(2)/2))/(LN(2)/2)*V196*Y196*VLOOKUP('Données projet'!$B$9,Paramètres!$A$1:$I$89,3,0)*0.475*44/12</f>
        <v>3.3906195875988429E-24</v>
      </c>
      <c r="AC196" s="22">
        <f t="shared" si="163"/>
        <v>0.43661366066461332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5.6752469390630726E-14</v>
      </c>
      <c r="AK196" s="13">
        <f t="shared" si="164"/>
        <v>9.1069510357930921E-13</v>
      </c>
      <c r="AL196" s="20">
        <f t="shared" si="165"/>
        <v>1.6849711895893119E-12</v>
      </c>
      <c r="AM196" s="59">
        <f t="shared" ref="AM196:AM203" si="193">AL196+(AD196+AE196)*44/12</f>
        <v>293.33333333333502</v>
      </c>
      <c r="AN196" s="59">
        <f ca="1">AVERAGE(OFFSET($AM$3,0,0,'Données projet'!$E$10+1,1))-AVERAGE(OFFSET($H$3,0,0,'Données projet'!$E$10+1,1))</f>
        <v>260.68055529826694</v>
      </c>
      <c r="AO196" s="59">
        <f t="shared" si="144"/>
        <v>119.74772096645967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490.55951937671841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1.3596945791505279E-13</v>
      </c>
      <c r="P197" s="13">
        <f t="shared" ref="P197:P203" si="203">EXP(-1.0587+0.8836*LN(O197)+0.284)</f>
        <v>1.9708830566360721E-12</v>
      </c>
      <c r="Q197" s="20">
        <f t="shared" si="162"/>
        <v>3.669434796176543E-12</v>
      </c>
      <c r="R197" s="59">
        <f t="shared" si="191"/>
        <v>293.33333333333701</v>
      </c>
      <c r="S197" s="59">
        <f ca="1">AVERAGE(OFFSET($R$3,0,0,'Données projet'!$E$9+1,1))-AVERAGE(OFFSET($H$3,0,0,'Données projet'!$E$9+1,1))</f>
        <v>244.06766379043052</v>
      </c>
      <c r="T197" s="59">
        <f t="shared" ref="T197:T203" si="204">$T$3</f>
        <v>300.17085261974006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0.33716976123925235</v>
      </c>
      <c r="AA197" s="21">
        <f>EXP(-LN(2)/25)*AA196+(1-EXP(-LN(2)/25))/(LN(2)/25)*Calculateur!V197*Calculateur!X197*VLOOKUP('Données projet'!$B$9,Paramètres!$A$1:$I$89,3,0)*0.475*44/12</f>
        <v>9.0165076228884602E-2</v>
      </c>
      <c r="AB197" s="21">
        <f>EXP(-LN(2)/2)*AB196+(1-EXP(-LN(2)/2))/(LN(2)/2)*V197*Y197*VLOOKUP('Données projet'!$B$9,Paramètres!$A$1:$I$89,3,0)*0.475*44/12</f>
        <v>2.3975301028150771E-24</v>
      </c>
      <c r="AC197" s="22">
        <f t="shared" si="163"/>
        <v>0.42733483746813694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5.6752469390630726E-14</v>
      </c>
      <c r="AK197" s="13">
        <f t="shared" si="164"/>
        <v>9.1069510357930921E-13</v>
      </c>
      <c r="AL197" s="20">
        <f t="shared" si="165"/>
        <v>1.6849711895893119E-12</v>
      </c>
      <c r="AM197" s="59">
        <f t="shared" si="193"/>
        <v>293.33333333333502</v>
      </c>
      <c r="AN197" s="59">
        <f ca="1">AVERAGE(OFFSET($AM$3,0,0,'Données projet'!$E$10+1,1))-AVERAGE(OFFSET($H$3,0,0,'Données projet'!$E$10+1,1))</f>
        <v>260.68055529826694</v>
      </c>
      <c r="AO197" s="59">
        <f t="shared" ref="AO197:AO203" si="205">$AO$3</f>
        <v>119.74772096645967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491.73544012419472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1.3596945791505279E-13</v>
      </c>
      <c r="P198" s="13">
        <f t="shared" si="203"/>
        <v>1.9708830566360721E-12</v>
      </c>
      <c r="Q198" s="20">
        <f t="shared" si="162"/>
        <v>3.669434796176543E-12</v>
      </c>
      <c r="R198" s="59">
        <f t="shared" si="191"/>
        <v>293.33333333333701</v>
      </c>
      <c r="S198" s="59">
        <f ca="1">AVERAGE(OFFSET($R$3,0,0,'Données projet'!$E$9+1,1))-AVERAGE(OFFSET($H$3,0,0,'Données projet'!$E$9+1,1))</f>
        <v>244.06766379043052</v>
      </c>
      <c r="T198" s="59">
        <f t="shared" si="204"/>
        <v>300.17085261974006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0.3305580678745984</v>
      </c>
      <c r="AA198" s="21">
        <f>EXP(-LN(2)/25)*AA197+(1-EXP(-LN(2)/25))/(LN(2)/25)*Calculateur!V198*Calculateur!X198*VLOOKUP('Données projet'!$B$9,Paramètres!$A$1:$I$89,3,0)*0.475*44/12</f>
        <v>8.7699507477830466E-2</v>
      </c>
      <c r="AB198" s="21">
        <f>EXP(-LN(2)/2)*AB197+(1-EXP(-LN(2)/2))/(LN(2)/2)*V198*Y198*VLOOKUP('Données projet'!$B$9,Paramètres!$A$1:$I$89,3,0)*0.475*44/12</f>
        <v>1.6953097937994214E-24</v>
      </c>
      <c r="AC198" s="22">
        <f t="shared" si="163"/>
        <v>0.41825757535242886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5.6752469390630726E-14</v>
      </c>
      <c r="AK198" s="13">
        <f t="shared" si="164"/>
        <v>9.1069510357930921E-13</v>
      </c>
      <c r="AL198" s="20">
        <f t="shared" si="165"/>
        <v>1.6849711895893119E-12</v>
      </c>
      <c r="AM198" s="59">
        <f t="shared" si="193"/>
        <v>293.33333333333502</v>
      </c>
      <c r="AN198" s="59">
        <f ca="1">AVERAGE(OFFSET($AM$3,0,0,'Données projet'!$E$10+1,1))-AVERAGE(OFFSET($H$3,0,0,'Données projet'!$E$10+1,1))</f>
        <v>260.68055529826694</v>
      </c>
      <c r="AO198" s="59">
        <f t="shared" si="205"/>
        <v>119.74772096645967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492.91122662089026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1.3596945791505279E-13</v>
      </c>
      <c r="P199" s="13">
        <f t="shared" si="203"/>
        <v>1.9708830566360721E-12</v>
      </c>
      <c r="Q199" s="20">
        <f t="shared" si="162"/>
        <v>3.669434796176543E-12</v>
      </c>
      <c r="R199" s="59">
        <f t="shared" si="191"/>
        <v>293.33333333333701</v>
      </c>
      <c r="S199" s="59">
        <f ca="1">AVERAGE(OFFSET($R$3,0,0,'Données projet'!$E$9+1,1))-AVERAGE(OFFSET($H$3,0,0,'Données projet'!$E$9+1,1))</f>
        <v>244.06766379043052</v>
      </c>
      <c r="T199" s="59">
        <f t="shared" si="204"/>
        <v>300.17085261974006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0.32407602578409056</v>
      </c>
      <c r="AA199" s="21">
        <f>EXP(-LN(2)/25)*AA198+(1-EXP(-LN(2)/25))/(LN(2)/25)*Calculateur!V199*Calculateur!X199*VLOOKUP('Données projet'!$B$9,Paramètres!$A$1:$I$89,3,0)*0.475*44/12</f>
        <v>8.5301359833932527E-2</v>
      </c>
      <c r="AB199" s="21">
        <f>EXP(-LN(2)/2)*AB198+(1-EXP(-LN(2)/2))/(LN(2)/2)*V199*Y199*VLOOKUP('Données projet'!$B$9,Paramètres!$A$1:$I$89,3,0)*0.475*44/12</f>
        <v>1.1987650514075385E-24</v>
      </c>
      <c r="AC199" s="22">
        <f t="shared" si="163"/>
        <v>0.40937738561802306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5.6752469390630726E-14</v>
      </c>
      <c r="AK199" s="13">
        <f t="shared" si="164"/>
        <v>9.1069510357930921E-13</v>
      </c>
      <c r="AL199" s="20">
        <f t="shared" si="165"/>
        <v>1.6849711895893119E-12</v>
      </c>
      <c r="AM199" s="59">
        <f t="shared" si="193"/>
        <v>293.33333333333502</v>
      </c>
      <c r="AN199" s="59">
        <f ca="1">AVERAGE(OFFSET($AM$3,0,0,'Données projet'!$E$10+1,1))-AVERAGE(OFFSET($H$3,0,0,'Données projet'!$E$10+1,1))</f>
        <v>260.68055529826694</v>
      </c>
      <c r="AO199" s="59">
        <f t="shared" si="205"/>
        <v>119.74772096645967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494.08687963126607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1.3596945791505279E-13</v>
      </c>
      <c r="P200" s="13">
        <f t="shared" si="203"/>
        <v>1.9708830566360721E-12</v>
      </c>
      <c r="Q200" s="20">
        <f t="shared" si="162"/>
        <v>3.669434796176543E-12</v>
      </c>
      <c r="R200" s="59">
        <f t="shared" si="191"/>
        <v>293.33333333333701</v>
      </c>
      <c r="S200" s="59">
        <f ca="1">AVERAGE(OFFSET($R$3,0,0,'Données projet'!$E$9+1,1))-AVERAGE(OFFSET($H$3,0,0,'Données projet'!$E$9+1,1))</f>
        <v>244.06766379043052</v>
      </c>
      <c r="T200" s="59">
        <f t="shared" si="204"/>
        <v>300.17085261974006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0.31772109258532227</v>
      </c>
      <c r="AA200" s="21">
        <f>EXP(-LN(2)/25)*AA199+(1-EXP(-LN(2)/25))/(LN(2)/25)*Calculateur!V200*Calculateur!X200*VLOOKUP('Données projet'!$B$9,Paramètres!$A$1:$I$89,3,0)*0.475*44/12</f>
        <v>8.2968789663470086E-2</v>
      </c>
      <c r="AB200" s="21">
        <f>EXP(-LN(2)/2)*AB199+(1-EXP(-LN(2)/2))/(LN(2)/2)*V200*Y200*VLOOKUP('Données projet'!$B$9,Paramètres!$A$1:$I$89,3,0)*0.475*44/12</f>
        <v>8.4765489689971071E-25</v>
      </c>
      <c r="AC200" s="22">
        <f t="shared" si="163"/>
        <v>0.40068988224879237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5.6752469390630726E-14</v>
      </c>
      <c r="AK200" s="13">
        <f t="shared" si="164"/>
        <v>9.1069510357930921E-13</v>
      </c>
      <c r="AL200" s="20">
        <f t="shared" si="165"/>
        <v>1.6849711895893119E-12</v>
      </c>
      <c r="AM200" s="59">
        <f t="shared" si="193"/>
        <v>293.33333333333502</v>
      </c>
      <c r="AN200" s="59">
        <f ca="1">AVERAGE(OFFSET($AM$3,0,0,'Données projet'!$E$10+1,1))-AVERAGE(OFFSET($H$3,0,0,'Données projet'!$E$10+1,1))</f>
        <v>260.68055529826694</v>
      </c>
      <c r="AO200" s="59">
        <f t="shared" si="205"/>
        <v>119.74772096645967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495.26239991157297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1.3596945791505279E-13</v>
      </c>
      <c r="P201" s="13">
        <f t="shared" si="203"/>
        <v>1.9708830566360721E-12</v>
      </c>
      <c r="Q201" s="20">
        <f t="shared" si="162"/>
        <v>3.669434796176543E-12</v>
      </c>
      <c r="R201" s="59">
        <f t="shared" si="191"/>
        <v>293.33333333333701</v>
      </c>
      <c r="S201" s="59">
        <f ca="1">AVERAGE(OFFSET($R$3,0,0,'Données projet'!$E$9+1,1))-AVERAGE(OFFSET($H$3,0,0,'Données projet'!$E$9+1,1))</f>
        <v>244.06766379043052</v>
      </c>
      <c r="T201" s="59">
        <f t="shared" si="204"/>
        <v>300.17085261974006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0.31149077575045536</v>
      </c>
      <c r="AA201" s="21">
        <f>EXP(-LN(2)/25)*AA200+(1-EXP(-LN(2)/25))/(LN(2)/25)*Calculateur!V201*Calculateur!X201*VLOOKUP('Données projet'!$B$9,Paramètres!$A$1:$I$89,3,0)*0.475*44/12</f>
        <v>8.0700003746983481E-2</v>
      </c>
      <c r="AB201" s="21">
        <f>EXP(-LN(2)/2)*AB200+(1-EXP(-LN(2)/2))/(LN(2)/2)*V201*Y201*VLOOKUP('Données projet'!$B$9,Paramètres!$A$1:$I$89,3,0)*0.475*44/12</f>
        <v>5.9938252570376927E-25</v>
      </c>
      <c r="AC201" s="22">
        <f t="shared" si="163"/>
        <v>0.39219077949743886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5.6752469390630726E-14</v>
      </c>
      <c r="AK201" s="13">
        <f t="shared" si="164"/>
        <v>9.1069510357930921E-13</v>
      </c>
      <c r="AL201" s="20">
        <f t="shared" si="165"/>
        <v>1.6849711895893119E-12</v>
      </c>
      <c r="AM201" s="59">
        <f t="shared" si="193"/>
        <v>293.33333333333502</v>
      </c>
      <c r="AN201" s="59">
        <f ca="1">AVERAGE(OFFSET($AM$3,0,0,'Données projet'!$E$10+1,1))-AVERAGE(OFFSET($H$3,0,0,'Données projet'!$E$10+1,1))</f>
        <v>260.68055529826694</v>
      </c>
      <c r="AO201" s="59">
        <f t="shared" si="205"/>
        <v>119.74772096645967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496.43778820998034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1.3596945791505279E-13</v>
      </c>
      <c r="P202" s="13">
        <f t="shared" si="203"/>
        <v>1.9708830566360721E-12</v>
      </c>
      <c r="Q202" s="20">
        <f t="shared" si="162"/>
        <v>3.669434796176543E-12</v>
      </c>
      <c r="R202" s="59">
        <f t="shared" si="191"/>
        <v>293.33333333333701</v>
      </c>
      <c r="S202" s="59">
        <f ca="1">AVERAGE(OFFSET($R$3,0,0,'Données projet'!$E$9+1,1))-AVERAGE(OFFSET($H$3,0,0,'Données projet'!$E$9+1,1))</f>
        <v>244.06766379043052</v>
      </c>
      <c r="T202" s="59">
        <f t="shared" si="204"/>
        <v>300.17085261974006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0.30538263162860213</v>
      </c>
      <c r="AA202" s="21">
        <f>EXP(-LN(2)/25)*AA201+(1-EXP(-LN(2)/25))/(LN(2)/25)*Calculateur!V202*Calculateur!X202*VLOOKUP('Données projet'!$B$9,Paramètres!$A$1:$I$89,3,0)*0.475*44/12</f>
        <v>7.8493257900693461E-2</v>
      </c>
      <c r="AB202" s="21">
        <f>EXP(-LN(2)/2)*AB201+(1-EXP(-LN(2)/2))/(LN(2)/2)*V202*Y202*VLOOKUP('Données projet'!$B$9,Paramètres!$A$1:$I$89,3,0)*0.475*44/12</f>
        <v>4.2382744844985536E-25</v>
      </c>
      <c r="AC202" s="22">
        <f t="shared" si="163"/>
        <v>0.38387588952929558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5.6752469390630726E-14</v>
      </c>
      <c r="AK202" s="13">
        <f t="shared" si="164"/>
        <v>9.1069510357930921E-13</v>
      </c>
      <c r="AL202" s="20">
        <f t="shared" si="165"/>
        <v>1.6849711895893119E-12</v>
      </c>
      <c r="AM202" s="59">
        <f t="shared" si="193"/>
        <v>293.33333333333502</v>
      </c>
      <c r="AN202" s="59">
        <f ca="1">AVERAGE(OFFSET($AM$3,0,0,'Données projet'!$E$10+1,1))-AVERAGE(OFFSET($H$3,0,0,'Données projet'!$E$10+1,1))</f>
        <v>260.68055529826694</v>
      </c>
      <c r="AO202" s="59">
        <f t="shared" si="205"/>
        <v>119.74772096645967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497.61304526670318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1.3596945791505279E-13</v>
      </c>
      <c r="P203" s="13">
        <f t="shared" si="203"/>
        <v>1.9708830566360721E-12</v>
      </c>
      <c r="Q203" s="20">
        <f t="shared" si="162"/>
        <v>3.669434796176543E-12</v>
      </c>
      <c r="R203" s="59">
        <f t="shared" si="191"/>
        <v>293.33333333333701</v>
      </c>
      <c r="S203" s="59">
        <f ca="1">AVERAGE(OFFSET($R$3,0,0,'Données projet'!$E$9+1,1))-AVERAGE(OFFSET($H$3,0,0,'Données projet'!$E$9+1,1))</f>
        <v>244.06766379043052</v>
      </c>
      <c r="T203" s="59">
        <f t="shared" si="204"/>
        <v>300.17085261974006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0.29939426448737838</v>
      </c>
      <c r="AA203" s="21">
        <f>EXP(-LN(2)/25)*AA202+(1-EXP(-LN(2)/25))/(LN(2)/25)*Calculateur!V203*Calculateur!X203*VLOOKUP('Données projet'!$B$9,Paramètres!$A$1:$I$89,3,0)*0.475*44/12</f>
        <v>7.6346855635617966E-2</v>
      </c>
      <c r="AB203" s="21">
        <f>EXP(-LN(2)/2)*AB202+(1-EXP(-LN(2)/2))/(LN(2)/2)*V203*Y203*VLOOKUP('Données projet'!$B$9,Paramètres!$A$1:$I$89,3,0)*0.475*44/12</f>
        <v>2.9969126285188463E-25</v>
      </c>
      <c r="AC203" s="22">
        <f t="shared" si="163"/>
        <v>0.37574112012299632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5.6752469390630726E-14</v>
      </c>
      <c r="AK203" s="13">
        <f t="shared" si="164"/>
        <v>9.1069510357930921E-13</v>
      </c>
      <c r="AL203" s="20">
        <f t="shared" si="165"/>
        <v>1.6849711895893119E-12</v>
      </c>
      <c r="AM203" s="59">
        <f t="shared" si="193"/>
        <v>293.33333333333502</v>
      </c>
      <c r="AN203" s="59">
        <f ca="1">AVERAGE(OFFSET($AM$3,0,0,'Données projet'!$E$10+1,1))-AVERAGE(OFFSET($H$3,0,0,'Données projet'!$E$10+1,1))</f>
        <v>260.68055529826694</v>
      </c>
      <c r="AO203" s="59">
        <f t="shared" si="205"/>
        <v>119.74772096645967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99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99</v>
      </c>
      <c r="BA204" s="81" t="s">
        <v>99</v>
      </c>
      <c r="BV204" s="81" t="s">
        <v>99</v>
      </c>
      <c r="CQ204" s="81" t="s">
        <v>99</v>
      </c>
      <c r="DL204" s="81" t="s">
        <v>99</v>
      </c>
      <c r="EG204" s="81" t="s">
        <v>99</v>
      </c>
      <c r="FB204" s="81" t="s">
        <v>99</v>
      </c>
      <c r="FW204" s="81" t="s">
        <v>99</v>
      </c>
      <c r="GR204" s="81" t="s">
        <v>99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1.1457367676485573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570312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5703125" style="4" bestFit="1" customWidth="1"/>
    <col min="7" max="7" width="11.42578125" style="4" bestFit="1" customWidth="1"/>
    <col min="8" max="8" width="39" style="4" bestFit="1" customWidth="1"/>
    <col min="9" max="9" width="16.570312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100</v>
      </c>
      <c r="B1" s="112" t="s">
        <v>101</v>
      </c>
      <c r="C1" s="113" t="s">
        <v>102</v>
      </c>
      <c r="D1" s="112" t="s">
        <v>103</v>
      </c>
      <c r="E1" s="113" t="s">
        <v>104</v>
      </c>
      <c r="F1" s="113" t="s">
        <v>103</v>
      </c>
      <c r="G1" s="113" t="s">
        <v>105</v>
      </c>
      <c r="H1" s="113" t="s">
        <v>103</v>
      </c>
      <c r="I1" s="114" t="s">
        <v>106</v>
      </c>
      <c r="J1" s="78"/>
      <c r="K1" s="78"/>
      <c r="L1" s="78"/>
      <c r="M1" s="78"/>
      <c r="N1" s="78"/>
    </row>
    <row r="2" spans="1:16" x14ac:dyDescent="0.25">
      <c r="A2" s="115" t="s">
        <v>107</v>
      </c>
      <c r="B2" s="116" t="s">
        <v>108</v>
      </c>
      <c r="C2" s="117">
        <v>0.62</v>
      </c>
      <c r="D2" s="117" t="s">
        <v>109</v>
      </c>
      <c r="E2" s="117">
        <v>1.56</v>
      </c>
      <c r="F2" s="117" t="s">
        <v>110</v>
      </c>
      <c r="G2" s="118">
        <v>0.43</v>
      </c>
      <c r="H2" s="119" t="s">
        <v>111</v>
      </c>
      <c r="I2" s="120">
        <v>0.25</v>
      </c>
      <c r="J2" s="78"/>
      <c r="K2" s="78"/>
      <c r="L2" s="78"/>
      <c r="M2" s="78"/>
      <c r="N2" s="78"/>
      <c r="O2" s="281" t="s">
        <v>112</v>
      </c>
      <c r="P2" s="121">
        <v>0</v>
      </c>
    </row>
    <row r="3" spans="1:16" ht="15.75" thickBot="1" x14ac:dyDescent="0.3">
      <c r="A3" s="122" t="s">
        <v>113</v>
      </c>
      <c r="B3" s="123" t="s">
        <v>114</v>
      </c>
      <c r="C3" s="124">
        <v>0.64</v>
      </c>
      <c r="D3" s="124" t="s">
        <v>109</v>
      </c>
      <c r="E3" s="124">
        <v>1.56</v>
      </c>
      <c r="F3" s="125" t="s">
        <v>110</v>
      </c>
      <c r="G3" s="126">
        <v>0.43</v>
      </c>
      <c r="H3" s="124" t="s">
        <v>111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115</v>
      </c>
      <c r="B4" s="123" t="s">
        <v>116</v>
      </c>
      <c r="C4" s="124">
        <v>0.42</v>
      </c>
      <c r="D4" s="124" t="s">
        <v>109</v>
      </c>
      <c r="E4" s="124">
        <v>1.56</v>
      </c>
      <c r="F4" s="125" t="s">
        <v>110</v>
      </c>
      <c r="G4" s="126">
        <v>0.43</v>
      </c>
      <c r="H4" s="124" t="s">
        <v>111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117</v>
      </c>
      <c r="B5" s="123" t="s">
        <v>118</v>
      </c>
      <c r="C5" s="124">
        <v>0.42</v>
      </c>
      <c r="D5" s="124" t="s">
        <v>109</v>
      </c>
      <c r="E5" s="124">
        <v>1.56</v>
      </c>
      <c r="F5" s="125" t="s">
        <v>110</v>
      </c>
      <c r="G5" s="126">
        <v>0.43</v>
      </c>
      <c r="H5" s="124" t="s">
        <v>111</v>
      </c>
      <c r="I5" s="127">
        <v>0.25</v>
      </c>
      <c r="J5" s="78"/>
      <c r="K5" s="78"/>
      <c r="L5" s="78"/>
      <c r="M5" s="78"/>
      <c r="N5" s="78"/>
      <c r="O5" s="281" t="s">
        <v>119</v>
      </c>
      <c r="P5" s="121">
        <v>0</v>
      </c>
    </row>
    <row r="6" spans="1:16" x14ac:dyDescent="0.25">
      <c r="A6" s="122" t="s">
        <v>120</v>
      </c>
      <c r="B6" s="123" t="s">
        <v>121</v>
      </c>
      <c r="C6" s="124">
        <v>0.42</v>
      </c>
      <c r="D6" s="124" t="s">
        <v>109</v>
      </c>
      <c r="E6" s="124">
        <v>1.56</v>
      </c>
      <c r="F6" s="125" t="s">
        <v>110</v>
      </c>
      <c r="G6" s="126">
        <v>0.43</v>
      </c>
      <c r="H6" s="124" t="s">
        <v>111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122</v>
      </c>
      <c r="B7" s="123" t="s">
        <v>123</v>
      </c>
      <c r="C7" s="124">
        <v>0.52</v>
      </c>
      <c r="D7" s="124" t="s">
        <v>109</v>
      </c>
      <c r="E7" s="124">
        <v>1.56</v>
      </c>
      <c r="F7" s="125" t="s">
        <v>110</v>
      </c>
      <c r="G7" s="126">
        <v>0.43</v>
      </c>
      <c r="H7" s="124" t="s">
        <v>111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124</v>
      </c>
      <c r="B8" s="123" t="s">
        <v>125</v>
      </c>
      <c r="C8" s="124">
        <v>0.36</v>
      </c>
      <c r="D8" s="124" t="s">
        <v>109</v>
      </c>
      <c r="E8" s="124">
        <v>1.3</v>
      </c>
      <c r="F8" s="125" t="s">
        <v>110</v>
      </c>
      <c r="G8" s="126">
        <v>0.55000000000000004</v>
      </c>
      <c r="H8" s="124" t="s">
        <v>126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127</v>
      </c>
      <c r="B9" s="123" t="s">
        <v>128</v>
      </c>
      <c r="C9" s="124">
        <v>0.61</v>
      </c>
      <c r="D9" s="124" t="s">
        <v>109</v>
      </c>
      <c r="E9" s="124">
        <v>1.56</v>
      </c>
      <c r="F9" s="125" t="s">
        <v>110</v>
      </c>
      <c r="G9" s="126">
        <v>0.43</v>
      </c>
      <c r="H9" s="124" t="s">
        <v>111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129</v>
      </c>
      <c r="B10" s="123" t="s">
        <v>130</v>
      </c>
      <c r="C10" s="124">
        <v>0.66</v>
      </c>
      <c r="D10" s="124" t="s">
        <v>109</v>
      </c>
      <c r="E10" s="124">
        <v>1.56</v>
      </c>
      <c r="F10" s="125" t="s">
        <v>110</v>
      </c>
      <c r="G10" s="126">
        <v>0.43</v>
      </c>
      <c r="H10" s="124" t="s">
        <v>111</v>
      </c>
      <c r="I10" s="127">
        <v>0.25</v>
      </c>
      <c r="J10" s="78"/>
      <c r="K10" s="78"/>
      <c r="L10" s="78"/>
      <c r="M10" s="78"/>
      <c r="N10" s="78"/>
      <c r="O10" s="281" t="s">
        <v>131</v>
      </c>
      <c r="P10" s="121">
        <v>0</v>
      </c>
    </row>
    <row r="11" spans="1:16" ht="15.75" thickBot="1" x14ac:dyDescent="0.3">
      <c r="A11" s="122" t="s">
        <v>132</v>
      </c>
      <c r="B11" s="123" t="s">
        <v>133</v>
      </c>
      <c r="C11" s="124">
        <v>0.47</v>
      </c>
      <c r="D11" s="124" t="s">
        <v>109</v>
      </c>
      <c r="E11" s="124">
        <v>1.56</v>
      </c>
      <c r="F11" s="125" t="s">
        <v>110</v>
      </c>
      <c r="G11" s="126">
        <v>0.43</v>
      </c>
      <c r="H11" s="124" t="s">
        <v>111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134</v>
      </c>
      <c r="B12" s="123" t="s">
        <v>135</v>
      </c>
      <c r="C12" s="124">
        <v>0.67</v>
      </c>
      <c r="D12" s="124" t="s">
        <v>109</v>
      </c>
      <c r="E12" s="124">
        <v>1.56</v>
      </c>
      <c r="F12" s="125" t="s">
        <v>110</v>
      </c>
      <c r="G12" s="126">
        <v>0.43</v>
      </c>
      <c r="H12" s="124" t="s">
        <v>136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137</v>
      </c>
      <c r="B13" s="123" t="s">
        <v>138</v>
      </c>
      <c r="C13" s="124">
        <v>0.7</v>
      </c>
      <c r="D13" s="124" t="s">
        <v>109</v>
      </c>
      <c r="E13" s="124">
        <v>1.56</v>
      </c>
      <c r="F13" s="125" t="s">
        <v>110</v>
      </c>
      <c r="G13" s="126">
        <v>0.43</v>
      </c>
      <c r="H13" s="124" t="s">
        <v>136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139</v>
      </c>
      <c r="B14" s="123" t="s">
        <v>140</v>
      </c>
      <c r="C14" s="124">
        <v>0.54</v>
      </c>
      <c r="D14" s="124" t="s">
        <v>109</v>
      </c>
      <c r="E14" s="124">
        <v>1.56</v>
      </c>
      <c r="F14" s="125" t="s">
        <v>110</v>
      </c>
      <c r="G14" s="126">
        <v>0.43</v>
      </c>
      <c r="H14" s="124" t="s">
        <v>136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141</v>
      </c>
      <c r="B15" s="123" t="s">
        <v>142</v>
      </c>
      <c r="C15" s="124">
        <v>0.65</v>
      </c>
      <c r="D15" s="124" t="s">
        <v>109</v>
      </c>
      <c r="E15" s="124">
        <v>1.56</v>
      </c>
      <c r="F15" s="125" t="s">
        <v>110</v>
      </c>
      <c r="G15" s="126">
        <v>0.43</v>
      </c>
      <c r="H15" s="124" t="s">
        <v>136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143</v>
      </c>
      <c r="B16" s="123" t="s">
        <v>144</v>
      </c>
      <c r="C16" s="124">
        <v>0.56000000000000005</v>
      </c>
      <c r="D16" s="124" t="s">
        <v>109</v>
      </c>
      <c r="E16" s="124">
        <v>1.56</v>
      </c>
      <c r="F16" s="125" t="s">
        <v>110</v>
      </c>
      <c r="G16" s="126">
        <v>0.43</v>
      </c>
      <c r="H16" s="124" t="s">
        <v>136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145</v>
      </c>
      <c r="B17" s="123" t="s">
        <v>146</v>
      </c>
      <c r="C17" s="124">
        <v>0.57999999999999996</v>
      </c>
      <c r="D17" s="124" t="s">
        <v>109</v>
      </c>
      <c r="E17" s="124">
        <v>1.56</v>
      </c>
      <c r="F17" s="125" t="s">
        <v>110</v>
      </c>
      <c r="G17" s="126">
        <v>0.43</v>
      </c>
      <c r="H17" s="124" t="s">
        <v>136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19</v>
      </c>
      <c r="B18" s="123" t="s">
        <v>147</v>
      </c>
      <c r="C18" s="124">
        <v>0.64</v>
      </c>
      <c r="D18" s="124" t="s">
        <v>109</v>
      </c>
      <c r="E18" s="124">
        <v>1.56</v>
      </c>
      <c r="F18" s="125" t="s">
        <v>110</v>
      </c>
      <c r="G18" s="126">
        <v>0.43</v>
      </c>
      <c r="H18" s="124" t="s">
        <v>136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148</v>
      </c>
      <c r="B19" s="123" t="s">
        <v>149</v>
      </c>
      <c r="C19" s="124">
        <v>0.73</v>
      </c>
      <c r="D19" s="124" t="s">
        <v>109</v>
      </c>
      <c r="E19" s="124">
        <v>1.56</v>
      </c>
      <c r="F19" s="125" t="s">
        <v>110</v>
      </c>
      <c r="G19" s="126">
        <v>0.43</v>
      </c>
      <c r="H19" s="124" t="s">
        <v>136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150</v>
      </c>
      <c r="B20" s="123" t="s">
        <v>151</v>
      </c>
      <c r="C20" s="124">
        <v>0.69</v>
      </c>
      <c r="D20" s="124" t="s">
        <v>152</v>
      </c>
      <c r="E20" s="124">
        <v>1.56</v>
      </c>
      <c r="F20" s="125" t="s">
        <v>110</v>
      </c>
      <c r="G20" s="126">
        <v>0.43</v>
      </c>
      <c r="H20" s="124" t="s">
        <v>153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109</v>
      </c>
      <c r="E21" s="124">
        <v>1.3</v>
      </c>
      <c r="F21" s="125" t="s">
        <v>110</v>
      </c>
      <c r="G21" s="126">
        <v>0.55000000000000004</v>
      </c>
      <c r="H21" s="124" t="s">
        <v>126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156</v>
      </c>
      <c r="B22" s="123" t="s">
        <v>157</v>
      </c>
      <c r="C22" s="124">
        <v>0.4</v>
      </c>
      <c r="D22" s="124" t="s">
        <v>109</v>
      </c>
      <c r="E22" s="124">
        <v>1.3</v>
      </c>
      <c r="F22" s="125" t="s">
        <v>110</v>
      </c>
      <c r="G22" s="126">
        <v>0.55000000000000004</v>
      </c>
      <c r="H22" s="124" t="s">
        <v>126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158</v>
      </c>
      <c r="B23" s="123" t="s">
        <v>159</v>
      </c>
      <c r="C23" s="124">
        <v>0.43</v>
      </c>
      <c r="D23" s="124" t="s">
        <v>109</v>
      </c>
      <c r="E23" s="124">
        <v>1.3</v>
      </c>
      <c r="F23" s="125" t="s">
        <v>110</v>
      </c>
      <c r="G23" s="126">
        <v>0.55000000000000004</v>
      </c>
      <c r="H23" s="124" t="s">
        <v>126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160</v>
      </c>
      <c r="B24" s="123" t="s">
        <v>161</v>
      </c>
      <c r="C24" s="124">
        <v>0.37</v>
      </c>
      <c r="D24" s="124" t="s">
        <v>109</v>
      </c>
      <c r="E24" s="124">
        <v>1.3</v>
      </c>
      <c r="F24" s="125" t="s">
        <v>110</v>
      </c>
      <c r="G24" s="126">
        <v>0.55000000000000004</v>
      </c>
      <c r="H24" s="124" t="s">
        <v>136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162</v>
      </c>
      <c r="B25" s="123" t="s">
        <v>163</v>
      </c>
      <c r="C25" s="124">
        <v>0.36</v>
      </c>
      <c r="D25" s="124" t="s">
        <v>109</v>
      </c>
      <c r="E25" s="124">
        <v>1.3</v>
      </c>
      <c r="F25" s="125" t="s">
        <v>110</v>
      </c>
      <c r="G25" s="126">
        <v>0.55000000000000004</v>
      </c>
      <c r="H25" s="124" t="s">
        <v>136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164</v>
      </c>
      <c r="B26" s="123" t="s">
        <v>165</v>
      </c>
      <c r="C26" s="124">
        <v>0.56000000000000005</v>
      </c>
      <c r="D26" s="124" t="s">
        <v>109</v>
      </c>
      <c r="E26" s="124">
        <v>1.56</v>
      </c>
      <c r="F26" s="125" t="s">
        <v>110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167</v>
      </c>
      <c r="B27" s="123" t="s">
        <v>168</v>
      </c>
      <c r="C27" s="124">
        <v>0.51</v>
      </c>
      <c r="D27" s="124" t="s">
        <v>109</v>
      </c>
      <c r="E27" s="124">
        <v>1.56</v>
      </c>
      <c r="F27" s="125" t="s">
        <v>110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169</v>
      </c>
      <c r="B28" s="123" t="s">
        <v>170</v>
      </c>
      <c r="C28" s="124">
        <v>0.51</v>
      </c>
      <c r="D28" s="124" t="s">
        <v>109</v>
      </c>
      <c r="E28" s="124">
        <v>1.56</v>
      </c>
      <c r="F28" s="125" t="s">
        <v>110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171</v>
      </c>
      <c r="B29" s="123" t="s">
        <v>171</v>
      </c>
      <c r="C29" s="124">
        <v>0.56000000000000005</v>
      </c>
      <c r="D29" s="124" t="s">
        <v>109</v>
      </c>
      <c r="E29" s="124">
        <v>1.56</v>
      </c>
      <c r="F29" s="125" t="s">
        <v>110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172</v>
      </c>
      <c r="B30" s="123" t="s">
        <v>173</v>
      </c>
      <c r="C30" s="124">
        <v>0.55000000000000004</v>
      </c>
      <c r="D30" s="124" t="s">
        <v>109</v>
      </c>
      <c r="E30" s="124">
        <v>1.56</v>
      </c>
      <c r="F30" s="125" t="s">
        <v>110</v>
      </c>
      <c r="G30" s="126">
        <v>0.53</v>
      </c>
      <c r="H30" s="124" t="s">
        <v>136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174</v>
      </c>
      <c r="B31" s="123" t="s">
        <v>175</v>
      </c>
      <c r="C31" s="124">
        <v>0.56000000000000005</v>
      </c>
      <c r="D31" s="124" t="s">
        <v>109</v>
      </c>
      <c r="E31" s="124">
        <v>1.56</v>
      </c>
      <c r="F31" s="125" t="s">
        <v>110</v>
      </c>
      <c r="G31" s="126">
        <v>0.43</v>
      </c>
      <c r="H31" s="124" t="s">
        <v>111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176</v>
      </c>
      <c r="B32" s="123" t="s">
        <v>177</v>
      </c>
      <c r="C32" s="124">
        <v>0.48</v>
      </c>
      <c r="D32" s="124" t="s">
        <v>109</v>
      </c>
      <c r="E32" s="124">
        <v>1.3</v>
      </c>
      <c r="F32" s="125" t="s">
        <v>110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179</v>
      </c>
      <c r="B33" s="123" t="s">
        <v>180</v>
      </c>
      <c r="C33" s="124">
        <v>0.42</v>
      </c>
      <c r="D33" s="124" t="s">
        <v>109</v>
      </c>
      <c r="E33" s="124">
        <v>1.3</v>
      </c>
      <c r="F33" s="125" t="s">
        <v>110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110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185</v>
      </c>
      <c r="B35" s="123" t="s">
        <v>186</v>
      </c>
      <c r="C35" s="124">
        <v>0.5</v>
      </c>
      <c r="D35" s="124" t="s">
        <v>109</v>
      </c>
      <c r="E35" s="124">
        <v>1.56</v>
      </c>
      <c r="F35" s="125" t="s">
        <v>110</v>
      </c>
      <c r="G35" s="126">
        <v>0.43</v>
      </c>
      <c r="H35" s="124" t="s">
        <v>111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187</v>
      </c>
      <c r="B36" s="123" t="s">
        <v>188</v>
      </c>
      <c r="C36" s="124">
        <v>0.55000000000000004</v>
      </c>
      <c r="D36" s="124" t="s">
        <v>109</v>
      </c>
      <c r="E36" s="124">
        <v>1.56</v>
      </c>
      <c r="F36" s="125" t="s">
        <v>110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189</v>
      </c>
      <c r="B37" s="123" t="s">
        <v>190</v>
      </c>
      <c r="C37" s="124">
        <v>0.52</v>
      </c>
      <c r="D37" s="124" t="s">
        <v>109</v>
      </c>
      <c r="E37" s="124">
        <v>1.56</v>
      </c>
      <c r="F37" s="125" t="s">
        <v>110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191</v>
      </c>
      <c r="B38" s="123" t="s">
        <v>192</v>
      </c>
      <c r="C38" s="124">
        <v>0.52</v>
      </c>
      <c r="D38" s="124" t="s">
        <v>109</v>
      </c>
      <c r="E38" s="124">
        <v>1.56</v>
      </c>
      <c r="F38" s="125" t="s">
        <v>110</v>
      </c>
      <c r="G38" s="126">
        <v>0.43</v>
      </c>
      <c r="H38" s="124" t="s">
        <v>111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110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110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110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110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110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110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110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110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110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110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110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110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110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110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110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110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110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110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110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110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110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110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110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219</v>
      </c>
      <c r="B62" s="123" t="s">
        <v>220</v>
      </c>
      <c r="C62" s="124">
        <v>0.37</v>
      </c>
      <c r="D62" s="124" t="s">
        <v>109</v>
      </c>
      <c r="E62" s="124">
        <v>1.56</v>
      </c>
      <c r="F62" s="125" t="s">
        <v>110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221</v>
      </c>
      <c r="B63" s="123" t="s">
        <v>222</v>
      </c>
      <c r="C63" s="124">
        <v>0.45</v>
      </c>
      <c r="D63" s="124" t="s">
        <v>109</v>
      </c>
      <c r="E63" s="124">
        <v>1.3</v>
      </c>
      <c r="F63" s="125" t="s">
        <v>110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224</v>
      </c>
      <c r="B64" s="123" t="s">
        <v>225</v>
      </c>
      <c r="C64" s="124">
        <v>0.39</v>
      </c>
      <c r="D64" s="124" t="s">
        <v>109</v>
      </c>
      <c r="E64" s="124">
        <v>1.3</v>
      </c>
      <c r="F64" s="125" t="s">
        <v>110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226</v>
      </c>
      <c r="B65" s="123" t="s">
        <v>227</v>
      </c>
      <c r="C65" s="124">
        <v>0.44</v>
      </c>
      <c r="D65" s="124" t="s">
        <v>109</v>
      </c>
      <c r="E65" s="124">
        <v>1.3</v>
      </c>
      <c r="F65" s="125" t="s">
        <v>110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228</v>
      </c>
      <c r="B66" s="123" t="s">
        <v>229</v>
      </c>
      <c r="C66" s="124">
        <v>0.46</v>
      </c>
      <c r="D66" s="124" t="s">
        <v>109</v>
      </c>
      <c r="E66" s="124">
        <v>1.3</v>
      </c>
      <c r="F66" s="125" t="s">
        <v>110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16</v>
      </c>
      <c r="B67" s="123" t="s">
        <v>230</v>
      </c>
      <c r="C67" s="124">
        <v>0.46</v>
      </c>
      <c r="D67" s="124" t="s">
        <v>109</v>
      </c>
      <c r="E67" s="124">
        <v>1.3</v>
      </c>
      <c r="F67" s="125" t="s">
        <v>110</v>
      </c>
      <c r="G67" s="126">
        <v>0.45</v>
      </c>
      <c r="H67" s="124" t="s">
        <v>136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231</v>
      </c>
      <c r="B68" s="123" t="s">
        <v>232</v>
      </c>
      <c r="C68" s="124">
        <v>0.44</v>
      </c>
      <c r="D68" s="124" t="s">
        <v>109</v>
      </c>
      <c r="E68" s="124">
        <v>1.3</v>
      </c>
      <c r="F68" s="125" t="s">
        <v>110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233</v>
      </c>
      <c r="B69" s="123" t="s">
        <v>234</v>
      </c>
      <c r="C69" s="124">
        <v>0.46</v>
      </c>
      <c r="D69" s="124" t="s">
        <v>109</v>
      </c>
      <c r="E69" s="124">
        <v>1.3</v>
      </c>
      <c r="F69" s="125" t="s">
        <v>110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235</v>
      </c>
      <c r="B70" s="123" t="s">
        <v>236</v>
      </c>
      <c r="C70" s="124">
        <v>0.48</v>
      </c>
      <c r="D70" s="124" t="s">
        <v>109</v>
      </c>
      <c r="E70" s="124">
        <v>2.4</v>
      </c>
      <c r="F70" s="124" t="s">
        <v>237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110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241</v>
      </c>
      <c r="B72" s="123" t="s">
        <v>242</v>
      </c>
      <c r="C72" s="124">
        <v>0.44</v>
      </c>
      <c r="D72" s="124" t="s">
        <v>109</v>
      </c>
      <c r="E72" s="124">
        <v>1.3</v>
      </c>
      <c r="F72" s="125" t="s">
        <v>110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110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246</v>
      </c>
      <c r="B74" s="123" t="s">
        <v>247</v>
      </c>
      <c r="C74" s="124">
        <v>0.34</v>
      </c>
      <c r="D74" s="124" t="s">
        <v>109</v>
      </c>
      <c r="E74" s="124">
        <v>1.3</v>
      </c>
      <c r="F74" s="125" t="s">
        <v>110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248</v>
      </c>
      <c r="B75" s="123" t="s">
        <v>249</v>
      </c>
      <c r="C75" s="124">
        <v>0.5</v>
      </c>
      <c r="D75" s="124" t="s">
        <v>109</v>
      </c>
      <c r="E75" s="124">
        <v>1.56</v>
      </c>
      <c r="F75" s="125" t="s">
        <v>110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250</v>
      </c>
      <c r="B76" s="123" t="s">
        <v>251</v>
      </c>
      <c r="C76" s="124">
        <v>0.57999999999999996</v>
      </c>
      <c r="D76" s="124" t="s">
        <v>109</v>
      </c>
      <c r="E76" s="124">
        <v>1.56</v>
      </c>
      <c r="F76" s="125" t="s">
        <v>110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253</v>
      </c>
      <c r="B77" s="123" t="s">
        <v>254</v>
      </c>
      <c r="C77" s="124">
        <v>0.37</v>
      </c>
      <c r="D77" s="124" t="s">
        <v>109</v>
      </c>
      <c r="E77" s="124">
        <v>1.3</v>
      </c>
      <c r="F77" s="125" t="s">
        <v>110</v>
      </c>
      <c r="G77" s="126">
        <v>0.55000000000000004</v>
      </c>
      <c r="H77" s="124" t="s">
        <v>136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255</v>
      </c>
      <c r="B78" s="123" t="s">
        <v>256</v>
      </c>
      <c r="C78" s="124">
        <v>0.37</v>
      </c>
      <c r="D78" s="124" t="s">
        <v>109</v>
      </c>
      <c r="E78" s="124">
        <v>1.3</v>
      </c>
      <c r="F78" s="125" t="s">
        <v>110</v>
      </c>
      <c r="G78" s="126">
        <v>0.55000000000000004</v>
      </c>
      <c r="H78" s="124" t="s">
        <v>136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257</v>
      </c>
      <c r="B79" s="123" t="s">
        <v>258</v>
      </c>
      <c r="C79" s="124">
        <v>0.38</v>
      </c>
      <c r="D79" s="124" t="s">
        <v>109</v>
      </c>
      <c r="E79" s="124">
        <v>1.3</v>
      </c>
      <c r="F79" s="125" t="s">
        <v>110</v>
      </c>
      <c r="G79" s="126">
        <v>0.55000000000000004</v>
      </c>
      <c r="H79" s="124" t="s">
        <v>126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259</v>
      </c>
      <c r="B80" s="123" t="s">
        <v>260</v>
      </c>
      <c r="C80" s="124">
        <v>0.36</v>
      </c>
      <c r="D80" s="124" t="s">
        <v>109</v>
      </c>
      <c r="E80" s="124">
        <v>1.3</v>
      </c>
      <c r="F80" s="125" t="s">
        <v>110</v>
      </c>
      <c r="G80" s="126">
        <v>0.55000000000000004</v>
      </c>
      <c r="H80" s="124" t="s">
        <v>126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261</v>
      </c>
      <c r="B81" s="123" t="s">
        <v>262</v>
      </c>
      <c r="C81" s="124">
        <v>0.37</v>
      </c>
      <c r="D81" s="124" t="s">
        <v>109</v>
      </c>
      <c r="E81" s="124">
        <v>1.56</v>
      </c>
      <c r="F81" s="125" t="s">
        <v>110</v>
      </c>
      <c r="G81" s="126">
        <v>0.43</v>
      </c>
      <c r="H81" s="124" t="s">
        <v>111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110</v>
      </c>
      <c r="G82" s="126">
        <v>0.55000000000000004</v>
      </c>
      <c r="H82" s="124" t="s">
        <v>126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266</v>
      </c>
      <c r="B83" s="123" t="s">
        <v>267</v>
      </c>
      <c r="C83" s="124">
        <v>0.34</v>
      </c>
      <c r="D83" s="124" t="s">
        <v>109</v>
      </c>
      <c r="E83" s="124">
        <v>1.3</v>
      </c>
      <c r="F83" s="125" t="s">
        <v>110</v>
      </c>
      <c r="G83" s="126">
        <v>0.55000000000000004</v>
      </c>
      <c r="H83" s="124" t="s">
        <v>126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268</v>
      </c>
      <c r="B84" s="123" t="s">
        <v>269</v>
      </c>
      <c r="C84" s="124">
        <v>0.31</v>
      </c>
      <c r="D84" s="124" t="s">
        <v>109</v>
      </c>
      <c r="E84" s="124">
        <v>1.3</v>
      </c>
      <c r="F84" s="125" t="s">
        <v>110</v>
      </c>
      <c r="G84" s="126">
        <v>0.55000000000000004</v>
      </c>
      <c r="H84" s="124" t="s">
        <v>126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270</v>
      </c>
      <c r="B85" s="123" t="s">
        <v>271</v>
      </c>
      <c r="C85" s="124">
        <v>0.43</v>
      </c>
      <c r="D85" s="124" t="s">
        <v>109</v>
      </c>
      <c r="E85" s="124">
        <v>1.56</v>
      </c>
      <c r="F85" s="125" t="s">
        <v>110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272</v>
      </c>
      <c r="B86" s="123" t="s">
        <v>273</v>
      </c>
      <c r="C86" s="124">
        <v>0.38</v>
      </c>
      <c r="D86" s="124" t="s">
        <v>109</v>
      </c>
      <c r="E86" s="124">
        <v>1.56</v>
      </c>
      <c r="F86" s="125" t="s">
        <v>110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110</v>
      </c>
      <c r="G87" s="255">
        <v>0.43</v>
      </c>
      <c r="H87" s="253" t="s">
        <v>111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69</v>
      </c>
      <c r="B88" s="130"/>
      <c r="C88" s="124">
        <v>0.42</v>
      </c>
      <c r="D88" s="124" t="s">
        <v>109</v>
      </c>
      <c r="E88" s="124">
        <v>1.3</v>
      </c>
      <c r="F88" s="125" t="s">
        <v>110</v>
      </c>
      <c r="G88" s="131"/>
      <c r="H88" s="130"/>
      <c r="I88" s="132"/>
    </row>
    <row r="89" spans="1:14" ht="15.75" thickBot="1" x14ac:dyDescent="0.3">
      <c r="A89" s="133" t="s">
        <v>278</v>
      </c>
      <c r="B89" s="134"/>
      <c r="C89" s="135">
        <v>0.56999999999999995</v>
      </c>
      <c r="D89" s="136" t="s">
        <v>109</v>
      </c>
      <c r="E89" s="135">
        <v>1.56</v>
      </c>
      <c r="F89" s="135" t="s">
        <v>110</v>
      </c>
      <c r="G89" s="134"/>
      <c r="H89" s="134"/>
      <c r="I89" s="137"/>
    </row>
    <row r="93" spans="1:14" x14ac:dyDescent="0.25">
      <c r="A93" s="122" t="s">
        <v>70</v>
      </c>
    </row>
    <row r="94" spans="1:14" x14ac:dyDescent="0.25">
      <c r="A94" s="122" t="s">
        <v>71</v>
      </c>
    </row>
    <row r="95" spans="1:14" x14ac:dyDescent="0.25">
      <c r="A95" s="122" t="s">
        <v>72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opLeftCell="A3" zoomScale="90" zoomScaleNormal="90" workbookViewId="0">
      <selection activeCell="H4" sqref="H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1.449981</v>
      </c>
      <c r="C6" s="147">
        <f ca="1">IF(OR('Données projet'!B9="",'Données projet'!C9="",'Données projet'!C9=0%),0,Calculateur!S3)</f>
        <v>244.06766379043052</v>
      </c>
      <c r="D6" s="147">
        <f>IF(OR('Données projet'!B9="",'Données projet'!C9="",'Données projet'!C9=0%),0,Calculateur!T3)</f>
        <v>300.17085261974006</v>
      </c>
      <c r="E6" s="147">
        <f ca="1">MIN(C6,D6)</f>
        <v>244.06766379043052</v>
      </c>
      <c r="F6" s="147">
        <f ca="1">E6*B6</f>
        <v>353.89347521051224</v>
      </c>
      <c r="G6" s="147">
        <f ca="1">F6*(100%-'Données projet'!$C$24)*(100%-'Données projet'!$C$25)*(100%-'Données projet'!$C$26)*(100%-'Données projet'!$C$27)</f>
        <v>270.72850853604189</v>
      </c>
      <c r="H6" s="148">
        <f>IF(OR('Données projet'!B9="",'Données projet'!C9="",'Données projet'!C9=0%),0,AVERAGE(Calculateur!$AC$3:$AC$33)*B6)</f>
        <v>5.7175363732913231</v>
      </c>
      <c r="I6" s="149">
        <f>H6*(100%-'Données projet'!$C$24)*(100%-'Données projet'!$C$25)*(100%-'Données projet'!$C$26)*(100%-'Données projet'!$C$27)</f>
        <v>4.3739153255678627</v>
      </c>
      <c r="J6" s="150">
        <f>IF(OR('Données projet'!B9="",'Données projet'!C9="",'Données projet'!C9=0%),0,SUM(Calculateur!$V$3:$V$33)*VLOOKUP('Données projet'!$B$9,Paramètres!$A$1:$I$89,9,0)*B6)</f>
        <v>122.33489696999999</v>
      </c>
      <c r="K6" s="151">
        <f>J6*(100%-'Données projet'!$C$24)*(100%-'Données projet'!$C$25)*(100%-'Données projet'!$C$26)*(100%-'Données projet'!$C$27)</f>
        <v>93.586196182049989</v>
      </c>
      <c r="L6" s="152">
        <f ca="1">G6+I6+K6</f>
        <v>368.68862004365974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tauzin</v>
      </c>
      <c r="B7" s="154">
        <f>'Données projet'!D10</f>
        <v>8.0019000000000007E-2</v>
      </c>
      <c r="C7" s="147">
        <f ca="1">IF(OR('Données projet'!B10="",'Données projet'!C10="",'Données projet'!C10=0%),0,Calculateur!AN3)</f>
        <v>260.68055529826694</v>
      </c>
      <c r="D7" s="147">
        <f>IF(OR('Données projet'!B10="",'Données projet'!C10="",'Données projet'!C10=0%),0,Calculateur!AO3)</f>
        <v>119.74772096645967</v>
      </c>
      <c r="E7" s="147">
        <f t="shared" ref="E7:E15" ca="1" si="0">MIN(C7,D7)</f>
        <v>119.74772096645967</v>
      </c>
      <c r="F7" s="147">
        <f t="shared" ref="F7:F15" ca="1" si="1">E7*B7</f>
        <v>9.582092884015136</v>
      </c>
      <c r="G7" s="147">
        <f ca="1">F7*(100%-'Données projet'!$C$24)*(100%-'Données projet'!$C$25)*(100%-'Données projet'!$C$26)*(100%-'Données projet'!$C$27)</f>
        <v>7.3303010562715798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7.3303010562715798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363.47556809452738</v>
      </c>
      <c r="G16" s="166">
        <f t="shared" ca="1" si="3"/>
        <v>278.05880959231348</v>
      </c>
      <c r="H16" s="167">
        <f t="shared" si="3"/>
        <v>5.7175363732913231</v>
      </c>
      <c r="I16" s="167">
        <f t="shared" si="3"/>
        <v>4.3739153255678627</v>
      </c>
      <c r="J16" s="168">
        <f t="shared" si="3"/>
        <v>122.33489696999999</v>
      </c>
      <c r="K16" s="168">
        <f t="shared" si="3"/>
        <v>93.586196182049989</v>
      </c>
      <c r="L16" s="169">
        <f t="shared" ca="1" si="3"/>
        <v>376.01892109993133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tauzin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56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pageSetUpPr fitToPage="1"/>
  </sheetPr>
  <dimension ref="A1:BL552"/>
  <sheetViews>
    <sheetView topLeftCell="A6" zoomScale="85" zoomScaleNormal="85" workbookViewId="0">
      <selection activeCell="G26" sqref="G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570312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55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3250.6362094319074</v>
      </c>
      <c r="U10" s="178">
        <f>'Données projet'!D9</f>
        <v>1.449981</v>
      </c>
      <c r="V10" s="177">
        <f>U10*T10</f>
        <v>4713.3607415882861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tauzin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-12297.101603221559</v>
      </c>
      <c r="U11" s="178">
        <f>'Données projet'!D10</f>
        <v>8.0019000000000007E-2</v>
      </c>
      <c r="V11" s="177">
        <f t="shared" ref="V11" si="0">U11*T11</f>
        <v>-984.00177318818601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74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306</v>
      </c>
      <c r="H15" s="190"/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46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194</v>
      </c>
      <c r="C17" s="198" t="s">
        <v>194</v>
      </c>
      <c r="D17" s="197" t="s">
        <v>194</v>
      </c>
      <c r="E17" s="193">
        <v>816.2</v>
      </c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194</v>
      </c>
      <c r="C18" s="198" t="s">
        <v>194</v>
      </c>
      <c r="D18" s="197" t="s">
        <v>194</v>
      </c>
      <c r="E18" s="193"/>
      <c r="F18" s="230"/>
      <c r="G18" s="289"/>
      <c r="J18" s="202"/>
      <c r="K18" s="208"/>
      <c r="L18" s="259" t="s">
        <v>308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194</v>
      </c>
      <c r="C19" s="198" t="s">
        <v>194</v>
      </c>
      <c r="D19" s="197" t="s">
        <v>194</v>
      </c>
      <c r="E19" s="193"/>
      <c r="F19" s="230"/>
      <c r="G19" s="289"/>
      <c r="H19" s="212" t="s">
        <v>74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1499.9999999999989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194</v>
      </c>
      <c r="C20" s="198" t="s">
        <v>194</v>
      </c>
      <c r="D20" s="197" t="s">
        <v>194</v>
      </c>
      <c r="E20" s="193"/>
      <c r="F20" s="230"/>
      <c r="G20" s="289"/>
      <c r="H20" s="190">
        <v>0</v>
      </c>
      <c r="I20" s="191">
        <v>1100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194</v>
      </c>
      <c r="C21" s="198" t="s">
        <v>194</v>
      </c>
      <c r="D21" s="197" t="s">
        <v>194</v>
      </c>
      <c r="E21" s="193"/>
      <c r="F21" s="230"/>
      <c r="H21" s="190">
        <v>1</v>
      </c>
      <c r="I21" s="191">
        <f>630*1.1</f>
        <v>693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>
        <v>2</v>
      </c>
      <c r="I22" s="191">
        <f>680*1.1</f>
        <v>748.00000000000011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0</v>
      </c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-1053.5751707729014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16</v>
      </c>
      <c r="B24" s="181">
        <f>'Données projet'!D37</f>
        <v>25</v>
      </c>
      <c r="C24" s="193">
        <v>20</v>
      </c>
      <c r="D24" s="182">
        <f t="shared" ref="D24:D42" si="2">B24*C24</f>
        <v>500</v>
      </c>
      <c r="E24" s="193"/>
      <c r="F24" s="233"/>
      <c r="H24" s="190">
        <v>4</v>
      </c>
      <c r="I24" s="191">
        <f>735*1.1</f>
        <v>808.50000000000011</v>
      </c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254.0786466711715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20</v>
      </c>
      <c r="B25" s="181">
        <f>'Données projet'!D38</f>
        <v>33.700000000000003</v>
      </c>
      <c r="C25" s="193">
        <v>25</v>
      </c>
      <c r="D25" s="182">
        <f t="shared" si="2"/>
        <v>842.50000000000011</v>
      </c>
      <c r="E25" s="193"/>
      <c r="F25" s="233"/>
      <c r="H25" s="190">
        <v>5</v>
      </c>
      <c r="I25" s="191">
        <v>0</v>
      </c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03">
        <f ca="1">T23-T24</f>
        <v>-1307.653817444073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24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28</v>
      </c>
      <c r="B27" s="181">
        <f>'Données projet'!D40</f>
        <v>84.3</v>
      </c>
      <c r="C27" s="193">
        <v>30</v>
      </c>
      <c r="D27" s="182">
        <f t="shared" si="2"/>
        <v>2529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34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46</v>
      </c>
      <c r="B30" s="181">
        <f>'Données projet'!D43</f>
        <v>460</v>
      </c>
      <c r="C30" s="193">
        <v>45</v>
      </c>
      <c r="D30" s="182">
        <f t="shared" si="2"/>
        <v>20700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74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18</v>
      </c>
      <c r="B45" s="174" t="str">
        <f>IF('Données projet'!$B$10="","",'Données projet'!$B$10)</f>
        <v>Chêne tauzin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46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194</v>
      </c>
      <c r="C48" s="198" t="s">
        <v>194</v>
      </c>
      <c r="D48" s="197" t="s">
        <v>194</v>
      </c>
      <c r="E48" s="193">
        <v>12650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194</v>
      </c>
      <c r="C49" s="198" t="s">
        <v>194</v>
      </c>
      <c r="D49" s="197" t="s">
        <v>194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194</v>
      </c>
      <c r="C50" s="198" t="s">
        <v>194</v>
      </c>
      <c r="D50" s="197" t="s">
        <v>194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194</v>
      </c>
      <c r="C51" s="198" t="s">
        <v>194</v>
      </c>
      <c r="D51" s="197" t="s">
        <v>194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194</v>
      </c>
      <c r="C52" s="198" t="s">
        <v>194</v>
      </c>
      <c r="D52" s="197" t="s">
        <v>194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25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35</v>
      </c>
      <c r="B56" s="181">
        <f>'Données projet'!D64</f>
        <v>13</v>
      </c>
      <c r="C56" s="191">
        <v>10</v>
      </c>
      <c r="D56" s="179">
        <f t="shared" si="4"/>
        <v>130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45</v>
      </c>
      <c r="B58" s="181">
        <f>'Données projet'!D66</f>
        <v>27</v>
      </c>
      <c r="C58" s="191">
        <v>10</v>
      </c>
      <c r="D58" s="179">
        <f t="shared" si="4"/>
        <v>270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50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55</v>
      </c>
      <c r="B60" s="181">
        <f>'Données projet'!D68</f>
        <v>28</v>
      </c>
      <c r="C60" s="191">
        <v>20</v>
      </c>
      <c r="D60" s="179">
        <f t="shared" si="4"/>
        <v>560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60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65</v>
      </c>
      <c r="B62" s="181">
        <f>'Données projet'!D70</f>
        <v>28</v>
      </c>
      <c r="C62" s="191">
        <v>30</v>
      </c>
      <c r="D62" s="179">
        <f t="shared" si="4"/>
        <v>840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70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75</v>
      </c>
      <c r="B64" s="181">
        <f>'Données projet'!D72</f>
        <v>28</v>
      </c>
      <c r="C64" s="191">
        <v>40</v>
      </c>
      <c r="D64" s="179">
        <f t="shared" si="4"/>
        <v>1120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85</v>
      </c>
      <c r="B65" s="181">
        <f>'Données projet'!D73</f>
        <v>28</v>
      </c>
      <c r="C65" s="191">
        <v>50</v>
      </c>
      <c r="D65" s="179">
        <f t="shared" si="4"/>
        <v>1400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95</v>
      </c>
      <c r="B66" s="181">
        <f>'Données projet'!D74</f>
        <v>28</v>
      </c>
      <c r="C66" s="191">
        <v>50</v>
      </c>
      <c r="D66" s="179">
        <f t="shared" si="4"/>
        <v>1400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105</v>
      </c>
      <c r="B67" s="181">
        <f>'Données projet'!D75</f>
        <v>28</v>
      </c>
      <c r="C67" s="191">
        <v>70</v>
      </c>
      <c r="D67" s="179">
        <f t="shared" si="4"/>
        <v>1960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115</v>
      </c>
      <c r="B68" s="181">
        <f>'Données projet'!D76</f>
        <v>26</v>
      </c>
      <c r="C68" s="191">
        <v>70</v>
      </c>
      <c r="D68" s="179">
        <f t="shared" si="4"/>
        <v>1820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125</v>
      </c>
      <c r="B69" s="181">
        <f>'Données projet'!D77</f>
        <v>23</v>
      </c>
      <c r="C69" s="191">
        <v>100</v>
      </c>
      <c r="D69" s="179">
        <f t="shared" si="4"/>
        <v>2300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135</v>
      </c>
      <c r="B70" s="181">
        <f>'Données projet'!D78</f>
        <v>19</v>
      </c>
      <c r="C70" s="191">
        <v>120</v>
      </c>
      <c r="D70" s="179">
        <f t="shared" si="4"/>
        <v>2280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145</v>
      </c>
      <c r="B71" s="181">
        <f>'Données projet'!D79</f>
        <v>15</v>
      </c>
      <c r="C71" s="191">
        <v>150</v>
      </c>
      <c r="D71" s="179">
        <f t="shared" si="4"/>
        <v>2250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150</v>
      </c>
      <c r="B72" s="181">
        <f>'Données projet'!D80</f>
        <v>217</v>
      </c>
      <c r="C72" s="191">
        <v>150</v>
      </c>
      <c r="D72" s="179">
        <f t="shared" si="4"/>
        <v>32550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20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46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194</v>
      </c>
      <c r="C79" s="198" t="s">
        <v>194</v>
      </c>
      <c r="D79" s="197" t="s">
        <v>194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194</v>
      </c>
      <c r="C80" s="198" t="s">
        <v>194</v>
      </c>
      <c r="D80" s="197" t="s">
        <v>194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str">
        <f>IF(O79+1&lt;=MIN('Données projet'!$E$9:$E$18),O79+1,"STOP")</f>
        <v>STOP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194</v>
      </c>
      <c r="C81" s="198" t="s">
        <v>194</v>
      </c>
      <c r="D81" s="197" t="s">
        <v>194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194</v>
      </c>
      <c r="C82" s="198" t="s">
        <v>194</v>
      </c>
      <c r="D82" s="197" t="s">
        <v>194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194</v>
      </c>
      <c r="C83" s="198" t="s">
        <v>194</v>
      </c>
      <c r="D83" s="197" t="s">
        <v>194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194</v>
      </c>
      <c r="C84" s="198" t="s">
        <v>194</v>
      </c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21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46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194</v>
      </c>
      <c r="C110" s="198" t="s">
        <v>194</v>
      </c>
      <c r="D110" s="197" t="s">
        <v>194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194</v>
      </c>
      <c r="C111" s="198" t="s">
        <v>194</v>
      </c>
      <c r="D111" s="197" t="s">
        <v>194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22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46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194</v>
      </c>
      <c r="C141" s="198" t="s">
        <v>194</v>
      </c>
      <c r="D141" s="197" t="s">
        <v>194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194</v>
      </c>
      <c r="C142" s="198" t="s">
        <v>194</v>
      </c>
      <c r="D142" s="197" t="s">
        <v>194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23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46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194</v>
      </c>
      <c r="C172" s="198" t="s">
        <v>194</v>
      </c>
      <c r="D172" s="197" t="s">
        <v>194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194</v>
      </c>
      <c r="C173" s="198" t="s">
        <v>194</v>
      </c>
      <c r="D173" s="197" t="s">
        <v>194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24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46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25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46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26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46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27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46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scale="36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B4159CBEF765479D5648E0661BABF4" ma:contentTypeVersion="18" ma:contentTypeDescription="Crée un document." ma:contentTypeScope="" ma:versionID="ebcef12f8b639a5f8ea410286cfc6539">
  <xsd:schema xmlns:xsd="http://www.w3.org/2001/XMLSchema" xmlns:xs="http://www.w3.org/2001/XMLSchema" xmlns:p="http://schemas.microsoft.com/office/2006/metadata/properties" xmlns:ns2="b5732ada-805d-4ab0-b73d-5e77a1a40638" xmlns:ns3="9c8870e7-89e8-4ebc-907b-475f2ac5e6be" targetNamespace="http://schemas.microsoft.com/office/2006/metadata/properties" ma:root="true" ma:fieldsID="da153a415d8d9017d4e12121f37c86f3" ns2:_="" ns3:_="">
    <xsd:import namespace="b5732ada-805d-4ab0-b73d-5e77a1a40638"/>
    <xsd:import namespace="9c8870e7-89e8-4ebc-907b-475f2ac5e6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32ada-805d-4ab0-b73d-5e77a1a406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5db6e2ee-0065-4d10-aad0-71d9c5eecb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870e7-89e8-4ebc-907b-475f2ac5e6b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c446e2-517a-4cb0-a416-217762c8416f}" ma:internalName="TaxCatchAll" ma:showField="CatchAllData" ma:web="9c8870e7-89e8-4ebc-907b-475f2ac5e6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8870e7-89e8-4ebc-907b-475f2ac5e6be" xsi:nil="true"/>
    <lcf76f155ced4ddcb4097134ff3c332f xmlns="b5732ada-805d-4ab0-b73d-5e77a1a4063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879595-895E-4D29-8181-CF3F4C72E6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32ada-805d-4ab0-b73d-5e77a1a40638"/>
    <ds:schemaRef ds:uri="9c8870e7-89e8-4ebc-907b-475f2ac5e6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7C159A-9E9D-4CCB-8173-8A1F1D0537AC}">
  <ds:schemaRefs>
    <ds:schemaRef ds:uri="http://schemas.microsoft.com/office/2006/metadata/properties"/>
    <ds:schemaRef ds:uri="http://schemas.microsoft.com/office/infopath/2007/PartnerControls"/>
    <ds:schemaRef ds:uri="9c8870e7-89e8-4ebc-907b-475f2ac5e6be"/>
    <ds:schemaRef ds:uri="b5732ada-805d-4ab0-b73d-5e77a1a40638"/>
  </ds:schemaRefs>
</ds:datastoreItem>
</file>

<file path=customXml/itemProps3.xml><?xml version="1.0" encoding="utf-8"?>
<ds:datastoreItem xmlns:ds="http://schemas.openxmlformats.org/officeDocument/2006/customXml" ds:itemID="{C4C25430-6BF0-479D-BDA9-39FF27BD8B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Solenne Jaupitre</cp:lastModifiedBy>
  <cp:revision/>
  <dcterms:created xsi:type="dcterms:W3CDTF">2021-02-01T08:22:39Z</dcterms:created>
  <dcterms:modified xsi:type="dcterms:W3CDTF">2024-07-30T15:07:16Z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0x01010093B4159CBEF765479D5648E0661BABF4</vt:lpwstr>
  </property>
  <property fmtid="{D5CDD505-2E9C-101B-9397-08002B2CF9AE}" pid="3" name="MediaServiceImageTags">
    <vt:lpwstr/>
  </property>
</Properties>
</file>